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rinterSettings/printerSettings2.bin" ContentType="application/vnd.openxmlformats-officedocument.spreadsheetml.printerSettings"/>
  <Override PartName="/xl/tables/table5.xml" ContentType="application/vnd.openxmlformats-officedocument.spreadsheetml.table+xml"/>
  <Override PartName="/xl/printerSettings/printerSettings3.bin" ContentType="application/vnd.openxmlformats-officedocument.spreadsheetml.printerSettings"/>
  <Override PartName="/xl/tables/table6.xml" ContentType="application/vnd.openxmlformats-officedocument.spreadsheetml.table+xml"/>
  <Override PartName="/xl/printerSettings/printerSettings4.bin" ContentType="application/vnd.openxmlformats-officedocument.spreadsheetml.printerSettings"/>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rinterSettings/printerSettings5.bin" ContentType="application/vnd.openxmlformats-officedocument.spreadsheetml.printerSettings"/>
  <Override PartName="/xl/tables/table11.xml" ContentType="application/vnd.openxmlformats-officedocument.spreadsheetml.table+xml"/>
  <Override PartName="/xl/printerSettings/printerSettings6.bin" ContentType="application/vnd.openxmlformats-officedocument.spreadsheetml.printerSettings"/>
  <Override PartName="/xl/tables/table24.xml" ContentType="application/vnd.openxmlformats-officedocument.spreadsheetml.table+xml"/>
  <Override PartName="/xl/printerSettings/printerSettings13.bin" ContentType="application/vnd.openxmlformats-officedocument.spreadsheetml.printerSettings"/>
  <Override PartName="/xl/tables/table25.xml" ContentType="application/vnd.openxmlformats-officedocument.spreadsheetml.table+xml"/>
  <Override PartName="/xl/printerSettings/printerSettings14.bin" ContentType="application/vnd.openxmlformats-officedocument.spreadsheetml.printerSettings"/>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rinterSettings/printerSettings7.bin" ContentType="application/vnd.openxmlformats-officedocument.spreadsheetml.printerSettings"/>
  <Override PartName="/xl/tables/table12.xml" ContentType="application/vnd.openxmlformats-officedocument.spreadsheetml.table+xml"/>
  <Override PartName="/xl/printerSettings/printerSettings8.bin" ContentType="application/vnd.openxmlformats-officedocument.spreadsheetml.printerSettings"/>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3.xml" ContentType="application/vnd.openxmlformats-officedocument.spreadsheetml.table+xml"/>
  <Override PartName="/xl/tables/table19.xml" ContentType="application/vnd.openxmlformats-officedocument.spreadsheetml.table+xml"/>
  <Override PartName="/xl/printerSettings/printerSettings9.bin" ContentType="application/vnd.openxmlformats-officedocument.spreadsheetml.printerSettings"/>
  <Override PartName="/xl/tables/table20.xml" ContentType="application/vnd.openxmlformats-officedocument.spreadsheetml.table+xml"/>
  <Override PartName="/xl/printerSettings/printerSettings10.bin" ContentType="application/vnd.openxmlformats-officedocument.spreadsheetml.printerSettings"/>
  <Override PartName="/xl/tables/table21.xml" ContentType="application/vnd.openxmlformats-officedocument.spreadsheetml.table+xml"/>
  <Override PartName="/xl/printerSettings/printerSettings11.bin" ContentType="application/vnd.openxmlformats-officedocument.spreadsheetml.printerSettings"/>
  <Override PartName="/xl/tables/table22.xml" ContentType="application/vnd.openxmlformats-officedocument.spreadsheetml.table+xml"/>
  <Override PartName="/xl/tables/table23.xml" ContentType="application/vnd.openxmlformats-officedocument.spreadsheetml.table+xml"/>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capoffice.sharepoint.com/sites/PAOpioidTrust/Shared Documents/Official Communications/Notices of Estimated Distributions/"/>
    </mc:Choice>
  </mc:AlternateContent>
  <xr:revisionPtr revIDLastSave="0" documentId="8_{704FAA2C-C431-431D-B1BA-9CB76CE826B9}" xr6:coauthVersionLast="47" xr6:coauthVersionMax="47" xr10:uidLastSave="{00000000-0000-0000-0000-000000000000}"/>
  <bookViews>
    <workbookView xWindow="13950" yWindow="-15450" windowWidth="18585" windowHeight="10050" activeTab="3" xr2:uid="{00000000-000D-0000-FFFF-FFFF00000000}"/>
  </bookViews>
  <sheets>
    <sheet name="Summary" sheetId="12" r:id="rId1"/>
    <sheet name="Wave 1 Payment 5 Summary" sheetId="26" state="hidden" r:id="rId2"/>
    <sheet name="Wave 1 J&amp;J Payment Detail" sheetId="20" r:id="rId3"/>
    <sheet name="Wave 1 Distrib Partial Payment" sheetId="27" r:id="rId4"/>
    <sheet name="Wave 2 Payment Detail" sheetId="11" r:id="rId5"/>
    <sheet name="Endo Payment Detail" sheetId="15" r:id="rId6"/>
    <sheet name="Dist and JJ Totals" sheetId="21" r:id="rId7"/>
    <sheet name="Dist and JJ County Payments" sheetId="23" r:id="rId8"/>
    <sheet name="Distributors Litigating Subs" sheetId="24" r:id="rId9"/>
    <sheet name="J&amp;J Litigating Subs" sheetId="25" r:id="rId10"/>
    <sheet name="Wave 2 Payment 3 Summary" sheetId="1" r:id="rId11"/>
    <sheet name="County Breakdown" sheetId="6" r:id="rId12"/>
    <sheet name="Teva Allergan Walmart County" sheetId="2" r:id="rId13"/>
    <sheet name="Walgreens and CVS County" sheetId="3" r:id="rId14"/>
    <sheet name="Teva Litigating" sheetId="4" r:id="rId15"/>
    <sheet name="Allergan Litigating" sheetId="9" r:id="rId16"/>
    <sheet name="Walgreens and CVS Litigating" sheetId="5" r:id="rId17"/>
    <sheet name="Walmart Litigating" sheetId="8" r:id="rId18"/>
    <sheet name="Teva Allergan Lit Breakdown" sheetId="10" r:id="rId19"/>
    <sheet name="Pharmacies Breakdown" sheetId="7" r:id="rId20"/>
    <sheet name="Endo Overview" sheetId="16" r:id="rId21"/>
    <sheet name="Endo County w Floor" sheetId="17" r:id="rId22"/>
    <sheet name="Endo Litigating Subs w Floor" sheetId="18" r:id="rId23"/>
    <sheet name="Endo Ratio for Min Lit Subs" sheetId="19" state="hidden" r:id="rId24"/>
    <sheet name="Fees Calculations" sheetId="22" state="hidden" r:id="rId25"/>
  </sheets>
  <definedNames>
    <definedName name="_xlnm._FilterDatabase" localSheetId="2" hidden="1">'Wave 1 J&amp;J Payment Detail'!$A$73:$O$73</definedName>
    <definedName name="_xlnm._FilterDatabase" localSheetId="1" hidden="1">'Wave 1 Payment 5 Summary'!$A$86:$C$86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7" i="12" l="1"/>
  <c r="D68" i="20" l="1"/>
  <c r="D67" i="20"/>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 i="20"/>
  <c r="D4" i="20"/>
  <c r="D3" i="20"/>
  <c r="D2" i="20"/>
  <c r="E11" i="20" l="1"/>
  <c r="N69" i="20"/>
  <c r="M69" i="20"/>
  <c r="L69" i="20"/>
  <c r="K69" i="20"/>
  <c r="I69" i="20"/>
  <c r="H69" i="20"/>
  <c r="G69" i="20"/>
  <c r="F69" i="20"/>
  <c r="J68" i="20"/>
  <c r="E68" i="20"/>
  <c r="O68" i="20" s="1"/>
  <c r="J67" i="20"/>
  <c r="E67" i="20"/>
  <c r="J66" i="20"/>
  <c r="E66" i="20"/>
  <c r="O66" i="20" s="1"/>
  <c r="J65" i="20"/>
  <c r="E65" i="20"/>
  <c r="O65" i="20" s="1"/>
  <c r="J64" i="20"/>
  <c r="E64" i="20"/>
  <c r="O64" i="20" s="1"/>
  <c r="J63" i="20"/>
  <c r="E63" i="20"/>
  <c r="O63" i="20" s="1"/>
  <c r="J62" i="20"/>
  <c r="E62" i="20"/>
  <c r="O62" i="20" s="1"/>
  <c r="J61" i="20"/>
  <c r="E61" i="20"/>
  <c r="O61" i="20" s="1"/>
  <c r="J60" i="20"/>
  <c r="E60" i="20"/>
  <c r="O60" i="20" s="1"/>
  <c r="J59" i="20"/>
  <c r="E59" i="20"/>
  <c r="O59" i="20" s="1"/>
  <c r="J58" i="20"/>
  <c r="E58" i="20"/>
  <c r="O58" i="20" s="1"/>
  <c r="J57" i="20"/>
  <c r="E57" i="20"/>
  <c r="O57" i="20" s="1"/>
  <c r="J56" i="20"/>
  <c r="E56" i="20"/>
  <c r="O56" i="20" s="1"/>
  <c r="J55" i="20"/>
  <c r="E55" i="20"/>
  <c r="O55" i="20" s="1"/>
  <c r="J54" i="20"/>
  <c r="E54" i="20"/>
  <c r="O54" i="20" s="1"/>
  <c r="J53" i="20"/>
  <c r="E53" i="20"/>
  <c r="O53" i="20" s="1"/>
  <c r="J52" i="20"/>
  <c r="E52" i="20"/>
  <c r="O52" i="20" s="1"/>
  <c r="J51" i="20"/>
  <c r="E51" i="20"/>
  <c r="J50" i="20"/>
  <c r="E50" i="20"/>
  <c r="O50" i="20" s="1"/>
  <c r="J49" i="20"/>
  <c r="E49" i="20"/>
  <c r="O49" i="20" s="1"/>
  <c r="J48" i="20"/>
  <c r="E48" i="20"/>
  <c r="O48" i="20" s="1"/>
  <c r="J47" i="20"/>
  <c r="E47" i="20"/>
  <c r="O47" i="20" s="1"/>
  <c r="J46" i="20"/>
  <c r="E46" i="20"/>
  <c r="O46" i="20" s="1"/>
  <c r="J45" i="20"/>
  <c r="E45" i="20"/>
  <c r="O45" i="20" s="1"/>
  <c r="J44" i="20"/>
  <c r="E44" i="20"/>
  <c r="O44" i="20" s="1"/>
  <c r="J43" i="20"/>
  <c r="E43" i="20"/>
  <c r="O43" i="20" s="1"/>
  <c r="J42" i="20"/>
  <c r="E42" i="20"/>
  <c r="O42" i="20" s="1"/>
  <c r="J41" i="20"/>
  <c r="E41" i="20"/>
  <c r="O41" i="20" s="1"/>
  <c r="J40" i="20"/>
  <c r="E40" i="20"/>
  <c r="O40" i="20" s="1"/>
  <c r="J39" i="20"/>
  <c r="E39" i="20"/>
  <c r="O39" i="20" s="1"/>
  <c r="J38" i="20"/>
  <c r="E38" i="20"/>
  <c r="O38" i="20" s="1"/>
  <c r="J37" i="20"/>
  <c r="E37" i="20"/>
  <c r="O37" i="20" s="1"/>
  <c r="J36" i="20"/>
  <c r="E36" i="20"/>
  <c r="O36" i="20" s="1"/>
  <c r="J35" i="20"/>
  <c r="E35" i="20"/>
  <c r="J34" i="20"/>
  <c r="E34" i="20"/>
  <c r="O34" i="20" s="1"/>
  <c r="J33" i="20"/>
  <c r="E33" i="20"/>
  <c r="O33" i="20" s="1"/>
  <c r="J32" i="20"/>
  <c r="E32" i="20"/>
  <c r="O32" i="20" s="1"/>
  <c r="J31" i="20"/>
  <c r="E31" i="20"/>
  <c r="O31" i="20" s="1"/>
  <c r="J30" i="20"/>
  <c r="E30" i="20"/>
  <c r="O30" i="20" s="1"/>
  <c r="J29" i="20"/>
  <c r="E29" i="20"/>
  <c r="O29" i="20" s="1"/>
  <c r="J28" i="20"/>
  <c r="E28" i="20"/>
  <c r="O28" i="20" s="1"/>
  <c r="J27" i="20"/>
  <c r="E27" i="20"/>
  <c r="O27" i="20" s="1"/>
  <c r="J26" i="20"/>
  <c r="E26" i="20"/>
  <c r="O26" i="20" s="1"/>
  <c r="J25" i="20"/>
  <c r="E25" i="20"/>
  <c r="O25" i="20" s="1"/>
  <c r="J24" i="20"/>
  <c r="E24" i="20"/>
  <c r="O24" i="20" s="1"/>
  <c r="J23" i="20"/>
  <c r="E23" i="20"/>
  <c r="O23" i="20" s="1"/>
  <c r="J22" i="20"/>
  <c r="E22" i="20"/>
  <c r="O22" i="20" s="1"/>
  <c r="J21" i="20"/>
  <c r="E21" i="20"/>
  <c r="O21" i="20" s="1"/>
  <c r="J20" i="20"/>
  <c r="E20" i="20"/>
  <c r="O20" i="20" s="1"/>
  <c r="J19" i="20"/>
  <c r="E19" i="20"/>
  <c r="J18" i="20"/>
  <c r="E18" i="20"/>
  <c r="O18" i="20" s="1"/>
  <c r="J17" i="20"/>
  <c r="E17" i="20"/>
  <c r="O17" i="20" s="1"/>
  <c r="J16" i="20"/>
  <c r="E16" i="20"/>
  <c r="O16" i="20" s="1"/>
  <c r="J15" i="20"/>
  <c r="E15" i="20"/>
  <c r="O15" i="20" s="1"/>
  <c r="J14" i="20"/>
  <c r="E14" i="20"/>
  <c r="O14" i="20" s="1"/>
  <c r="J13" i="20"/>
  <c r="E13" i="20"/>
  <c r="O13" i="20" s="1"/>
  <c r="J12" i="20"/>
  <c r="E12" i="20"/>
  <c r="O12" i="20" s="1"/>
  <c r="J11" i="20"/>
  <c r="O11" i="20"/>
  <c r="J10" i="20"/>
  <c r="E10" i="20"/>
  <c r="O10" i="20" s="1"/>
  <c r="J9" i="20"/>
  <c r="E9" i="20"/>
  <c r="O9" i="20" s="1"/>
  <c r="J8" i="20"/>
  <c r="E8" i="20"/>
  <c r="O8" i="20" s="1"/>
  <c r="J7" i="20"/>
  <c r="E7" i="20"/>
  <c r="O7" i="20" s="1"/>
  <c r="J6" i="20"/>
  <c r="E6" i="20"/>
  <c r="O6" i="20" s="1"/>
  <c r="J5" i="20"/>
  <c r="E5" i="20"/>
  <c r="O5" i="20" s="1"/>
  <c r="J4" i="20"/>
  <c r="E4" i="20"/>
  <c r="J3" i="20"/>
  <c r="J69" i="20" s="1"/>
  <c r="E3" i="20"/>
  <c r="J2" i="20"/>
  <c r="E2" i="20"/>
  <c r="O2" i="20" s="1"/>
  <c r="C58" i="5"/>
  <c r="D69" i="20"/>
  <c r="F132" i="20"/>
  <c r="O51" i="20" l="1"/>
  <c r="O67" i="20"/>
  <c r="O19" i="20"/>
  <c r="O35" i="20"/>
  <c r="E69" i="20"/>
  <c r="O3" i="20"/>
  <c r="O4" i="20"/>
  <c r="E89" i="15"/>
  <c r="D127" i="12"/>
  <c r="O69" i="20" l="1"/>
  <c r="C69" i="26"/>
  <c r="C83" i="26"/>
  <c r="E83" i="26"/>
  <c r="F83" i="26"/>
  <c r="G83" i="26"/>
  <c r="H83" i="26"/>
  <c r="C123" i="26"/>
  <c r="C134" i="26"/>
  <c r="C135" i="26"/>
  <c r="C136" i="26"/>
  <c r="E4" i="25"/>
  <c r="E7" i="25" s="1"/>
  <c r="F4" i="25"/>
  <c r="G4" i="25"/>
  <c r="G7" i="25" s="1"/>
  <c r="H4" i="25"/>
  <c r="I4" i="25"/>
  <c r="I7" i="25" s="1"/>
  <c r="J4" i="25"/>
  <c r="J7" i="25" s="1"/>
  <c r="K4" i="25"/>
  <c r="L4" i="25"/>
  <c r="M4" i="25"/>
  <c r="M8" i="25" s="1"/>
  <c r="N4" i="25"/>
  <c r="N8" i="25" s="1"/>
  <c r="E6" i="25"/>
  <c r="O6" i="25" s="1"/>
  <c r="F6" i="25"/>
  <c r="G6" i="25"/>
  <c r="H6" i="25"/>
  <c r="I6" i="25"/>
  <c r="J6" i="25"/>
  <c r="K6" i="25"/>
  <c r="L6" i="25"/>
  <c r="M6" i="25"/>
  <c r="N6" i="25"/>
  <c r="F7" i="25"/>
  <c r="H7" i="25"/>
  <c r="K7" i="25"/>
  <c r="L7" i="25"/>
  <c r="N7" i="25"/>
  <c r="E8" i="25"/>
  <c r="F8" i="25"/>
  <c r="G8" i="25"/>
  <c r="H8" i="25"/>
  <c r="J8" i="25"/>
  <c r="K8" i="25"/>
  <c r="L8" i="25"/>
  <c r="E9" i="25"/>
  <c r="E20" i="25" s="1"/>
  <c r="F9" i="25"/>
  <c r="F18" i="25" s="1"/>
  <c r="G9" i="25"/>
  <c r="G18" i="25" s="1"/>
  <c r="H9" i="25"/>
  <c r="H13" i="25" s="1"/>
  <c r="I9" i="25"/>
  <c r="J9" i="25"/>
  <c r="J14" i="25" s="1"/>
  <c r="K9" i="25"/>
  <c r="K23" i="25" s="1"/>
  <c r="L9" i="25"/>
  <c r="L12" i="25" s="1"/>
  <c r="M9" i="25"/>
  <c r="M21" i="25" s="1"/>
  <c r="N9" i="25"/>
  <c r="N30" i="25" s="1"/>
  <c r="E12" i="25"/>
  <c r="F12" i="25"/>
  <c r="G12" i="25"/>
  <c r="H12" i="25"/>
  <c r="I12" i="25"/>
  <c r="J12" i="25"/>
  <c r="K12" i="25"/>
  <c r="E13" i="25"/>
  <c r="I13" i="25"/>
  <c r="K13" i="25"/>
  <c r="L13" i="25"/>
  <c r="M13" i="25"/>
  <c r="N13" i="25"/>
  <c r="E14" i="25"/>
  <c r="G14" i="25"/>
  <c r="H14" i="25"/>
  <c r="I14" i="25"/>
  <c r="G15" i="25"/>
  <c r="H15" i="25"/>
  <c r="I15" i="25"/>
  <c r="J15" i="25"/>
  <c r="K15" i="25"/>
  <c r="L15" i="25"/>
  <c r="M15" i="25"/>
  <c r="N15" i="25"/>
  <c r="E16" i="25"/>
  <c r="G16" i="25"/>
  <c r="H16" i="25"/>
  <c r="I16" i="25"/>
  <c r="E17" i="25"/>
  <c r="G17" i="25"/>
  <c r="H17" i="25"/>
  <c r="I17" i="25"/>
  <c r="J17" i="25"/>
  <c r="K17" i="25"/>
  <c r="L17" i="25"/>
  <c r="E18" i="25"/>
  <c r="H18" i="25"/>
  <c r="I18" i="25"/>
  <c r="J18" i="25"/>
  <c r="E19" i="25"/>
  <c r="F19" i="25"/>
  <c r="G19" i="25"/>
  <c r="H19" i="25"/>
  <c r="I19" i="25"/>
  <c r="J19" i="25"/>
  <c r="K19" i="25"/>
  <c r="G20" i="25"/>
  <c r="H20" i="25"/>
  <c r="I20" i="25"/>
  <c r="E21" i="25"/>
  <c r="F21" i="25"/>
  <c r="G21" i="25"/>
  <c r="H21" i="25"/>
  <c r="I21" i="25"/>
  <c r="K21" i="25"/>
  <c r="L21" i="25"/>
  <c r="E22" i="25"/>
  <c r="G22" i="25"/>
  <c r="H22" i="25"/>
  <c r="I22" i="25"/>
  <c r="K22" i="25"/>
  <c r="N22" i="25"/>
  <c r="E23" i="25"/>
  <c r="F23" i="25"/>
  <c r="G23" i="25"/>
  <c r="H23" i="25"/>
  <c r="I23" i="25"/>
  <c r="J23" i="25"/>
  <c r="E24" i="25"/>
  <c r="H24" i="25"/>
  <c r="I24" i="25"/>
  <c r="J24" i="25"/>
  <c r="K24" i="25"/>
  <c r="L24" i="25"/>
  <c r="M24" i="25"/>
  <c r="N24" i="25"/>
  <c r="E25" i="25"/>
  <c r="G25" i="25"/>
  <c r="H25" i="25"/>
  <c r="I25" i="25"/>
  <c r="G26" i="25"/>
  <c r="H26" i="25"/>
  <c r="I26" i="25"/>
  <c r="J26" i="25"/>
  <c r="K26" i="25"/>
  <c r="L26" i="25"/>
  <c r="M26" i="25"/>
  <c r="E27" i="25"/>
  <c r="F27" i="25"/>
  <c r="G27" i="25"/>
  <c r="H27" i="25"/>
  <c r="I27" i="25"/>
  <c r="K27" i="25"/>
  <c r="E28" i="25"/>
  <c r="G28" i="25"/>
  <c r="H28" i="25"/>
  <c r="I28" i="25"/>
  <c r="J28" i="25"/>
  <c r="K28" i="25"/>
  <c r="E29" i="25"/>
  <c r="G29" i="25"/>
  <c r="H29" i="25"/>
  <c r="I29" i="25"/>
  <c r="E30" i="25"/>
  <c r="F30" i="25"/>
  <c r="G30" i="25"/>
  <c r="H30" i="25"/>
  <c r="I30" i="25"/>
  <c r="M30" i="25"/>
  <c r="E31" i="25"/>
  <c r="G31" i="25"/>
  <c r="H31" i="25"/>
  <c r="I31" i="25"/>
  <c r="K31" i="25"/>
  <c r="E32" i="25"/>
  <c r="F32" i="25"/>
  <c r="G32" i="25"/>
  <c r="H32" i="25"/>
  <c r="I32" i="25"/>
  <c r="J32" i="25"/>
  <c r="K32" i="25"/>
  <c r="E33" i="25"/>
  <c r="H33" i="25"/>
  <c r="I33" i="25"/>
  <c r="J33" i="25"/>
  <c r="K33" i="25"/>
  <c r="L33" i="25"/>
  <c r="M33" i="25"/>
  <c r="N33" i="25"/>
  <c r="E34" i="25"/>
  <c r="G34" i="25"/>
  <c r="H34" i="25"/>
  <c r="I34" i="25"/>
  <c r="G35" i="25"/>
  <c r="H35" i="25"/>
  <c r="I35" i="25"/>
  <c r="J35" i="25"/>
  <c r="K35" i="25"/>
  <c r="L35" i="25"/>
  <c r="M35" i="25"/>
  <c r="N35" i="25"/>
  <c r="E36" i="25"/>
  <c r="G36" i="25"/>
  <c r="H36" i="25"/>
  <c r="I36" i="25"/>
  <c r="E37" i="25"/>
  <c r="G37" i="25"/>
  <c r="H37" i="25"/>
  <c r="I37" i="25"/>
  <c r="J37" i="25"/>
  <c r="K37" i="25"/>
  <c r="L37" i="25"/>
  <c r="E38" i="25"/>
  <c r="H38" i="25"/>
  <c r="I38" i="25"/>
  <c r="J38" i="25"/>
  <c r="E39" i="25"/>
  <c r="F39" i="25"/>
  <c r="G39" i="25"/>
  <c r="H39" i="25"/>
  <c r="I39" i="25"/>
  <c r="J39" i="25"/>
  <c r="K39" i="25"/>
  <c r="G40" i="25"/>
  <c r="H40" i="25"/>
  <c r="I40" i="25"/>
  <c r="E41" i="25"/>
  <c r="F41" i="25"/>
  <c r="G41" i="25"/>
  <c r="H41" i="25"/>
  <c r="I41" i="25"/>
  <c r="K41" i="25"/>
  <c r="L41" i="25"/>
  <c r="E42" i="25"/>
  <c r="G42" i="25"/>
  <c r="H42" i="25"/>
  <c r="I42" i="25"/>
  <c r="K42" i="25"/>
  <c r="E43" i="25"/>
  <c r="F43" i="25"/>
  <c r="G43" i="25"/>
  <c r="H43" i="25"/>
  <c r="I43" i="25"/>
  <c r="J43" i="25"/>
  <c r="E44" i="25"/>
  <c r="H44" i="25"/>
  <c r="I44" i="25"/>
  <c r="J44" i="25"/>
  <c r="K44" i="25"/>
  <c r="L44" i="25"/>
  <c r="M44" i="25"/>
  <c r="N44" i="25"/>
  <c r="E45" i="25"/>
  <c r="G45" i="25"/>
  <c r="H45" i="25"/>
  <c r="I45" i="25"/>
  <c r="K45" i="25"/>
  <c r="E46" i="25"/>
  <c r="G46" i="25"/>
  <c r="H46" i="25"/>
  <c r="I46" i="25"/>
  <c r="J46" i="25"/>
  <c r="K46" i="25"/>
  <c r="L46" i="25"/>
  <c r="M46" i="25"/>
  <c r="E47" i="25"/>
  <c r="F47" i="25"/>
  <c r="G47" i="25"/>
  <c r="H47" i="25"/>
  <c r="I47" i="25"/>
  <c r="K47" i="25"/>
  <c r="E48" i="25"/>
  <c r="G48" i="25"/>
  <c r="H48" i="25"/>
  <c r="I48" i="25"/>
  <c r="J48" i="25"/>
  <c r="K48" i="25"/>
  <c r="E49" i="25"/>
  <c r="G49" i="25"/>
  <c r="H49" i="25"/>
  <c r="I49" i="25"/>
  <c r="E50" i="25"/>
  <c r="F50" i="25"/>
  <c r="G50" i="25"/>
  <c r="H50" i="25"/>
  <c r="I50" i="25"/>
  <c r="J50" i="25"/>
  <c r="M50" i="25"/>
  <c r="E51" i="25"/>
  <c r="G51" i="25"/>
  <c r="H51" i="25"/>
  <c r="I51" i="25"/>
  <c r="K51" i="25"/>
  <c r="E52" i="25"/>
  <c r="F52" i="25"/>
  <c r="G52" i="25"/>
  <c r="H52" i="25"/>
  <c r="I52" i="25"/>
  <c r="J52" i="25"/>
  <c r="K52" i="25"/>
  <c r="E53" i="25"/>
  <c r="H53" i="25"/>
  <c r="I53" i="25"/>
  <c r="J53" i="25"/>
  <c r="K53" i="25"/>
  <c r="L53" i="25"/>
  <c r="M53" i="25"/>
  <c r="N53" i="25"/>
  <c r="E54" i="25"/>
  <c r="G54" i="25"/>
  <c r="H54" i="25"/>
  <c r="I54" i="25"/>
  <c r="E55" i="25"/>
  <c r="G55" i="25"/>
  <c r="H55" i="25"/>
  <c r="I55" i="25"/>
  <c r="J55" i="25"/>
  <c r="K55" i="25"/>
  <c r="L55" i="25"/>
  <c r="M55" i="25"/>
  <c r="N55" i="25"/>
  <c r="E56" i="25"/>
  <c r="F56" i="25"/>
  <c r="G56" i="25"/>
  <c r="H56" i="25"/>
  <c r="I56" i="25"/>
  <c r="E57" i="25"/>
  <c r="G57" i="25"/>
  <c r="H57" i="25"/>
  <c r="I57" i="25"/>
  <c r="J57" i="25"/>
  <c r="K57" i="25"/>
  <c r="L57" i="25"/>
  <c r="E58" i="25"/>
  <c r="H58" i="25"/>
  <c r="I58" i="25"/>
  <c r="J58" i="25"/>
  <c r="E59" i="25"/>
  <c r="F59" i="25"/>
  <c r="G59" i="25"/>
  <c r="H59" i="25"/>
  <c r="I59" i="25"/>
  <c r="J59" i="25"/>
  <c r="K59" i="25"/>
  <c r="E60" i="25"/>
  <c r="G60" i="25"/>
  <c r="H60" i="25"/>
  <c r="I60" i="25"/>
  <c r="E61" i="25"/>
  <c r="F61" i="25"/>
  <c r="G61" i="25"/>
  <c r="H61" i="25"/>
  <c r="I61" i="25"/>
  <c r="K61" i="25"/>
  <c r="L61" i="25"/>
  <c r="E62" i="25"/>
  <c r="G62" i="25"/>
  <c r="H62" i="25"/>
  <c r="I62" i="25"/>
  <c r="K62" i="25"/>
  <c r="E63" i="25"/>
  <c r="F63" i="25"/>
  <c r="G63" i="25"/>
  <c r="H63" i="25"/>
  <c r="I63" i="25"/>
  <c r="J63" i="25"/>
  <c r="E64" i="25"/>
  <c r="G64" i="25"/>
  <c r="H64" i="25"/>
  <c r="I64" i="25"/>
  <c r="J64" i="25"/>
  <c r="K64" i="25"/>
  <c r="L64" i="25"/>
  <c r="M64" i="25"/>
  <c r="N64" i="25"/>
  <c r="E65" i="25"/>
  <c r="G65" i="25"/>
  <c r="H65" i="25"/>
  <c r="I65" i="25"/>
  <c r="K65" i="25"/>
  <c r="E66" i="25"/>
  <c r="G66" i="25"/>
  <c r="H66" i="25"/>
  <c r="I66" i="25"/>
  <c r="J66" i="25"/>
  <c r="K66" i="25"/>
  <c r="L66" i="25"/>
  <c r="M66" i="25"/>
  <c r="E67" i="25"/>
  <c r="F67" i="25"/>
  <c r="G67" i="25"/>
  <c r="H67" i="25"/>
  <c r="I67" i="25"/>
  <c r="K67" i="25"/>
  <c r="E68" i="25"/>
  <c r="F68" i="25"/>
  <c r="G68" i="25"/>
  <c r="H68" i="25"/>
  <c r="I68" i="25"/>
  <c r="J68" i="25"/>
  <c r="K68" i="25"/>
  <c r="E69" i="25"/>
  <c r="G69" i="25"/>
  <c r="H69" i="25"/>
  <c r="I69" i="25"/>
  <c r="E70" i="25"/>
  <c r="F70" i="25"/>
  <c r="G70" i="25"/>
  <c r="H70" i="25"/>
  <c r="I70" i="25"/>
  <c r="J70" i="25"/>
  <c r="M70" i="25"/>
  <c r="E71" i="25"/>
  <c r="G71" i="25"/>
  <c r="H71" i="25"/>
  <c r="I71" i="25"/>
  <c r="K71" i="25"/>
  <c r="E72" i="25"/>
  <c r="F72" i="25"/>
  <c r="G72" i="25"/>
  <c r="H72" i="25"/>
  <c r="I72" i="25"/>
  <c r="J72" i="25"/>
  <c r="K72" i="25"/>
  <c r="E73" i="25"/>
  <c r="G73" i="25"/>
  <c r="H73" i="25"/>
  <c r="I73" i="25"/>
  <c r="J73" i="25"/>
  <c r="K73" i="25"/>
  <c r="L73" i="25"/>
  <c r="M73" i="25"/>
  <c r="N73" i="25"/>
  <c r="E74" i="25"/>
  <c r="G74" i="25"/>
  <c r="H74" i="25"/>
  <c r="I74" i="25"/>
  <c r="E75" i="25"/>
  <c r="G75" i="25"/>
  <c r="H75" i="25"/>
  <c r="I75" i="25"/>
  <c r="J75" i="25"/>
  <c r="K75" i="25"/>
  <c r="L75" i="25"/>
  <c r="M75" i="25"/>
  <c r="N75" i="25"/>
  <c r="E76" i="25"/>
  <c r="F76" i="25"/>
  <c r="G76" i="25"/>
  <c r="H76" i="25"/>
  <c r="I76" i="25"/>
  <c r="E77" i="25"/>
  <c r="G77" i="25"/>
  <c r="H77" i="25"/>
  <c r="I77" i="25"/>
  <c r="J77" i="25"/>
  <c r="K77" i="25"/>
  <c r="L77" i="25"/>
  <c r="E78" i="25"/>
  <c r="G78" i="25"/>
  <c r="H78" i="25"/>
  <c r="I78" i="25"/>
  <c r="J78" i="25"/>
  <c r="E79" i="25"/>
  <c r="F79" i="25"/>
  <c r="G79" i="25"/>
  <c r="H79" i="25"/>
  <c r="I79" i="25"/>
  <c r="J79" i="25"/>
  <c r="K79" i="25"/>
  <c r="E80" i="25"/>
  <c r="G80" i="25"/>
  <c r="H80" i="25"/>
  <c r="I80" i="25"/>
  <c r="E81" i="25"/>
  <c r="F81" i="25"/>
  <c r="G81" i="25"/>
  <c r="H81" i="25"/>
  <c r="I81" i="25"/>
  <c r="K81" i="25"/>
  <c r="L81" i="25"/>
  <c r="E82" i="25"/>
  <c r="G82" i="25"/>
  <c r="H82" i="25"/>
  <c r="I82" i="25"/>
  <c r="J82" i="25"/>
  <c r="K82" i="25"/>
  <c r="M82" i="25"/>
  <c r="E83" i="25"/>
  <c r="F83" i="25"/>
  <c r="G83" i="25"/>
  <c r="H83" i="25"/>
  <c r="I83" i="25"/>
  <c r="J83" i="25"/>
  <c r="E84" i="25"/>
  <c r="G84" i="25"/>
  <c r="H84" i="25"/>
  <c r="I84" i="25"/>
  <c r="J84" i="25"/>
  <c r="K84" i="25"/>
  <c r="L84" i="25"/>
  <c r="M84" i="25"/>
  <c r="N84" i="25"/>
  <c r="E85" i="25"/>
  <c r="G85" i="25"/>
  <c r="H85" i="25"/>
  <c r="I85" i="25"/>
  <c r="K85" i="25"/>
  <c r="E86" i="25"/>
  <c r="G86" i="25"/>
  <c r="H86" i="25"/>
  <c r="I86" i="25"/>
  <c r="J86" i="25"/>
  <c r="K86" i="25"/>
  <c r="L86" i="25"/>
  <c r="M86" i="25"/>
  <c r="E87" i="25"/>
  <c r="F87" i="25"/>
  <c r="G87" i="25"/>
  <c r="H87" i="25"/>
  <c r="I87" i="25"/>
  <c r="K87" i="25"/>
  <c r="E88" i="25"/>
  <c r="F88" i="25"/>
  <c r="G88" i="25"/>
  <c r="H88" i="25"/>
  <c r="I88" i="25"/>
  <c r="J88" i="25"/>
  <c r="K88" i="25"/>
  <c r="E89" i="25"/>
  <c r="G89" i="25"/>
  <c r="H89" i="25"/>
  <c r="I89" i="25"/>
  <c r="E90" i="25"/>
  <c r="F90" i="25"/>
  <c r="G90" i="25"/>
  <c r="H90" i="25"/>
  <c r="I90" i="25"/>
  <c r="J90" i="25"/>
  <c r="K90" i="25"/>
  <c r="L90" i="25"/>
  <c r="M90" i="25"/>
  <c r="E91" i="25"/>
  <c r="G91" i="25"/>
  <c r="H91" i="25"/>
  <c r="I91" i="25"/>
  <c r="K91" i="25"/>
  <c r="E92" i="25"/>
  <c r="F92" i="25"/>
  <c r="G92" i="25"/>
  <c r="H92" i="25"/>
  <c r="I92" i="25"/>
  <c r="J92" i="25"/>
  <c r="K92" i="25"/>
  <c r="E93" i="25"/>
  <c r="G93" i="25"/>
  <c r="H93" i="25"/>
  <c r="I93" i="25"/>
  <c r="J93" i="25"/>
  <c r="K93" i="25"/>
  <c r="L93" i="25"/>
  <c r="M93" i="25"/>
  <c r="N93" i="25"/>
  <c r="E94" i="25"/>
  <c r="G94" i="25"/>
  <c r="H94" i="25"/>
  <c r="I94" i="25"/>
  <c r="E95" i="25"/>
  <c r="G95" i="25"/>
  <c r="H95" i="25"/>
  <c r="I95" i="25"/>
  <c r="J95" i="25"/>
  <c r="K95" i="25"/>
  <c r="L95" i="25"/>
  <c r="M95" i="25"/>
  <c r="N95" i="25"/>
  <c r="E96" i="25"/>
  <c r="F96" i="25"/>
  <c r="G96" i="25"/>
  <c r="H96" i="25"/>
  <c r="I96" i="25"/>
  <c r="J96" i="25"/>
  <c r="E97" i="25"/>
  <c r="G97" i="25"/>
  <c r="H97" i="25"/>
  <c r="I97" i="25"/>
  <c r="J97" i="25"/>
  <c r="K97" i="25"/>
  <c r="L97" i="25"/>
  <c r="D4" i="24"/>
  <c r="E4" i="24"/>
  <c r="F4" i="24"/>
  <c r="F6" i="24" s="1"/>
  <c r="G4" i="24"/>
  <c r="H4" i="24"/>
  <c r="I4" i="24"/>
  <c r="I6" i="24" s="1"/>
  <c r="J4" i="24"/>
  <c r="K4" i="24"/>
  <c r="L4" i="24"/>
  <c r="M4" i="24"/>
  <c r="N4" i="24"/>
  <c r="O4" i="24"/>
  <c r="P4" i="24"/>
  <c r="Q4" i="24"/>
  <c r="R4" i="24"/>
  <c r="S4" i="24"/>
  <c r="T4" i="24"/>
  <c r="U4" i="24"/>
  <c r="D6" i="24"/>
  <c r="E6" i="24"/>
  <c r="G6" i="24"/>
  <c r="H6" i="24"/>
  <c r="K6" i="24"/>
  <c r="L6" i="24"/>
  <c r="D7" i="24"/>
  <c r="E7" i="24"/>
  <c r="F7" i="24"/>
  <c r="G7" i="24"/>
  <c r="H7" i="24"/>
  <c r="I7" i="24"/>
  <c r="K7" i="24"/>
  <c r="L7" i="24"/>
  <c r="Q7" i="24"/>
  <c r="D8" i="24"/>
  <c r="E8" i="24"/>
  <c r="F8" i="24"/>
  <c r="G8" i="24"/>
  <c r="H8" i="24"/>
  <c r="J8" i="24"/>
  <c r="K8" i="24"/>
  <c r="L8" i="24"/>
  <c r="M8" i="24"/>
  <c r="N8" i="24"/>
  <c r="D9" i="24"/>
  <c r="E9" i="24"/>
  <c r="F9" i="24"/>
  <c r="G9" i="24"/>
  <c r="H9" i="24"/>
  <c r="I9" i="24"/>
  <c r="I12" i="24" s="1"/>
  <c r="J9" i="24"/>
  <c r="K9" i="24"/>
  <c r="K19" i="24" s="1"/>
  <c r="L9" i="24"/>
  <c r="M9" i="24"/>
  <c r="M31" i="24" s="1"/>
  <c r="N9" i="24"/>
  <c r="O9" i="24"/>
  <c r="O66" i="24" s="1"/>
  <c r="P9" i="24"/>
  <c r="Q9" i="24"/>
  <c r="Q15" i="24" s="1"/>
  <c r="R9" i="24"/>
  <c r="S9" i="24"/>
  <c r="T9" i="24"/>
  <c r="T16" i="24" s="1"/>
  <c r="U9" i="24"/>
  <c r="U29" i="24" s="1"/>
  <c r="D12" i="24"/>
  <c r="E12" i="24"/>
  <c r="J12" i="24"/>
  <c r="K12" i="24"/>
  <c r="L12" i="24"/>
  <c r="M12" i="24"/>
  <c r="P12" i="24"/>
  <c r="Q12" i="24"/>
  <c r="T12" i="24"/>
  <c r="D13" i="24"/>
  <c r="J13" i="24"/>
  <c r="L13" i="24"/>
  <c r="M13" i="24"/>
  <c r="N13" i="24"/>
  <c r="P13" i="24"/>
  <c r="Q13" i="24"/>
  <c r="R13" i="24"/>
  <c r="U13" i="24"/>
  <c r="D14" i="24"/>
  <c r="E14" i="24"/>
  <c r="L14" i="24"/>
  <c r="M14" i="24"/>
  <c r="N14" i="24"/>
  <c r="P14" i="24"/>
  <c r="Q14" i="24"/>
  <c r="R14" i="24"/>
  <c r="S14" i="24"/>
  <c r="D15" i="24"/>
  <c r="E15" i="24"/>
  <c r="I15" i="24"/>
  <c r="J15" i="24"/>
  <c r="K15" i="24"/>
  <c r="L15" i="24"/>
  <c r="M15" i="24"/>
  <c r="O15" i="24"/>
  <c r="P15" i="24"/>
  <c r="S15" i="24"/>
  <c r="D16" i="24"/>
  <c r="E16" i="24"/>
  <c r="J16" i="24"/>
  <c r="K16" i="24"/>
  <c r="L16" i="24"/>
  <c r="M16" i="24"/>
  <c r="N16" i="24"/>
  <c r="O16" i="24"/>
  <c r="P16" i="24"/>
  <c r="Q16" i="24"/>
  <c r="E17" i="24"/>
  <c r="G17" i="24"/>
  <c r="J17" i="24"/>
  <c r="K17" i="24"/>
  <c r="L17" i="24"/>
  <c r="M17" i="24"/>
  <c r="N17" i="24"/>
  <c r="O17" i="24"/>
  <c r="P17" i="24"/>
  <c r="Q17" i="24"/>
  <c r="R17" i="24"/>
  <c r="J18" i="24"/>
  <c r="L18" i="24"/>
  <c r="M18" i="24"/>
  <c r="O18" i="24"/>
  <c r="P18" i="24"/>
  <c r="Q18" i="24"/>
  <c r="R18" i="24"/>
  <c r="S18" i="24"/>
  <c r="D19" i="24"/>
  <c r="J19" i="24"/>
  <c r="L19" i="24"/>
  <c r="M19" i="24"/>
  <c r="O19" i="24"/>
  <c r="P19" i="24"/>
  <c r="Q19" i="24"/>
  <c r="R19" i="24"/>
  <c r="S19" i="24"/>
  <c r="T19" i="24"/>
  <c r="D20" i="24"/>
  <c r="E20" i="24"/>
  <c r="J20" i="24"/>
  <c r="K20" i="24"/>
  <c r="L20" i="24"/>
  <c r="M20" i="24"/>
  <c r="N20" i="24"/>
  <c r="O20" i="24"/>
  <c r="P20" i="24"/>
  <c r="Q20" i="24"/>
  <c r="R20" i="24"/>
  <c r="S20" i="24"/>
  <c r="T20" i="24"/>
  <c r="E21" i="24"/>
  <c r="J21" i="24"/>
  <c r="K21" i="24"/>
  <c r="L21" i="24"/>
  <c r="M21" i="24"/>
  <c r="N21" i="24"/>
  <c r="O21" i="24"/>
  <c r="P21" i="24"/>
  <c r="Q21" i="24"/>
  <c r="R21" i="24"/>
  <c r="S21" i="24"/>
  <c r="T21" i="24"/>
  <c r="J22" i="24"/>
  <c r="L22" i="24"/>
  <c r="M22" i="24"/>
  <c r="P22" i="24"/>
  <c r="Q22" i="24"/>
  <c r="R22" i="24"/>
  <c r="S22" i="24"/>
  <c r="T22" i="24"/>
  <c r="D23" i="24"/>
  <c r="K23" i="24"/>
  <c r="L23" i="24"/>
  <c r="M23" i="24"/>
  <c r="O23" i="24"/>
  <c r="P23" i="24"/>
  <c r="Q23" i="24"/>
  <c r="R23" i="24"/>
  <c r="S23" i="24"/>
  <c r="T23" i="24"/>
  <c r="D24" i="24"/>
  <c r="E24" i="24"/>
  <c r="L24" i="24"/>
  <c r="M24" i="24"/>
  <c r="N24" i="24"/>
  <c r="O24" i="24"/>
  <c r="P24" i="24"/>
  <c r="Q24" i="24"/>
  <c r="R24" i="24"/>
  <c r="S24" i="24"/>
  <c r="T24" i="24"/>
  <c r="D25" i="24"/>
  <c r="E25" i="24"/>
  <c r="J25" i="24"/>
  <c r="L25" i="24"/>
  <c r="M25" i="24"/>
  <c r="N25" i="24"/>
  <c r="O25" i="24"/>
  <c r="P25" i="24"/>
  <c r="Q25" i="24"/>
  <c r="R25" i="24"/>
  <c r="S25" i="24"/>
  <c r="D26" i="24"/>
  <c r="F26" i="24"/>
  <c r="J26" i="24"/>
  <c r="K26" i="24"/>
  <c r="L26" i="24"/>
  <c r="M26" i="24"/>
  <c r="P26" i="24"/>
  <c r="Q26" i="24"/>
  <c r="R26" i="24"/>
  <c r="S26" i="24"/>
  <c r="T26" i="24"/>
  <c r="D27" i="24"/>
  <c r="E27" i="24"/>
  <c r="L27" i="24"/>
  <c r="N27" i="24"/>
  <c r="O27" i="24"/>
  <c r="P27" i="24"/>
  <c r="Q27" i="24"/>
  <c r="R27" i="24"/>
  <c r="S27" i="24"/>
  <c r="T27" i="24"/>
  <c r="D28" i="24"/>
  <c r="E28" i="24"/>
  <c r="L28" i="24"/>
  <c r="M28" i="24"/>
  <c r="P28" i="24"/>
  <c r="Q28" i="24"/>
  <c r="R28" i="24"/>
  <c r="S28" i="24"/>
  <c r="T28" i="24"/>
  <c r="U28" i="24"/>
  <c r="D29" i="24"/>
  <c r="E29" i="24"/>
  <c r="F29" i="24"/>
  <c r="G29" i="24"/>
  <c r="H29" i="24"/>
  <c r="L29" i="24"/>
  <c r="M29" i="24"/>
  <c r="P29" i="24"/>
  <c r="Q29" i="24"/>
  <c r="R29" i="24"/>
  <c r="S29" i="24"/>
  <c r="T29" i="24"/>
  <c r="D30" i="24"/>
  <c r="E30" i="24"/>
  <c r="J30" i="24"/>
  <c r="K30" i="24"/>
  <c r="L30" i="24"/>
  <c r="M30" i="24"/>
  <c r="O30" i="24"/>
  <c r="P30" i="24"/>
  <c r="Q30" i="24"/>
  <c r="R30" i="24"/>
  <c r="S30" i="24"/>
  <c r="T30" i="24"/>
  <c r="D31" i="24"/>
  <c r="E31" i="24"/>
  <c r="J31" i="24"/>
  <c r="K31" i="24"/>
  <c r="L31" i="24"/>
  <c r="P31" i="24"/>
  <c r="R31" i="24"/>
  <c r="S31" i="24"/>
  <c r="T31" i="24"/>
  <c r="D32" i="24"/>
  <c r="E32" i="24"/>
  <c r="J32" i="24"/>
  <c r="K32" i="24"/>
  <c r="L32" i="24"/>
  <c r="M32" i="24"/>
  <c r="O32" i="24"/>
  <c r="P32" i="24"/>
  <c r="Q32" i="24"/>
  <c r="S32" i="24"/>
  <c r="T32" i="24"/>
  <c r="U32" i="24"/>
  <c r="D33" i="24"/>
  <c r="G33" i="24"/>
  <c r="H33" i="24"/>
  <c r="I33" i="24"/>
  <c r="J33" i="24"/>
  <c r="L33" i="24"/>
  <c r="M33" i="24"/>
  <c r="N33" i="24"/>
  <c r="P33" i="24"/>
  <c r="Q33" i="24"/>
  <c r="R33" i="24"/>
  <c r="T33" i="24"/>
  <c r="D34" i="24"/>
  <c r="E34" i="24"/>
  <c r="J34" i="24"/>
  <c r="K34" i="24"/>
  <c r="L34" i="24"/>
  <c r="M34" i="24"/>
  <c r="N34" i="24"/>
  <c r="O34" i="24"/>
  <c r="P34" i="24"/>
  <c r="Q34" i="24"/>
  <c r="R34" i="24"/>
  <c r="S34" i="24"/>
  <c r="L35" i="24"/>
  <c r="M35" i="24"/>
  <c r="N35" i="24"/>
  <c r="O35" i="24"/>
  <c r="P35" i="24"/>
  <c r="R35" i="24"/>
  <c r="S35" i="24"/>
  <c r="T35" i="24"/>
  <c r="D36" i="24"/>
  <c r="E36" i="24"/>
  <c r="J36" i="24"/>
  <c r="L36" i="24"/>
  <c r="M36" i="24"/>
  <c r="P36" i="24"/>
  <c r="Q36" i="24"/>
  <c r="S36" i="24"/>
  <c r="T36" i="24"/>
  <c r="D37" i="24"/>
  <c r="E37" i="24"/>
  <c r="L37" i="24"/>
  <c r="M37" i="24"/>
  <c r="O37" i="24"/>
  <c r="P37" i="24"/>
  <c r="Q37" i="24"/>
  <c r="R37" i="24"/>
  <c r="T37" i="24"/>
  <c r="U37" i="24"/>
  <c r="E38" i="24"/>
  <c r="J38" i="24"/>
  <c r="K38" i="24"/>
  <c r="L38" i="24"/>
  <c r="M38" i="24"/>
  <c r="P38" i="24"/>
  <c r="Q38" i="24"/>
  <c r="R38" i="24"/>
  <c r="S38" i="24"/>
  <c r="D39" i="24"/>
  <c r="F39" i="24"/>
  <c r="G39" i="24"/>
  <c r="H39" i="24"/>
  <c r="I39" i="24"/>
  <c r="J39" i="24"/>
  <c r="K39" i="24"/>
  <c r="L39" i="24"/>
  <c r="M39" i="24"/>
  <c r="N39" i="24"/>
  <c r="O39" i="24"/>
  <c r="P39" i="24"/>
  <c r="Q39" i="24"/>
  <c r="R39" i="24"/>
  <c r="S39" i="24"/>
  <c r="D40" i="24"/>
  <c r="E40" i="24"/>
  <c r="H40" i="24"/>
  <c r="I40" i="24"/>
  <c r="J40" i="24"/>
  <c r="K40" i="24"/>
  <c r="L40" i="24"/>
  <c r="M40" i="24"/>
  <c r="O40" i="24"/>
  <c r="P40" i="24"/>
  <c r="Q40" i="24"/>
  <c r="R40" i="24"/>
  <c r="D41" i="24"/>
  <c r="E41" i="24"/>
  <c r="J41" i="24"/>
  <c r="K41" i="24"/>
  <c r="L41" i="24"/>
  <c r="M41" i="24"/>
  <c r="N41" i="24"/>
  <c r="O41" i="24"/>
  <c r="P41" i="24"/>
  <c r="Q41" i="24"/>
  <c r="R41" i="24"/>
  <c r="S41" i="24"/>
  <c r="T41" i="24"/>
  <c r="U41" i="24"/>
  <c r="J42" i="24"/>
  <c r="L42" i="24"/>
  <c r="M42" i="24"/>
  <c r="N42" i="24"/>
  <c r="O42" i="24"/>
  <c r="P42" i="24"/>
  <c r="Q42" i="24"/>
  <c r="R42" i="24"/>
  <c r="S42" i="24"/>
  <c r="T42" i="24"/>
  <c r="U42" i="24"/>
  <c r="D43" i="24"/>
  <c r="K43" i="24"/>
  <c r="L43" i="24"/>
  <c r="M43" i="24"/>
  <c r="P43" i="24"/>
  <c r="Q43" i="24"/>
  <c r="R43" i="24"/>
  <c r="S43" i="24"/>
  <c r="T43" i="24"/>
  <c r="D44" i="24"/>
  <c r="E44" i="24"/>
  <c r="L44" i="24"/>
  <c r="M44" i="24"/>
  <c r="N44" i="24"/>
  <c r="P44" i="24"/>
  <c r="Q44" i="24"/>
  <c r="R44" i="24"/>
  <c r="S44" i="24"/>
  <c r="T44" i="24"/>
  <c r="U44" i="24"/>
  <c r="D45" i="24"/>
  <c r="E45" i="24"/>
  <c r="J45" i="24"/>
  <c r="L45" i="24"/>
  <c r="M45" i="24"/>
  <c r="P45" i="24"/>
  <c r="Q45" i="24"/>
  <c r="R45" i="24"/>
  <c r="S45" i="24"/>
  <c r="D46" i="24"/>
  <c r="E46" i="24"/>
  <c r="F46" i="24"/>
  <c r="G46" i="24"/>
  <c r="I46" i="24"/>
  <c r="J46" i="24"/>
  <c r="K46" i="24"/>
  <c r="L46" i="24"/>
  <c r="M46" i="24"/>
  <c r="N46" i="24"/>
  <c r="O46" i="24"/>
  <c r="P46" i="24"/>
  <c r="Q46" i="24"/>
  <c r="R46" i="24"/>
  <c r="S46" i="24"/>
  <c r="D47" i="24"/>
  <c r="E47" i="24"/>
  <c r="J47" i="24"/>
  <c r="K47" i="24"/>
  <c r="L47" i="24"/>
  <c r="N47" i="24"/>
  <c r="O47" i="24"/>
  <c r="P47" i="24"/>
  <c r="Q47" i="24"/>
  <c r="R47" i="24"/>
  <c r="D48" i="24"/>
  <c r="E48" i="24"/>
  <c r="K48" i="24"/>
  <c r="L48" i="24"/>
  <c r="M48" i="24"/>
  <c r="O48" i="24"/>
  <c r="P48" i="24"/>
  <c r="Q48" i="24"/>
  <c r="R48" i="24"/>
  <c r="S48" i="24"/>
  <c r="T48" i="24"/>
  <c r="U48" i="24"/>
  <c r="D49" i="24"/>
  <c r="E49" i="24"/>
  <c r="F49" i="24"/>
  <c r="L49" i="24"/>
  <c r="M49" i="24"/>
  <c r="N49" i="24"/>
  <c r="P49" i="24"/>
  <c r="Q49" i="24"/>
  <c r="R49" i="24"/>
  <c r="S49" i="24"/>
  <c r="T49" i="24"/>
  <c r="D50" i="24"/>
  <c r="E50" i="24"/>
  <c r="K50" i="24"/>
  <c r="L50" i="24"/>
  <c r="M50" i="24"/>
  <c r="N50" i="24"/>
  <c r="O50" i="24"/>
  <c r="P50" i="24"/>
  <c r="Q50" i="24"/>
  <c r="R50" i="24"/>
  <c r="S50" i="24"/>
  <c r="T50" i="24"/>
  <c r="D51" i="24"/>
  <c r="E51" i="24"/>
  <c r="J51" i="24"/>
  <c r="L51" i="24"/>
  <c r="P51" i="24"/>
  <c r="R51" i="24"/>
  <c r="S51" i="24"/>
  <c r="T51" i="24"/>
  <c r="U51" i="24"/>
  <c r="D52" i="24"/>
  <c r="E52" i="24"/>
  <c r="F52" i="24"/>
  <c r="L52" i="24"/>
  <c r="M52" i="24"/>
  <c r="P52" i="24"/>
  <c r="Q52" i="24"/>
  <c r="S52" i="24"/>
  <c r="T52" i="24"/>
  <c r="D53" i="24"/>
  <c r="E53" i="24"/>
  <c r="G53" i="24"/>
  <c r="H53" i="24"/>
  <c r="I53" i="24"/>
  <c r="J53" i="24"/>
  <c r="K53" i="24"/>
  <c r="L53" i="24"/>
  <c r="M53" i="24"/>
  <c r="P53" i="24"/>
  <c r="Q53" i="24"/>
  <c r="R53" i="24"/>
  <c r="T53" i="24"/>
  <c r="D54" i="24"/>
  <c r="E54" i="24"/>
  <c r="J54" i="24"/>
  <c r="K54" i="24"/>
  <c r="L54" i="24"/>
  <c r="M54" i="24"/>
  <c r="N54" i="24"/>
  <c r="O54" i="24"/>
  <c r="P54" i="24"/>
  <c r="Q54" i="24"/>
  <c r="R54" i="24"/>
  <c r="S54" i="24"/>
  <c r="D55" i="24"/>
  <c r="E55" i="24"/>
  <c r="J55" i="24"/>
  <c r="K55" i="24"/>
  <c r="L55" i="24"/>
  <c r="M55" i="24"/>
  <c r="N55" i="24"/>
  <c r="O55" i="24"/>
  <c r="P55" i="24"/>
  <c r="R55" i="24"/>
  <c r="S55" i="24"/>
  <c r="D56" i="24"/>
  <c r="E56" i="24"/>
  <c r="J56" i="24"/>
  <c r="K56" i="24"/>
  <c r="L56" i="24"/>
  <c r="M56" i="24"/>
  <c r="N56" i="24"/>
  <c r="O56" i="24"/>
  <c r="P56" i="24"/>
  <c r="Q56" i="24"/>
  <c r="S56" i="24"/>
  <c r="T56" i="24"/>
  <c r="U56" i="24"/>
  <c r="D57" i="24"/>
  <c r="L57" i="24"/>
  <c r="M57" i="24"/>
  <c r="N57" i="24"/>
  <c r="O57" i="24"/>
  <c r="P57" i="24"/>
  <c r="Q57" i="24"/>
  <c r="R57" i="24"/>
  <c r="T57" i="24"/>
  <c r="E58" i="24"/>
  <c r="J58" i="24"/>
  <c r="L58" i="24"/>
  <c r="M58" i="24"/>
  <c r="O58" i="24"/>
  <c r="P58" i="24"/>
  <c r="Q58" i="24"/>
  <c r="R58" i="24"/>
  <c r="S58" i="24"/>
  <c r="U58" i="24"/>
  <c r="D59" i="24"/>
  <c r="F59" i="24"/>
  <c r="L59" i="24"/>
  <c r="M59" i="24"/>
  <c r="O59" i="24"/>
  <c r="P59" i="24"/>
  <c r="Q59" i="24"/>
  <c r="R59" i="24"/>
  <c r="S59" i="24"/>
  <c r="T59" i="24"/>
  <c r="D60" i="24"/>
  <c r="E60" i="24"/>
  <c r="G60" i="24"/>
  <c r="H60" i="24"/>
  <c r="J60" i="24"/>
  <c r="K60" i="24"/>
  <c r="L60" i="24"/>
  <c r="M60" i="24"/>
  <c r="P60" i="24"/>
  <c r="Q60" i="24"/>
  <c r="R60" i="24"/>
  <c r="S60" i="24"/>
  <c r="D61" i="24"/>
  <c r="E61" i="24"/>
  <c r="J61" i="24"/>
  <c r="K61" i="24"/>
  <c r="L61" i="24"/>
  <c r="M61" i="24"/>
  <c r="N61" i="24"/>
  <c r="O61" i="24"/>
  <c r="P61" i="24"/>
  <c r="Q61" i="24"/>
  <c r="R61" i="24"/>
  <c r="S61" i="24"/>
  <c r="E62" i="24"/>
  <c r="J62" i="24"/>
  <c r="K62" i="24"/>
  <c r="L62" i="24"/>
  <c r="M62" i="24"/>
  <c r="N62" i="24"/>
  <c r="O62" i="24"/>
  <c r="P62" i="24"/>
  <c r="Q62" i="24"/>
  <c r="R62" i="24"/>
  <c r="S62" i="24"/>
  <c r="D63" i="24"/>
  <c r="F63" i="24"/>
  <c r="J63" i="24"/>
  <c r="L63" i="24"/>
  <c r="M63" i="24"/>
  <c r="N63" i="24"/>
  <c r="P63" i="24"/>
  <c r="Q63" i="24"/>
  <c r="R63" i="24"/>
  <c r="S63" i="24"/>
  <c r="T63" i="24"/>
  <c r="D64" i="24"/>
  <c r="E64" i="24"/>
  <c r="L64" i="24"/>
  <c r="M64" i="24"/>
  <c r="N64" i="24"/>
  <c r="O64" i="24"/>
  <c r="P64" i="24"/>
  <c r="Q64" i="24"/>
  <c r="R64" i="24"/>
  <c r="S64" i="24"/>
  <c r="T64" i="24"/>
  <c r="D65" i="24"/>
  <c r="E65" i="24"/>
  <c r="J65" i="24"/>
  <c r="L65" i="24"/>
  <c r="M65" i="24"/>
  <c r="P65" i="24"/>
  <c r="Q65" i="24"/>
  <c r="R65" i="24"/>
  <c r="S65" i="24"/>
  <c r="T65" i="24"/>
  <c r="U65" i="24"/>
  <c r="D66" i="24"/>
  <c r="E66" i="24"/>
  <c r="L66" i="24"/>
  <c r="M66" i="24"/>
  <c r="P66" i="24"/>
  <c r="Q66" i="24"/>
  <c r="R66" i="24"/>
  <c r="S66" i="24"/>
  <c r="T66" i="24"/>
  <c r="U66" i="24"/>
  <c r="D67" i="24"/>
  <c r="E67" i="24"/>
  <c r="G67" i="24"/>
  <c r="H67" i="24"/>
  <c r="J67" i="24"/>
  <c r="L67" i="24"/>
  <c r="O67" i="24"/>
  <c r="P67" i="24"/>
  <c r="Q67" i="24"/>
  <c r="R67" i="24"/>
  <c r="S67" i="24"/>
  <c r="D68" i="24"/>
  <c r="E68" i="24"/>
  <c r="H68" i="24"/>
  <c r="I68" i="24"/>
  <c r="K68" i="24"/>
  <c r="L68" i="24"/>
  <c r="M68" i="24"/>
  <c r="O68" i="24"/>
  <c r="P68" i="24"/>
  <c r="Q68" i="24"/>
  <c r="R68" i="24"/>
  <c r="S68" i="24"/>
  <c r="D69" i="24"/>
  <c r="E69" i="24"/>
  <c r="J69" i="24"/>
  <c r="L69" i="24"/>
  <c r="M69" i="24"/>
  <c r="N69" i="24"/>
  <c r="P69" i="24"/>
  <c r="Q69" i="24"/>
  <c r="R69" i="24"/>
  <c r="S69" i="24"/>
  <c r="U69" i="24"/>
  <c r="D70" i="24"/>
  <c r="E70" i="24"/>
  <c r="J70" i="24"/>
  <c r="K70" i="24"/>
  <c r="L70" i="24"/>
  <c r="M70" i="24"/>
  <c r="N70" i="24"/>
  <c r="O70" i="24"/>
  <c r="P70" i="24"/>
  <c r="Q70" i="24"/>
  <c r="R70" i="24"/>
  <c r="S70" i="24"/>
  <c r="D71" i="24"/>
  <c r="E71" i="24"/>
  <c r="F71" i="24"/>
  <c r="I71" i="24"/>
  <c r="J71" i="24"/>
  <c r="L71" i="24"/>
  <c r="N71" i="24"/>
  <c r="O71" i="24"/>
  <c r="P71" i="24"/>
  <c r="R71" i="24"/>
  <c r="S71" i="24"/>
  <c r="T71" i="24"/>
  <c r="D72" i="24"/>
  <c r="L72" i="24"/>
  <c r="M72" i="24"/>
  <c r="O72" i="24"/>
  <c r="P72" i="24"/>
  <c r="Q72" i="24"/>
  <c r="S72" i="24"/>
  <c r="T72" i="24"/>
  <c r="D73" i="24"/>
  <c r="E73" i="24"/>
  <c r="J73" i="24"/>
  <c r="L73" i="24"/>
  <c r="M73" i="24"/>
  <c r="P73" i="24"/>
  <c r="Q73" i="24"/>
  <c r="R73" i="24"/>
  <c r="T73" i="24"/>
  <c r="U73" i="24"/>
  <c r="D74" i="24"/>
  <c r="E74" i="24"/>
  <c r="F74" i="24"/>
  <c r="G74" i="24"/>
  <c r="L74" i="24"/>
  <c r="M74" i="24"/>
  <c r="P74" i="24"/>
  <c r="Q74" i="24"/>
  <c r="R74" i="24"/>
  <c r="S74" i="24"/>
  <c r="D75" i="24"/>
  <c r="E75" i="24"/>
  <c r="F75" i="24"/>
  <c r="G75" i="24"/>
  <c r="H75" i="24"/>
  <c r="I75" i="24"/>
  <c r="J75" i="24"/>
  <c r="K75" i="24"/>
  <c r="L75" i="24"/>
  <c r="M75" i="24"/>
  <c r="N75" i="24"/>
  <c r="O75" i="24"/>
  <c r="P75" i="24"/>
  <c r="R75" i="24"/>
  <c r="S75" i="24"/>
  <c r="D76" i="24"/>
  <c r="E76" i="24"/>
  <c r="J76" i="24"/>
  <c r="K76" i="24"/>
  <c r="L76" i="24"/>
  <c r="M76" i="24"/>
  <c r="N76" i="24"/>
  <c r="P76" i="24"/>
  <c r="Q76" i="24"/>
  <c r="S76" i="24"/>
  <c r="D77" i="24"/>
  <c r="E77" i="24"/>
  <c r="J77" i="24"/>
  <c r="K77" i="24"/>
  <c r="L77" i="24"/>
  <c r="M77" i="24"/>
  <c r="N77" i="24"/>
  <c r="O77" i="24"/>
  <c r="P77" i="24"/>
  <c r="Q77" i="24"/>
  <c r="R77" i="24"/>
  <c r="U77" i="24"/>
  <c r="E78" i="24"/>
  <c r="J78" i="24"/>
  <c r="K78" i="24"/>
  <c r="L78" i="24"/>
  <c r="M78" i="24"/>
  <c r="N78" i="24"/>
  <c r="O78" i="24"/>
  <c r="P78" i="24"/>
  <c r="Q78" i="24"/>
  <c r="R78" i="24"/>
  <c r="S78" i="24"/>
  <c r="U78" i="24"/>
  <c r="D79" i="24"/>
  <c r="F79" i="24"/>
  <c r="G79" i="24"/>
  <c r="I79" i="24"/>
  <c r="L79" i="24"/>
  <c r="M79" i="24"/>
  <c r="N79" i="24"/>
  <c r="P79" i="24"/>
  <c r="Q79" i="24"/>
  <c r="R79" i="24"/>
  <c r="S79" i="24"/>
  <c r="T79" i="24"/>
  <c r="D80" i="24"/>
  <c r="E80" i="24"/>
  <c r="J80" i="24"/>
  <c r="L80" i="24"/>
  <c r="M80" i="24"/>
  <c r="O80" i="24"/>
  <c r="P80" i="24"/>
  <c r="Q80" i="24"/>
  <c r="R80" i="24"/>
  <c r="S80" i="24"/>
  <c r="T80" i="24"/>
  <c r="U80" i="24"/>
  <c r="D81" i="24"/>
  <c r="E81" i="24"/>
  <c r="L81" i="24"/>
  <c r="M81" i="24"/>
  <c r="O81" i="24"/>
  <c r="P81" i="24"/>
  <c r="Q81" i="24"/>
  <c r="R81" i="24"/>
  <c r="S81" i="24"/>
  <c r="T81" i="24"/>
  <c r="U81" i="24"/>
  <c r="E82" i="24"/>
  <c r="F82" i="24"/>
  <c r="G82" i="24"/>
  <c r="I82" i="24"/>
  <c r="J82" i="24"/>
  <c r="L82" i="24"/>
  <c r="M82" i="24"/>
  <c r="O82" i="24"/>
  <c r="P82" i="24"/>
  <c r="Q82" i="24"/>
  <c r="R82" i="24"/>
  <c r="S82" i="24"/>
  <c r="D83" i="24"/>
  <c r="H83" i="24"/>
  <c r="J83" i="24"/>
  <c r="K83" i="24"/>
  <c r="L83" i="24"/>
  <c r="M83" i="24"/>
  <c r="N83" i="24"/>
  <c r="O83" i="24"/>
  <c r="P83" i="24"/>
  <c r="Q83" i="24"/>
  <c r="R83" i="24"/>
  <c r="S83" i="24"/>
  <c r="T83" i="24"/>
  <c r="D84" i="24"/>
  <c r="E84" i="24"/>
  <c r="K84" i="24"/>
  <c r="L84" i="24"/>
  <c r="M84" i="24"/>
  <c r="N84" i="24"/>
  <c r="O84" i="24"/>
  <c r="P84" i="24"/>
  <c r="Q84" i="24"/>
  <c r="R84" i="24"/>
  <c r="S84" i="24"/>
  <c r="D85" i="24"/>
  <c r="E85" i="24"/>
  <c r="J85" i="24"/>
  <c r="L85" i="24"/>
  <c r="M85" i="24"/>
  <c r="N85" i="24"/>
  <c r="O85" i="24"/>
  <c r="P85" i="24"/>
  <c r="Q85" i="24"/>
  <c r="R85" i="24"/>
  <c r="S85" i="24"/>
  <c r="T85" i="24"/>
  <c r="U85" i="24"/>
  <c r="D86" i="24"/>
  <c r="E86" i="24"/>
  <c r="F86" i="24"/>
  <c r="L86" i="24"/>
  <c r="M86" i="24"/>
  <c r="N86" i="24"/>
  <c r="O86" i="24"/>
  <c r="P86" i="24"/>
  <c r="Q86" i="24"/>
  <c r="R86" i="24"/>
  <c r="S86" i="24"/>
  <c r="T86" i="24"/>
  <c r="D87" i="24"/>
  <c r="H87" i="24"/>
  <c r="K87" i="24"/>
  <c r="L87" i="24"/>
  <c r="O87" i="24"/>
  <c r="P87" i="24"/>
  <c r="Q87" i="24"/>
  <c r="R87" i="24"/>
  <c r="S87" i="24"/>
  <c r="T87" i="24"/>
  <c r="D88" i="24"/>
  <c r="E88" i="24"/>
  <c r="K88" i="24"/>
  <c r="L88" i="24"/>
  <c r="M88" i="24"/>
  <c r="O88" i="24"/>
  <c r="P88" i="24"/>
  <c r="Q88" i="24"/>
  <c r="R88" i="24"/>
  <c r="S88" i="24"/>
  <c r="T88" i="24"/>
  <c r="U88" i="24"/>
  <c r="D89" i="24"/>
  <c r="E89" i="24"/>
  <c r="J89" i="24"/>
  <c r="L89" i="24"/>
  <c r="M89" i="24"/>
  <c r="N89" i="24"/>
  <c r="P89" i="24"/>
  <c r="Q89" i="24"/>
  <c r="R89" i="24"/>
  <c r="S89" i="24"/>
  <c r="T89" i="24"/>
  <c r="U89" i="24"/>
  <c r="E90" i="24"/>
  <c r="U2" i="23"/>
  <c r="C3" i="23"/>
  <c r="D3" i="23"/>
  <c r="E3" i="23"/>
  <c r="F3" i="23"/>
  <c r="G3" i="23"/>
  <c r="H3" i="23"/>
  <c r="I3" i="23"/>
  <c r="J3" i="23"/>
  <c r="K3" i="23"/>
  <c r="L3" i="23"/>
  <c r="M3" i="23"/>
  <c r="N3" i="23"/>
  <c r="O3" i="23"/>
  <c r="P3" i="23"/>
  <c r="Q3" i="23"/>
  <c r="R3" i="23"/>
  <c r="S3" i="23"/>
  <c r="T3" i="23"/>
  <c r="U3" i="23"/>
  <c r="C4" i="23"/>
  <c r="D4" i="23"/>
  <c r="E4" i="23"/>
  <c r="F4" i="23"/>
  <c r="G4" i="23"/>
  <c r="H4" i="23"/>
  <c r="I4" i="23"/>
  <c r="J4" i="23"/>
  <c r="K4" i="23"/>
  <c r="L4" i="23"/>
  <c r="M4" i="23"/>
  <c r="N4" i="23"/>
  <c r="O4" i="23"/>
  <c r="P4" i="23"/>
  <c r="Q4" i="23"/>
  <c r="R4" i="23"/>
  <c r="S4" i="23"/>
  <c r="T4" i="23"/>
  <c r="U4" i="23"/>
  <c r="C5" i="23"/>
  <c r="U5" i="23" s="1"/>
  <c r="D5" i="23"/>
  <c r="E5" i="23"/>
  <c r="F5" i="23"/>
  <c r="G5" i="23"/>
  <c r="H5" i="23"/>
  <c r="I5" i="23"/>
  <c r="J5" i="23"/>
  <c r="K5" i="23"/>
  <c r="L5" i="23"/>
  <c r="M5" i="23"/>
  <c r="N5" i="23"/>
  <c r="O5" i="23"/>
  <c r="P5" i="23"/>
  <c r="Q5" i="23"/>
  <c r="R5" i="23"/>
  <c r="S5" i="23"/>
  <c r="T5" i="23"/>
  <c r="C6" i="23"/>
  <c r="U6" i="23" s="1"/>
  <c r="D6" i="23"/>
  <c r="E6" i="23"/>
  <c r="F6" i="23"/>
  <c r="G6" i="23"/>
  <c r="H6" i="23"/>
  <c r="I6" i="23"/>
  <c r="J6" i="23"/>
  <c r="K6" i="23"/>
  <c r="L6" i="23"/>
  <c r="M6" i="23"/>
  <c r="N6" i="23"/>
  <c r="O6" i="23"/>
  <c r="P6" i="23"/>
  <c r="Q6" i="23"/>
  <c r="R6" i="23"/>
  <c r="S6" i="23"/>
  <c r="T6" i="23"/>
  <c r="C7" i="23"/>
  <c r="U7" i="23" s="1"/>
  <c r="D7" i="23"/>
  <c r="E7" i="23"/>
  <c r="F7" i="23"/>
  <c r="G7" i="23"/>
  <c r="H7" i="23"/>
  <c r="I7" i="23"/>
  <c r="J7" i="23"/>
  <c r="K7" i="23"/>
  <c r="L7" i="23"/>
  <c r="M7" i="23"/>
  <c r="N7" i="23"/>
  <c r="O7" i="23"/>
  <c r="P7" i="23"/>
  <c r="Q7" i="23"/>
  <c r="R7" i="23"/>
  <c r="S7" i="23"/>
  <c r="T7" i="23"/>
  <c r="C8" i="23"/>
  <c r="U8" i="23" s="1"/>
  <c r="D8" i="23"/>
  <c r="E8" i="23"/>
  <c r="F8" i="23"/>
  <c r="G8" i="23"/>
  <c r="H8" i="23"/>
  <c r="I8" i="23"/>
  <c r="J8" i="23"/>
  <c r="K8" i="23"/>
  <c r="L8" i="23"/>
  <c r="M8" i="23"/>
  <c r="N8" i="23"/>
  <c r="O8" i="23"/>
  <c r="P8" i="23"/>
  <c r="Q8" i="23"/>
  <c r="R8" i="23"/>
  <c r="S8" i="23"/>
  <c r="T8" i="23"/>
  <c r="C9" i="23"/>
  <c r="U9" i="23" s="1"/>
  <c r="D9" i="23"/>
  <c r="E9" i="23"/>
  <c r="F9" i="23"/>
  <c r="G9" i="23"/>
  <c r="H9" i="23"/>
  <c r="I9" i="23"/>
  <c r="J9" i="23"/>
  <c r="K9" i="23"/>
  <c r="L9" i="23"/>
  <c r="M9" i="23"/>
  <c r="N9" i="23"/>
  <c r="O9" i="23"/>
  <c r="P9" i="23"/>
  <c r="Q9" i="23"/>
  <c r="R9" i="23"/>
  <c r="S9" i="23"/>
  <c r="T9" i="23"/>
  <c r="C10" i="23"/>
  <c r="U10" i="23" s="1"/>
  <c r="D10" i="23"/>
  <c r="E10" i="23"/>
  <c r="F10" i="23"/>
  <c r="G10" i="23"/>
  <c r="H10" i="23"/>
  <c r="I10" i="23"/>
  <c r="J10" i="23"/>
  <c r="K10" i="23"/>
  <c r="L10" i="23"/>
  <c r="M10" i="23"/>
  <c r="N10" i="23"/>
  <c r="O10" i="23"/>
  <c r="P10" i="23"/>
  <c r="Q10" i="23"/>
  <c r="R10" i="23"/>
  <c r="S10" i="23"/>
  <c r="T10" i="23"/>
  <c r="C11" i="23"/>
  <c r="U11" i="23" s="1"/>
  <c r="D11" i="23"/>
  <c r="E11" i="23"/>
  <c r="F11" i="23"/>
  <c r="G11" i="23"/>
  <c r="H11" i="23"/>
  <c r="I11" i="23"/>
  <c r="J11" i="23"/>
  <c r="K11" i="23"/>
  <c r="L11" i="23"/>
  <c r="M11" i="23"/>
  <c r="N11" i="23"/>
  <c r="O11" i="23"/>
  <c r="P11" i="23"/>
  <c r="Q11" i="23"/>
  <c r="R11" i="23"/>
  <c r="S11" i="23"/>
  <c r="T11" i="23"/>
  <c r="C12" i="23"/>
  <c r="U12" i="23" s="1"/>
  <c r="D12" i="23"/>
  <c r="E12" i="23"/>
  <c r="F12" i="23"/>
  <c r="G12" i="23"/>
  <c r="H12" i="23"/>
  <c r="I12" i="23"/>
  <c r="J12" i="23"/>
  <c r="K12" i="23"/>
  <c r="L12" i="23"/>
  <c r="M12" i="23"/>
  <c r="N12" i="23"/>
  <c r="O12" i="23"/>
  <c r="P12" i="23"/>
  <c r="Q12" i="23"/>
  <c r="R12" i="23"/>
  <c r="S12" i="23"/>
  <c r="T12" i="23"/>
  <c r="C13" i="23"/>
  <c r="U13" i="23" s="1"/>
  <c r="D13" i="23"/>
  <c r="E13" i="23"/>
  <c r="F13" i="23"/>
  <c r="G13" i="23"/>
  <c r="H13" i="23"/>
  <c r="I13" i="23"/>
  <c r="J13" i="23"/>
  <c r="K13" i="23"/>
  <c r="L13" i="23"/>
  <c r="M13" i="23"/>
  <c r="N13" i="23"/>
  <c r="O13" i="23"/>
  <c r="P13" i="23"/>
  <c r="Q13" i="23"/>
  <c r="R13" i="23"/>
  <c r="S13" i="23"/>
  <c r="T13" i="23"/>
  <c r="C14" i="23"/>
  <c r="U14" i="23" s="1"/>
  <c r="D14" i="23"/>
  <c r="E14" i="23"/>
  <c r="F14" i="23"/>
  <c r="G14" i="23"/>
  <c r="H14" i="23"/>
  <c r="I14" i="23"/>
  <c r="J14" i="23"/>
  <c r="K14" i="23"/>
  <c r="L14" i="23"/>
  <c r="M14" i="23"/>
  <c r="N14" i="23"/>
  <c r="O14" i="23"/>
  <c r="P14" i="23"/>
  <c r="Q14" i="23"/>
  <c r="R14" i="23"/>
  <c r="S14" i="23"/>
  <c r="T14" i="23"/>
  <c r="C15" i="23"/>
  <c r="U15" i="23" s="1"/>
  <c r="D15" i="23"/>
  <c r="E15" i="23"/>
  <c r="F15" i="23"/>
  <c r="G15" i="23"/>
  <c r="H15" i="23"/>
  <c r="I15" i="23"/>
  <c r="J15" i="23"/>
  <c r="K15" i="23"/>
  <c r="L15" i="23"/>
  <c r="M15" i="23"/>
  <c r="N15" i="23"/>
  <c r="O15" i="23"/>
  <c r="P15" i="23"/>
  <c r="Q15" i="23"/>
  <c r="R15" i="23"/>
  <c r="S15" i="23"/>
  <c r="T15" i="23"/>
  <c r="C16" i="23"/>
  <c r="U16" i="23" s="1"/>
  <c r="D16" i="23"/>
  <c r="E16" i="23"/>
  <c r="F16" i="23"/>
  <c r="G16" i="23"/>
  <c r="H16" i="23"/>
  <c r="I16" i="23"/>
  <c r="J16" i="23"/>
  <c r="K16" i="23"/>
  <c r="L16" i="23"/>
  <c r="M16" i="23"/>
  <c r="N16" i="23"/>
  <c r="O16" i="23"/>
  <c r="P16" i="23"/>
  <c r="Q16" i="23"/>
  <c r="R16" i="23"/>
  <c r="S16" i="23"/>
  <c r="T16" i="23"/>
  <c r="C17" i="23"/>
  <c r="U17" i="23" s="1"/>
  <c r="D17" i="23"/>
  <c r="E17" i="23"/>
  <c r="F17" i="23"/>
  <c r="G17" i="23"/>
  <c r="H17" i="23"/>
  <c r="I17" i="23"/>
  <c r="J17" i="23"/>
  <c r="K17" i="23"/>
  <c r="L17" i="23"/>
  <c r="M17" i="23"/>
  <c r="N17" i="23"/>
  <c r="O17" i="23"/>
  <c r="P17" i="23"/>
  <c r="Q17" i="23"/>
  <c r="R17" i="23"/>
  <c r="S17" i="23"/>
  <c r="T17" i="23"/>
  <c r="C18" i="23"/>
  <c r="U18" i="23" s="1"/>
  <c r="D18" i="23"/>
  <c r="E18" i="23"/>
  <c r="F18" i="23"/>
  <c r="G18" i="23"/>
  <c r="H18" i="23"/>
  <c r="I18" i="23"/>
  <c r="J18" i="23"/>
  <c r="K18" i="23"/>
  <c r="L18" i="23"/>
  <c r="M18" i="23"/>
  <c r="N18" i="23"/>
  <c r="O18" i="23"/>
  <c r="P18" i="23"/>
  <c r="Q18" i="23"/>
  <c r="R18" i="23"/>
  <c r="S18" i="23"/>
  <c r="T18" i="23"/>
  <c r="C19" i="23"/>
  <c r="U19" i="23" s="1"/>
  <c r="D19" i="23"/>
  <c r="E19" i="23"/>
  <c r="F19" i="23"/>
  <c r="G19" i="23"/>
  <c r="H19" i="23"/>
  <c r="I19" i="23"/>
  <c r="J19" i="23"/>
  <c r="K19" i="23"/>
  <c r="L19" i="23"/>
  <c r="M19" i="23"/>
  <c r="N19" i="23"/>
  <c r="O19" i="23"/>
  <c r="P19" i="23"/>
  <c r="Q19" i="23"/>
  <c r="R19" i="23"/>
  <c r="S19" i="23"/>
  <c r="T19" i="23"/>
  <c r="C20" i="23"/>
  <c r="U20" i="23" s="1"/>
  <c r="D20" i="23"/>
  <c r="E20" i="23"/>
  <c r="F20" i="23"/>
  <c r="G20" i="23"/>
  <c r="H20" i="23"/>
  <c r="I20" i="23"/>
  <c r="J20" i="23"/>
  <c r="K20" i="23"/>
  <c r="L20" i="23"/>
  <c r="M20" i="23"/>
  <c r="N20" i="23"/>
  <c r="O20" i="23"/>
  <c r="P20" i="23"/>
  <c r="Q20" i="23"/>
  <c r="R20" i="23"/>
  <c r="S20" i="23"/>
  <c r="T20" i="23"/>
  <c r="C21" i="23"/>
  <c r="D21" i="23"/>
  <c r="E21" i="23"/>
  <c r="U21" i="23" s="1"/>
  <c r="F21" i="23"/>
  <c r="G21" i="23"/>
  <c r="H21" i="23"/>
  <c r="I21" i="23"/>
  <c r="J21" i="23"/>
  <c r="K21" i="23"/>
  <c r="L21" i="23"/>
  <c r="M21" i="23"/>
  <c r="N21" i="23"/>
  <c r="O21" i="23"/>
  <c r="P21" i="23"/>
  <c r="Q21" i="23"/>
  <c r="R21" i="23"/>
  <c r="S21" i="23"/>
  <c r="T21" i="23"/>
  <c r="C22" i="23"/>
  <c r="U22" i="23" s="1"/>
  <c r="D22" i="23"/>
  <c r="E22" i="23"/>
  <c r="F22" i="23"/>
  <c r="G22" i="23"/>
  <c r="H22" i="23"/>
  <c r="I22" i="23"/>
  <c r="J22" i="23"/>
  <c r="K22" i="23"/>
  <c r="L22" i="23"/>
  <c r="M22" i="23"/>
  <c r="N22" i="23"/>
  <c r="O22" i="23"/>
  <c r="P22" i="23"/>
  <c r="Q22" i="23"/>
  <c r="R22" i="23"/>
  <c r="S22" i="23"/>
  <c r="T22" i="23"/>
  <c r="C23" i="23"/>
  <c r="D23" i="23"/>
  <c r="E23" i="23"/>
  <c r="F23" i="23"/>
  <c r="G23" i="23"/>
  <c r="H23" i="23"/>
  <c r="I23" i="23"/>
  <c r="J23" i="23"/>
  <c r="K23" i="23"/>
  <c r="L23" i="23"/>
  <c r="M23" i="23"/>
  <c r="N23" i="23"/>
  <c r="O23" i="23"/>
  <c r="P23" i="23"/>
  <c r="Q23" i="23"/>
  <c r="R23" i="23"/>
  <c r="S23" i="23"/>
  <c r="T23" i="23"/>
  <c r="U23" i="23"/>
  <c r="C24" i="23"/>
  <c r="D24" i="23"/>
  <c r="E24" i="23"/>
  <c r="F24" i="23"/>
  <c r="G24" i="23"/>
  <c r="H24" i="23"/>
  <c r="I24" i="23"/>
  <c r="J24" i="23"/>
  <c r="K24" i="23"/>
  <c r="L24" i="23"/>
  <c r="M24" i="23"/>
  <c r="N24" i="23"/>
  <c r="O24" i="23"/>
  <c r="P24" i="23"/>
  <c r="Q24" i="23"/>
  <c r="R24" i="23"/>
  <c r="S24" i="23"/>
  <c r="T24" i="23"/>
  <c r="U24" i="23"/>
  <c r="C25" i="23"/>
  <c r="U25" i="23" s="1"/>
  <c r="D25" i="23"/>
  <c r="E25" i="23"/>
  <c r="F25" i="23"/>
  <c r="G25" i="23"/>
  <c r="H25" i="23"/>
  <c r="I25" i="23"/>
  <c r="J25" i="23"/>
  <c r="K25" i="23"/>
  <c r="L25" i="23"/>
  <c r="M25" i="23"/>
  <c r="N25" i="23"/>
  <c r="O25" i="23"/>
  <c r="P25" i="23"/>
  <c r="Q25" i="23"/>
  <c r="R25" i="23"/>
  <c r="S25" i="23"/>
  <c r="T25" i="23"/>
  <c r="C26" i="23"/>
  <c r="U26" i="23" s="1"/>
  <c r="D26" i="23"/>
  <c r="E26" i="23"/>
  <c r="F26" i="23"/>
  <c r="G26" i="23"/>
  <c r="H26" i="23"/>
  <c r="I26" i="23"/>
  <c r="J26" i="23"/>
  <c r="K26" i="23"/>
  <c r="L26" i="23"/>
  <c r="M26" i="23"/>
  <c r="N26" i="23"/>
  <c r="O26" i="23"/>
  <c r="P26" i="23"/>
  <c r="Q26" i="23"/>
  <c r="R26" i="23"/>
  <c r="S26" i="23"/>
  <c r="T26" i="23"/>
  <c r="C27" i="23"/>
  <c r="U27" i="23" s="1"/>
  <c r="D27" i="23"/>
  <c r="E27" i="23"/>
  <c r="F27" i="23"/>
  <c r="G27" i="23"/>
  <c r="H27" i="23"/>
  <c r="I27" i="23"/>
  <c r="J27" i="23"/>
  <c r="K27" i="23"/>
  <c r="L27" i="23"/>
  <c r="M27" i="23"/>
  <c r="N27" i="23"/>
  <c r="O27" i="23"/>
  <c r="P27" i="23"/>
  <c r="Q27" i="23"/>
  <c r="R27" i="23"/>
  <c r="S27" i="23"/>
  <c r="T27" i="23"/>
  <c r="C28" i="23"/>
  <c r="U28" i="23" s="1"/>
  <c r="D28" i="23"/>
  <c r="E28" i="23"/>
  <c r="F28" i="23"/>
  <c r="G28" i="23"/>
  <c r="H28" i="23"/>
  <c r="I28" i="23"/>
  <c r="J28" i="23"/>
  <c r="K28" i="23"/>
  <c r="L28" i="23"/>
  <c r="M28" i="23"/>
  <c r="N28" i="23"/>
  <c r="O28" i="23"/>
  <c r="P28" i="23"/>
  <c r="Q28" i="23"/>
  <c r="R28" i="23"/>
  <c r="S28" i="23"/>
  <c r="T28" i="23"/>
  <c r="C29" i="23"/>
  <c r="U29" i="23" s="1"/>
  <c r="D29" i="23"/>
  <c r="E29" i="23"/>
  <c r="F29" i="23"/>
  <c r="G29" i="23"/>
  <c r="H29" i="23"/>
  <c r="I29" i="23"/>
  <c r="J29" i="23"/>
  <c r="K29" i="23"/>
  <c r="L29" i="23"/>
  <c r="M29" i="23"/>
  <c r="N29" i="23"/>
  <c r="O29" i="23"/>
  <c r="P29" i="23"/>
  <c r="Q29" i="23"/>
  <c r="R29" i="23"/>
  <c r="S29" i="23"/>
  <c r="T29" i="23"/>
  <c r="C30" i="23"/>
  <c r="U30" i="23" s="1"/>
  <c r="D30" i="23"/>
  <c r="E30" i="23"/>
  <c r="F30" i="23"/>
  <c r="G30" i="23"/>
  <c r="H30" i="23"/>
  <c r="I30" i="23"/>
  <c r="J30" i="23"/>
  <c r="K30" i="23"/>
  <c r="L30" i="23"/>
  <c r="M30" i="23"/>
  <c r="N30" i="23"/>
  <c r="O30" i="23"/>
  <c r="P30" i="23"/>
  <c r="Q30" i="23"/>
  <c r="R30" i="23"/>
  <c r="S30" i="23"/>
  <c r="T30" i="23"/>
  <c r="C31" i="23"/>
  <c r="U31" i="23" s="1"/>
  <c r="D31" i="23"/>
  <c r="E31" i="23"/>
  <c r="F31" i="23"/>
  <c r="G31" i="23"/>
  <c r="H31" i="23"/>
  <c r="I31" i="23"/>
  <c r="J31" i="23"/>
  <c r="K31" i="23"/>
  <c r="L31" i="23"/>
  <c r="M31" i="23"/>
  <c r="N31" i="23"/>
  <c r="O31" i="23"/>
  <c r="P31" i="23"/>
  <c r="Q31" i="23"/>
  <c r="R31" i="23"/>
  <c r="S31" i="23"/>
  <c r="T31" i="23"/>
  <c r="C32" i="23"/>
  <c r="U32" i="23" s="1"/>
  <c r="D32" i="23"/>
  <c r="E32" i="23"/>
  <c r="F32" i="23"/>
  <c r="G32" i="23"/>
  <c r="H32" i="23"/>
  <c r="I32" i="23"/>
  <c r="J32" i="23"/>
  <c r="K32" i="23"/>
  <c r="L32" i="23"/>
  <c r="M32" i="23"/>
  <c r="N32" i="23"/>
  <c r="O32" i="23"/>
  <c r="P32" i="23"/>
  <c r="Q32" i="23"/>
  <c r="R32" i="23"/>
  <c r="S32" i="23"/>
  <c r="T32" i="23"/>
  <c r="C33" i="23"/>
  <c r="U33" i="23" s="1"/>
  <c r="D33" i="23"/>
  <c r="E33" i="23"/>
  <c r="F33" i="23"/>
  <c r="G33" i="23"/>
  <c r="H33" i="23"/>
  <c r="I33" i="23"/>
  <c r="J33" i="23"/>
  <c r="K33" i="23"/>
  <c r="L33" i="23"/>
  <c r="M33" i="23"/>
  <c r="N33" i="23"/>
  <c r="O33" i="23"/>
  <c r="P33" i="23"/>
  <c r="Q33" i="23"/>
  <c r="R33" i="23"/>
  <c r="S33" i="23"/>
  <c r="T33" i="23"/>
  <c r="C34" i="23"/>
  <c r="U34" i="23" s="1"/>
  <c r="D34" i="23"/>
  <c r="E34" i="23"/>
  <c r="F34" i="23"/>
  <c r="G34" i="23"/>
  <c r="H34" i="23"/>
  <c r="I34" i="23"/>
  <c r="J34" i="23"/>
  <c r="K34" i="23"/>
  <c r="L34" i="23"/>
  <c r="M34" i="23"/>
  <c r="N34" i="23"/>
  <c r="O34" i="23"/>
  <c r="P34" i="23"/>
  <c r="Q34" i="23"/>
  <c r="R34" i="23"/>
  <c r="S34" i="23"/>
  <c r="T34" i="23"/>
  <c r="C35" i="23"/>
  <c r="U35" i="23" s="1"/>
  <c r="D35" i="23"/>
  <c r="E35" i="23"/>
  <c r="F35" i="23"/>
  <c r="G35" i="23"/>
  <c r="H35" i="23"/>
  <c r="I35" i="23"/>
  <c r="J35" i="23"/>
  <c r="K35" i="23"/>
  <c r="L35" i="23"/>
  <c r="M35" i="23"/>
  <c r="N35" i="23"/>
  <c r="O35" i="23"/>
  <c r="P35" i="23"/>
  <c r="Q35" i="23"/>
  <c r="R35" i="23"/>
  <c r="S35" i="23"/>
  <c r="T35" i="23"/>
  <c r="C36" i="23"/>
  <c r="U36" i="23" s="1"/>
  <c r="D36" i="23"/>
  <c r="E36" i="23"/>
  <c r="F36" i="23"/>
  <c r="G36" i="23"/>
  <c r="H36" i="23"/>
  <c r="I36" i="23"/>
  <c r="J36" i="23"/>
  <c r="K36" i="23"/>
  <c r="L36" i="23"/>
  <c r="M36" i="23"/>
  <c r="N36" i="23"/>
  <c r="O36" i="23"/>
  <c r="P36" i="23"/>
  <c r="Q36" i="23"/>
  <c r="R36" i="23"/>
  <c r="S36" i="23"/>
  <c r="T36" i="23"/>
  <c r="C37" i="23"/>
  <c r="U37" i="23" s="1"/>
  <c r="D37" i="23"/>
  <c r="E37" i="23"/>
  <c r="F37" i="23"/>
  <c r="G37" i="23"/>
  <c r="H37" i="23"/>
  <c r="I37" i="23"/>
  <c r="J37" i="23"/>
  <c r="K37" i="23"/>
  <c r="L37" i="23"/>
  <c r="M37" i="23"/>
  <c r="N37" i="23"/>
  <c r="O37" i="23"/>
  <c r="P37" i="23"/>
  <c r="Q37" i="23"/>
  <c r="R37" i="23"/>
  <c r="S37" i="23"/>
  <c r="T37" i="23"/>
  <c r="C38" i="23"/>
  <c r="U38" i="23" s="1"/>
  <c r="D38" i="23"/>
  <c r="E38" i="23"/>
  <c r="F38" i="23"/>
  <c r="G38" i="23"/>
  <c r="H38" i="23"/>
  <c r="I38" i="23"/>
  <c r="J38" i="23"/>
  <c r="K38" i="23"/>
  <c r="L38" i="23"/>
  <c r="M38" i="23"/>
  <c r="N38" i="23"/>
  <c r="O38" i="23"/>
  <c r="P38" i="23"/>
  <c r="Q38" i="23"/>
  <c r="R38" i="23"/>
  <c r="S38" i="23"/>
  <c r="T38" i="23"/>
  <c r="C39" i="23"/>
  <c r="U39" i="23" s="1"/>
  <c r="D39" i="23"/>
  <c r="E39" i="23"/>
  <c r="F39" i="23"/>
  <c r="G39" i="23"/>
  <c r="H39" i="23"/>
  <c r="I39" i="23"/>
  <c r="J39" i="23"/>
  <c r="K39" i="23"/>
  <c r="L39" i="23"/>
  <c r="M39" i="23"/>
  <c r="N39" i="23"/>
  <c r="O39" i="23"/>
  <c r="P39" i="23"/>
  <c r="Q39" i="23"/>
  <c r="R39" i="23"/>
  <c r="S39" i="23"/>
  <c r="T39" i="23"/>
  <c r="C40" i="23"/>
  <c r="U40" i="23" s="1"/>
  <c r="D40" i="23"/>
  <c r="E40" i="23"/>
  <c r="F40" i="23"/>
  <c r="G40" i="23"/>
  <c r="H40" i="23"/>
  <c r="I40" i="23"/>
  <c r="J40" i="23"/>
  <c r="K40" i="23"/>
  <c r="L40" i="23"/>
  <c r="M40" i="23"/>
  <c r="N40" i="23"/>
  <c r="O40" i="23"/>
  <c r="P40" i="23"/>
  <c r="Q40" i="23"/>
  <c r="R40" i="23"/>
  <c r="S40" i="23"/>
  <c r="T40" i="23"/>
  <c r="C41" i="23"/>
  <c r="D41" i="23"/>
  <c r="E41" i="23"/>
  <c r="U41" i="23" s="1"/>
  <c r="F41" i="23"/>
  <c r="G41" i="23"/>
  <c r="H41" i="23"/>
  <c r="I41" i="23"/>
  <c r="J41" i="23"/>
  <c r="K41" i="23"/>
  <c r="L41" i="23"/>
  <c r="M41" i="23"/>
  <c r="N41" i="23"/>
  <c r="O41" i="23"/>
  <c r="P41" i="23"/>
  <c r="Q41" i="23"/>
  <c r="R41" i="23"/>
  <c r="S41" i="23"/>
  <c r="T41" i="23"/>
  <c r="C42" i="23"/>
  <c r="U42" i="23" s="1"/>
  <c r="D42" i="23"/>
  <c r="E42" i="23"/>
  <c r="F42" i="23"/>
  <c r="G42" i="23"/>
  <c r="H42" i="23"/>
  <c r="I42" i="23"/>
  <c r="J42" i="23"/>
  <c r="K42" i="23"/>
  <c r="L42" i="23"/>
  <c r="M42" i="23"/>
  <c r="N42" i="23"/>
  <c r="O42" i="23"/>
  <c r="P42" i="23"/>
  <c r="Q42" i="23"/>
  <c r="R42" i="23"/>
  <c r="S42" i="23"/>
  <c r="T42" i="23"/>
  <c r="C43" i="23"/>
  <c r="D43" i="23"/>
  <c r="E43" i="23"/>
  <c r="F43" i="23"/>
  <c r="G43" i="23"/>
  <c r="H43" i="23"/>
  <c r="I43" i="23"/>
  <c r="J43" i="23"/>
  <c r="K43" i="23"/>
  <c r="L43" i="23"/>
  <c r="M43" i="23"/>
  <c r="N43" i="23"/>
  <c r="O43" i="23"/>
  <c r="P43" i="23"/>
  <c r="Q43" i="23"/>
  <c r="R43" i="23"/>
  <c r="S43" i="23"/>
  <c r="T43" i="23"/>
  <c r="U43" i="23"/>
  <c r="C44" i="23"/>
  <c r="D44" i="23"/>
  <c r="E44" i="23"/>
  <c r="F44" i="23"/>
  <c r="G44" i="23"/>
  <c r="H44" i="23"/>
  <c r="I44" i="23"/>
  <c r="J44" i="23"/>
  <c r="K44" i="23"/>
  <c r="L44" i="23"/>
  <c r="M44" i="23"/>
  <c r="N44" i="23"/>
  <c r="O44" i="23"/>
  <c r="P44" i="23"/>
  <c r="Q44" i="23"/>
  <c r="R44" i="23"/>
  <c r="S44" i="23"/>
  <c r="T44" i="23"/>
  <c r="U44" i="23"/>
  <c r="C45" i="23"/>
  <c r="U45" i="23" s="1"/>
  <c r="D45" i="23"/>
  <c r="E45" i="23"/>
  <c r="F45" i="23"/>
  <c r="G45" i="23"/>
  <c r="H45" i="23"/>
  <c r="I45" i="23"/>
  <c r="J45" i="23"/>
  <c r="K45" i="23"/>
  <c r="L45" i="23"/>
  <c r="M45" i="23"/>
  <c r="N45" i="23"/>
  <c r="O45" i="23"/>
  <c r="P45" i="23"/>
  <c r="Q45" i="23"/>
  <c r="R45" i="23"/>
  <c r="S45" i="23"/>
  <c r="T45" i="23"/>
  <c r="C46" i="23"/>
  <c r="U46" i="23" s="1"/>
  <c r="D46" i="23"/>
  <c r="E46" i="23"/>
  <c r="F46" i="23"/>
  <c r="G46" i="23"/>
  <c r="H46" i="23"/>
  <c r="I46" i="23"/>
  <c r="J46" i="23"/>
  <c r="K46" i="23"/>
  <c r="L46" i="23"/>
  <c r="M46" i="23"/>
  <c r="N46" i="23"/>
  <c r="O46" i="23"/>
  <c r="P46" i="23"/>
  <c r="Q46" i="23"/>
  <c r="R46" i="23"/>
  <c r="S46" i="23"/>
  <c r="T46" i="23"/>
  <c r="C47" i="23"/>
  <c r="U47" i="23" s="1"/>
  <c r="D47" i="23"/>
  <c r="E47" i="23"/>
  <c r="F47" i="23"/>
  <c r="G47" i="23"/>
  <c r="H47" i="23"/>
  <c r="I47" i="23"/>
  <c r="J47" i="23"/>
  <c r="K47" i="23"/>
  <c r="L47" i="23"/>
  <c r="M47" i="23"/>
  <c r="N47" i="23"/>
  <c r="O47" i="23"/>
  <c r="P47" i="23"/>
  <c r="Q47" i="23"/>
  <c r="R47" i="23"/>
  <c r="S47" i="23"/>
  <c r="T47" i="23"/>
  <c r="C48" i="23"/>
  <c r="U48" i="23" s="1"/>
  <c r="D48" i="23"/>
  <c r="E48" i="23"/>
  <c r="F48" i="23"/>
  <c r="G48" i="23"/>
  <c r="H48" i="23"/>
  <c r="I48" i="23"/>
  <c r="J48" i="23"/>
  <c r="K48" i="23"/>
  <c r="L48" i="23"/>
  <c r="M48" i="23"/>
  <c r="N48" i="23"/>
  <c r="O48" i="23"/>
  <c r="P48" i="23"/>
  <c r="Q48" i="23"/>
  <c r="R48" i="23"/>
  <c r="S48" i="23"/>
  <c r="T48" i="23"/>
  <c r="C49" i="23"/>
  <c r="U49" i="23" s="1"/>
  <c r="D49" i="23"/>
  <c r="E49" i="23"/>
  <c r="F49" i="23"/>
  <c r="G49" i="23"/>
  <c r="H49" i="23"/>
  <c r="I49" i="23"/>
  <c r="J49" i="23"/>
  <c r="K49" i="23"/>
  <c r="L49" i="23"/>
  <c r="M49" i="23"/>
  <c r="N49" i="23"/>
  <c r="O49" i="23"/>
  <c r="P49" i="23"/>
  <c r="Q49" i="23"/>
  <c r="R49" i="23"/>
  <c r="S49" i="23"/>
  <c r="T49" i="23"/>
  <c r="C50" i="23"/>
  <c r="U50" i="23" s="1"/>
  <c r="D50" i="23"/>
  <c r="E50" i="23"/>
  <c r="F50" i="23"/>
  <c r="G50" i="23"/>
  <c r="H50" i="23"/>
  <c r="I50" i="23"/>
  <c r="J50" i="23"/>
  <c r="K50" i="23"/>
  <c r="L50" i="23"/>
  <c r="M50" i="23"/>
  <c r="N50" i="23"/>
  <c r="O50" i="23"/>
  <c r="P50" i="23"/>
  <c r="Q50" i="23"/>
  <c r="R50" i="23"/>
  <c r="S50" i="23"/>
  <c r="T50" i="23"/>
  <c r="C51" i="23"/>
  <c r="U51" i="23" s="1"/>
  <c r="D51" i="23"/>
  <c r="E51" i="23"/>
  <c r="F51" i="23"/>
  <c r="G51" i="23"/>
  <c r="H51" i="23"/>
  <c r="I51" i="23"/>
  <c r="J51" i="23"/>
  <c r="K51" i="23"/>
  <c r="L51" i="23"/>
  <c r="M51" i="23"/>
  <c r="N51" i="23"/>
  <c r="O51" i="23"/>
  <c r="P51" i="23"/>
  <c r="Q51" i="23"/>
  <c r="R51" i="23"/>
  <c r="S51" i="23"/>
  <c r="T51" i="23"/>
  <c r="C52" i="23"/>
  <c r="U52" i="23" s="1"/>
  <c r="D52" i="23"/>
  <c r="E52" i="23"/>
  <c r="F52" i="23"/>
  <c r="G52" i="23"/>
  <c r="H52" i="23"/>
  <c r="I52" i="23"/>
  <c r="J52" i="23"/>
  <c r="K52" i="23"/>
  <c r="L52" i="23"/>
  <c r="M52" i="23"/>
  <c r="N52" i="23"/>
  <c r="O52" i="23"/>
  <c r="P52" i="23"/>
  <c r="Q52" i="23"/>
  <c r="R52" i="23"/>
  <c r="S52" i="23"/>
  <c r="T52" i="23"/>
  <c r="C53" i="23"/>
  <c r="U53" i="23" s="1"/>
  <c r="D53" i="23"/>
  <c r="E53" i="23"/>
  <c r="F53" i="23"/>
  <c r="G53" i="23"/>
  <c r="H53" i="23"/>
  <c r="I53" i="23"/>
  <c r="J53" i="23"/>
  <c r="K53" i="23"/>
  <c r="L53" i="23"/>
  <c r="M53" i="23"/>
  <c r="N53" i="23"/>
  <c r="O53" i="23"/>
  <c r="P53" i="23"/>
  <c r="Q53" i="23"/>
  <c r="R53" i="23"/>
  <c r="S53" i="23"/>
  <c r="T53" i="23"/>
  <c r="C54" i="23"/>
  <c r="U54" i="23" s="1"/>
  <c r="D54" i="23"/>
  <c r="E54" i="23"/>
  <c r="F54" i="23"/>
  <c r="G54" i="23"/>
  <c r="H54" i="23"/>
  <c r="I54" i="23"/>
  <c r="J54" i="23"/>
  <c r="K54" i="23"/>
  <c r="L54" i="23"/>
  <c r="M54" i="23"/>
  <c r="N54" i="23"/>
  <c r="O54" i="23"/>
  <c r="P54" i="23"/>
  <c r="Q54" i="23"/>
  <c r="R54" i="23"/>
  <c r="S54" i="23"/>
  <c r="T54" i="23"/>
  <c r="C55" i="23"/>
  <c r="U55" i="23" s="1"/>
  <c r="D55" i="23"/>
  <c r="E55" i="23"/>
  <c r="F55" i="23"/>
  <c r="G55" i="23"/>
  <c r="H55" i="23"/>
  <c r="I55" i="23"/>
  <c r="J55" i="23"/>
  <c r="K55" i="23"/>
  <c r="L55" i="23"/>
  <c r="M55" i="23"/>
  <c r="N55" i="23"/>
  <c r="O55" i="23"/>
  <c r="P55" i="23"/>
  <c r="Q55" i="23"/>
  <c r="R55" i="23"/>
  <c r="S55" i="23"/>
  <c r="T55" i="23"/>
  <c r="C56" i="23"/>
  <c r="U56" i="23" s="1"/>
  <c r="D56" i="23"/>
  <c r="E56" i="23"/>
  <c r="F56" i="23"/>
  <c r="G56" i="23"/>
  <c r="H56" i="23"/>
  <c r="I56" i="23"/>
  <c r="J56" i="23"/>
  <c r="K56" i="23"/>
  <c r="L56" i="23"/>
  <c r="M56" i="23"/>
  <c r="N56" i="23"/>
  <c r="O56" i="23"/>
  <c r="P56" i="23"/>
  <c r="Q56" i="23"/>
  <c r="R56" i="23"/>
  <c r="S56" i="23"/>
  <c r="T56" i="23"/>
  <c r="C57" i="23"/>
  <c r="U57" i="23" s="1"/>
  <c r="D57" i="23"/>
  <c r="E57" i="23"/>
  <c r="F57" i="23"/>
  <c r="G57" i="23"/>
  <c r="H57" i="23"/>
  <c r="I57" i="23"/>
  <c r="J57" i="23"/>
  <c r="K57" i="23"/>
  <c r="L57" i="23"/>
  <c r="M57" i="23"/>
  <c r="N57" i="23"/>
  <c r="O57" i="23"/>
  <c r="P57" i="23"/>
  <c r="Q57" i="23"/>
  <c r="R57" i="23"/>
  <c r="S57" i="23"/>
  <c r="T57" i="23"/>
  <c r="C58" i="23"/>
  <c r="U58" i="23" s="1"/>
  <c r="D58" i="23"/>
  <c r="E58" i="23"/>
  <c r="F58" i="23"/>
  <c r="G58" i="23"/>
  <c r="H58" i="23"/>
  <c r="I58" i="23"/>
  <c r="J58" i="23"/>
  <c r="K58" i="23"/>
  <c r="L58" i="23"/>
  <c r="M58" i="23"/>
  <c r="N58" i="23"/>
  <c r="O58" i="23"/>
  <c r="P58" i="23"/>
  <c r="Q58" i="23"/>
  <c r="R58" i="23"/>
  <c r="S58" i="23"/>
  <c r="T58" i="23"/>
  <c r="C59" i="23"/>
  <c r="U59" i="23" s="1"/>
  <c r="D59" i="23"/>
  <c r="E59" i="23"/>
  <c r="F59" i="23"/>
  <c r="G59" i="23"/>
  <c r="H59" i="23"/>
  <c r="I59" i="23"/>
  <c r="J59" i="23"/>
  <c r="K59" i="23"/>
  <c r="L59" i="23"/>
  <c r="M59" i="23"/>
  <c r="N59" i="23"/>
  <c r="O59" i="23"/>
  <c r="P59" i="23"/>
  <c r="Q59" i="23"/>
  <c r="R59" i="23"/>
  <c r="S59" i="23"/>
  <c r="T59" i="23"/>
  <c r="C60" i="23"/>
  <c r="U60" i="23" s="1"/>
  <c r="D60" i="23"/>
  <c r="E60" i="23"/>
  <c r="F60" i="23"/>
  <c r="G60" i="23"/>
  <c r="H60" i="23"/>
  <c r="I60" i="23"/>
  <c r="J60" i="23"/>
  <c r="K60" i="23"/>
  <c r="L60" i="23"/>
  <c r="M60" i="23"/>
  <c r="N60" i="23"/>
  <c r="O60" i="23"/>
  <c r="P60" i="23"/>
  <c r="Q60" i="23"/>
  <c r="R60" i="23"/>
  <c r="S60" i="23"/>
  <c r="T60" i="23"/>
  <c r="C61" i="23"/>
  <c r="D61" i="23"/>
  <c r="E61" i="23"/>
  <c r="U61" i="23" s="1"/>
  <c r="F61" i="23"/>
  <c r="G61" i="23"/>
  <c r="H61" i="23"/>
  <c r="I61" i="23"/>
  <c r="J61" i="23"/>
  <c r="K61" i="23"/>
  <c r="L61" i="23"/>
  <c r="M61" i="23"/>
  <c r="N61" i="23"/>
  <c r="O61" i="23"/>
  <c r="P61" i="23"/>
  <c r="Q61" i="23"/>
  <c r="R61" i="23"/>
  <c r="S61" i="23"/>
  <c r="T61" i="23"/>
  <c r="C62" i="23"/>
  <c r="U62" i="23" s="1"/>
  <c r="D62" i="23"/>
  <c r="E62" i="23"/>
  <c r="F62" i="23"/>
  <c r="G62" i="23"/>
  <c r="H62" i="23"/>
  <c r="I62" i="23"/>
  <c r="J62" i="23"/>
  <c r="K62" i="23"/>
  <c r="L62" i="23"/>
  <c r="M62" i="23"/>
  <c r="N62" i="23"/>
  <c r="O62" i="23"/>
  <c r="P62" i="23"/>
  <c r="Q62" i="23"/>
  <c r="R62" i="23"/>
  <c r="S62" i="23"/>
  <c r="T62" i="23"/>
  <c r="C63" i="23"/>
  <c r="D63" i="23"/>
  <c r="E63" i="23"/>
  <c r="F63" i="23"/>
  <c r="G63" i="23"/>
  <c r="H63" i="23"/>
  <c r="I63" i="23"/>
  <c r="J63" i="23"/>
  <c r="K63" i="23"/>
  <c r="L63" i="23"/>
  <c r="M63" i="23"/>
  <c r="N63" i="23"/>
  <c r="O63" i="23"/>
  <c r="P63" i="23"/>
  <c r="Q63" i="23"/>
  <c r="R63" i="23"/>
  <c r="S63" i="23"/>
  <c r="T63" i="23"/>
  <c r="U63" i="23"/>
  <c r="C64" i="23"/>
  <c r="D64" i="23"/>
  <c r="E64" i="23"/>
  <c r="F64" i="23"/>
  <c r="G64" i="23"/>
  <c r="H64" i="23"/>
  <c r="I64" i="23"/>
  <c r="J64" i="23"/>
  <c r="K64" i="23"/>
  <c r="L64" i="23"/>
  <c r="M64" i="23"/>
  <c r="N64" i="23"/>
  <c r="O64" i="23"/>
  <c r="P64" i="23"/>
  <c r="Q64" i="23"/>
  <c r="R64" i="23"/>
  <c r="S64" i="23"/>
  <c r="T64" i="23"/>
  <c r="U64" i="23"/>
  <c r="C65" i="23"/>
  <c r="U65" i="23" s="1"/>
  <c r="D65" i="23"/>
  <c r="E65" i="23"/>
  <c r="F65" i="23"/>
  <c r="G65" i="23"/>
  <c r="H65" i="23"/>
  <c r="I65" i="23"/>
  <c r="J65" i="23"/>
  <c r="K65" i="23"/>
  <c r="L65" i="23"/>
  <c r="M65" i="23"/>
  <c r="N65" i="23"/>
  <c r="O65" i="23"/>
  <c r="P65" i="23"/>
  <c r="Q65" i="23"/>
  <c r="R65" i="23"/>
  <c r="S65" i="23"/>
  <c r="T65" i="23"/>
  <c r="C66" i="23"/>
  <c r="U66" i="23" s="1"/>
  <c r="D66" i="23"/>
  <c r="E66" i="23"/>
  <c r="F66" i="23"/>
  <c r="G66" i="23"/>
  <c r="H66" i="23"/>
  <c r="I66" i="23"/>
  <c r="J66" i="23"/>
  <c r="K66" i="23"/>
  <c r="L66" i="23"/>
  <c r="M66" i="23"/>
  <c r="N66" i="23"/>
  <c r="O66" i="23"/>
  <c r="P66" i="23"/>
  <c r="Q66" i="23"/>
  <c r="R66" i="23"/>
  <c r="S66" i="23"/>
  <c r="T66" i="23"/>
  <c r="C67" i="23"/>
  <c r="U67" i="23" s="1"/>
  <c r="D67" i="23"/>
  <c r="E67" i="23"/>
  <c r="F67" i="23"/>
  <c r="G67" i="23"/>
  <c r="H67" i="23"/>
  <c r="I67" i="23"/>
  <c r="J67" i="23"/>
  <c r="K67" i="23"/>
  <c r="L67" i="23"/>
  <c r="M67" i="23"/>
  <c r="N67" i="23"/>
  <c r="O67" i="23"/>
  <c r="P67" i="23"/>
  <c r="Q67" i="23"/>
  <c r="R67" i="23"/>
  <c r="S67" i="23"/>
  <c r="T67" i="23"/>
  <c r="C68" i="23"/>
  <c r="U68" i="23" s="1"/>
  <c r="D68" i="23"/>
  <c r="E68" i="23"/>
  <c r="F68" i="23"/>
  <c r="G68" i="23"/>
  <c r="H68" i="23"/>
  <c r="I68" i="23"/>
  <c r="J68" i="23"/>
  <c r="K68" i="23"/>
  <c r="L68" i="23"/>
  <c r="M68" i="23"/>
  <c r="N68" i="23"/>
  <c r="O68" i="23"/>
  <c r="P68" i="23"/>
  <c r="Q68" i="23"/>
  <c r="R68" i="23"/>
  <c r="S68" i="23"/>
  <c r="T68" i="23"/>
  <c r="C69" i="23"/>
  <c r="U69" i="23" s="1"/>
  <c r="D69" i="23"/>
  <c r="E69" i="23"/>
  <c r="F69" i="23"/>
  <c r="G69" i="23"/>
  <c r="H69" i="23"/>
  <c r="I69" i="23"/>
  <c r="J69" i="23"/>
  <c r="K69" i="23"/>
  <c r="L69" i="23"/>
  <c r="M69" i="23"/>
  <c r="N69" i="23"/>
  <c r="O69" i="23"/>
  <c r="P69" i="23"/>
  <c r="Q69" i="23"/>
  <c r="R69" i="23"/>
  <c r="S69" i="23"/>
  <c r="T69" i="23"/>
  <c r="B3" i="22"/>
  <c r="C3" i="22"/>
  <c r="C5" i="22" s="1"/>
  <c r="C12" i="22"/>
  <c r="C13" i="22"/>
  <c r="E2" i="21"/>
  <c r="J2" i="21"/>
  <c r="K2" i="21"/>
  <c r="L2" i="21"/>
  <c r="M2" i="21"/>
  <c r="O2" i="21"/>
  <c r="E3" i="21"/>
  <c r="J3" i="21"/>
  <c r="K3" i="21"/>
  <c r="L3" i="21"/>
  <c r="M3" i="21"/>
  <c r="N3" i="21"/>
  <c r="E4" i="21"/>
  <c r="E20" i="21" s="1"/>
  <c r="F4" i="21"/>
  <c r="F20" i="21" s="1"/>
  <c r="G4" i="21"/>
  <c r="G20" i="21" s="1"/>
  <c r="J4" i="21"/>
  <c r="K4" i="21"/>
  <c r="L4" i="21"/>
  <c r="M4" i="21"/>
  <c r="N4" i="21"/>
  <c r="E5" i="21"/>
  <c r="J5" i="21"/>
  <c r="K5" i="21"/>
  <c r="L5" i="21"/>
  <c r="M5" i="21"/>
  <c r="O5" i="21"/>
  <c r="N5" i="21" s="1"/>
  <c r="E6" i="21"/>
  <c r="J6" i="21"/>
  <c r="K6" i="21"/>
  <c r="L6" i="21"/>
  <c r="M6" i="21"/>
  <c r="O6" i="21"/>
  <c r="N6" i="21" s="1"/>
  <c r="E7" i="21"/>
  <c r="J7" i="21"/>
  <c r="K7" i="21"/>
  <c r="L7" i="21"/>
  <c r="M7" i="21"/>
  <c r="N7" i="21"/>
  <c r="O7" i="21"/>
  <c r="E8" i="21"/>
  <c r="J8" i="21"/>
  <c r="K8" i="21"/>
  <c r="L8" i="21"/>
  <c r="M8" i="21"/>
  <c r="O8" i="21"/>
  <c r="N8" i="21" s="1"/>
  <c r="E9" i="21"/>
  <c r="J9" i="21"/>
  <c r="K9" i="21"/>
  <c r="L9" i="21"/>
  <c r="M9" i="21"/>
  <c r="O9" i="21"/>
  <c r="N9" i="21" s="1"/>
  <c r="E10" i="21"/>
  <c r="J10" i="21"/>
  <c r="K10" i="21"/>
  <c r="L10" i="21"/>
  <c r="M10" i="21"/>
  <c r="N10" i="21" s="1"/>
  <c r="O10" i="21"/>
  <c r="E11" i="21"/>
  <c r="J11" i="21"/>
  <c r="K11" i="21"/>
  <c r="L11" i="21"/>
  <c r="M11" i="21"/>
  <c r="O11" i="21"/>
  <c r="N11" i="21" s="1"/>
  <c r="E12" i="21"/>
  <c r="J12" i="21"/>
  <c r="K12" i="21"/>
  <c r="L12" i="21"/>
  <c r="M12" i="21"/>
  <c r="O12" i="21"/>
  <c r="N12" i="21" s="1"/>
  <c r="E13" i="21"/>
  <c r="J13" i="21"/>
  <c r="M13" i="21" s="1"/>
  <c r="N13" i="21" s="1"/>
  <c r="K13" i="21"/>
  <c r="L13" i="21"/>
  <c r="O13" i="21"/>
  <c r="E14" i="21"/>
  <c r="J14" i="21"/>
  <c r="K14" i="21"/>
  <c r="L14" i="21"/>
  <c r="M14" i="21"/>
  <c r="N14" i="21"/>
  <c r="O14" i="21"/>
  <c r="E15" i="21"/>
  <c r="J15" i="21"/>
  <c r="K15" i="21"/>
  <c r="L15" i="21"/>
  <c r="M15" i="21"/>
  <c r="N15" i="21"/>
  <c r="O15" i="21"/>
  <c r="E16" i="21"/>
  <c r="J16" i="21"/>
  <c r="L16" i="21" s="1"/>
  <c r="K16" i="21"/>
  <c r="O16" i="21"/>
  <c r="E17" i="21"/>
  <c r="J17" i="21"/>
  <c r="K17" i="21"/>
  <c r="L17" i="21"/>
  <c r="M17" i="21"/>
  <c r="N17" i="21"/>
  <c r="O17" i="21"/>
  <c r="E18" i="21"/>
  <c r="J18" i="21"/>
  <c r="K18" i="21"/>
  <c r="L18" i="21"/>
  <c r="M18" i="21"/>
  <c r="N18" i="21"/>
  <c r="O18" i="21"/>
  <c r="O20" i="21" s="1"/>
  <c r="E19" i="21"/>
  <c r="J19" i="21"/>
  <c r="K19" i="21" s="1"/>
  <c r="O19" i="21"/>
  <c r="C20" i="21"/>
  <c r="D20" i="21"/>
  <c r="H20" i="21"/>
  <c r="C69" i="20"/>
  <c r="F74" i="20"/>
  <c r="M74" i="20" s="1"/>
  <c r="F75" i="20"/>
  <c r="M75" i="20" s="1"/>
  <c r="F76" i="20"/>
  <c r="M76" i="20" s="1"/>
  <c r="F77" i="20"/>
  <c r="M77" i="20"/>
  <c r="O77" i="20"/>
  <c r="F78" i="20"/>
  <c r="M78" i="20"/>
  <c r="O78" i="20"/>
  <c r="F79" i="20"/>
  <c r="M79" i="20"/>
  <c r="O79" i="20"/>
  <c r="F80" i="20"/>
  <c r="M80" i="20" s="1"/>
  <c r="F81" i="20"/>
  <c r="M81" i="20"/>
  <c r="O81" i="20"/>
  <c r="F82" i="20"/>
  <c r="M82" i="20" s="1"/>
  <c r="F83" i="20"/>
  <c r="M83" i="20"/>
  <c r="O83" i="20"/>
  <c r="C84" i="20"/>
  <c r="D84" i="20"/>
  <c r="E84" i="20"/>
  <c r="I84" i="20"/>
  <c r="J84" i="20"/>
  <c r="K84" i="20"/>
  <c r="L84" i="20"/>
  <c r="N84" i="20"/>
  <c r="F88"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15" i="20"/>
  <c r="F116" i="20"/>
  <c r="F117" i="20"/>
  <c r="F118" i="20"/>
  <c r="F119" i="20"/>
  <c r="F120" i="20"/>
  <c r="F121" i="20"/>
  <c r="F122" i="20"/>
  <c r="F123" i="20"/>
  <c r="C124" i="20"/>
  <c r="D124" i="20"/>
  <c r="E124" i="20"/>
  <c r="C129" i="20"/>
  <c r="D129" i="20"/>
  <c r="F129" i="20"/>
  <c r="C135" i="20"/>
  <c r="B9" i="19"/>
  <c r="C5" i="19" s="1"/>
  <c r="C6" i="18"/>
  <c r="D6" i="18"/>
  <c r="D9" i="18"/>
  <c r="K9" i="18"/>
  <c r="B10"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F44" i="18"/>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D2" i="16"/>
  <c r="E2" i="16"/>
  <c r="F2" i="16"/>
  <c r="G2" i="16"/>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C85" i="15"/>
  <c r="D85" i="15"/>
  <c r="F124" i="20" l="1"/>
  <c r="O82" i="20"/>
  <c r="O75" i="20"/>
  <c r="F84" i="20"/>
  <c r="O74" i="20"/>
  <c r="E85" i="15"/>
  <c r="E87" i="15" s="1"/>
  <c r="O88" i="25"/>
  <c r="O16" i="25"/>
  <c r="O34" i="25"/>
  <c r="O21" i="25"/>
  <c r="O23" i="25"/>
  <c r="O36" i="25"/>
  <c r="O63" i="25"/>
  <c r="N79" i="25"/>
  <c r="N59" i="25"/>
  <c r="N39" i="25"/>
  <c r="N19" i="25"/>
  <c r="N88" i="25"/>
  <c r="M79" i="25"/>
  <c r="L70" i="25"/>
  <c r="N68" i="25"/>
  <c r="M59" i="25"/>
  <c r="L50" i="25"/>
  <c r="N48" i="25"/>
  <c r="M39" i="25"/>
  <c r="F36" i="25"/>
  <c r="L30" i="25"/>
  <c r="N28" i="25"/>
  <c r="M19" i="25"/>
  <c r="F16" i="25"/>
  <c r="N97" i="25"/>
  <c r="M88" i="25"/>
  <c r="F85" i="25"/>
  <c r="O85" i="25" s="1"/>
  <c r="J81" i="25"/>
  <c r="O81" i="25" s="1"/>
  <c r="L79" i="25"/>
  <c r="O79" i="25" s="1"/>
  <c r="N77" i="25"/>
  <c r="K70" i="25"/>
  <c r="M68" i="25"/>
  <c r="F65" i="25"/>
  <c r="O65" i="25" s="1"/>
  <c r="J61" i="25"/>
  <c r="O61" i="25" s="1"/>
  <c r="L59" i="25"/>
  <c r="O59" i="25" s="1"/>
  <c r="N57" i="25"/>
  <c r="K50" i="25"/>
  <c r="O50" i="25" s="1"/>
  <c r="M48" i="25"/>
  <c r="F45" i="25"/>
  <c r="O45" i="25" s="1"/>
  <c r="J41" i="25"/>
  <c r="L39" i="25"/>
  <c r="O39" i="25" s="1"/>
  <c r="N37" i="25"/>
  <c r="K30" i="25"/>
  <c r="M28" i="25"/>
  <c r="F25" i="25"/>
  <c r="J21" i="25"/>
  <c r="L19" i="25"/>
  <c r="O19" i="25" s="1"/>
  <c r="N17" i="25"/>
  <c r="M97" i="25"/>
  <c r="F94" i="25"/>
  <c r="O94" i="25" s="1"/>
  <c r="L88" i="25"/>
  <c r="N86" i="25"/>
  <c r="M77" i="25"/>
  <c r="F74" i="25"/>
  <c r="O74" i="25" s="1"/>
  <c r="L68" i="25"/>
  <c r="O68" i="25" s="1"/>
  <c r="N66" i="25"/>
  <c r="M57" i="25"/>
  <c r="F54" i="25"/>
  <c r="O54" i="25" s="1"/>
  <c r="L48" i="25"/>
  <c r="N46" i="25"/>
  <c r="M37" i="25"/>
  <c r="F34" i="25"/>
  <c r="J30" i="25"/>
  <c r="O30" i="25" s="1"/>
  <c r="L28" i="25"/>
  <c r="N26" i="25"/>
  <c r="M17" i="25"/>
  <c r="F14" i="25"/>
  <c r="I8" i="25"/>
  <c r="O8" i="25" s="1"/>
  <c r="F97" i="25"/>
  <c r="O97" i="25" s="1"/>
  <c r="L91" i="25"/>
  <c r="N89" i="25"/>
  <c r="M80" i="25"/>
  <c r="F77" i="25"/>
  <c r="O77" i="25" s="1"/>
  <c r="L71" i="25"/>
  <c r="N69" i="25"/>
  <c r="M60" i="25"/>
  <c r="F57" i="25"/>
  <c r="O57" i="25" s="1"/>
  <c r="L51" i="25"/>
  <c r="N49" i="25"/>
  <c r="M40" i="25"/>
  <c r="F37" i="25"/>
  <c r="L31" i="25"/>
  <c r="N29" i="25"/>
  <c r="M20" i="25"/>
  <c r="F17" i="25"/>
  <c r="J13" i="25"/>
  <c r="M7" i="25"/>
  <c r="O7" i="25" s="1"/>
  <c r="N91" i="25"/>
  <c r="N71" i="25"/>
  <c r="M62" i="25"/>
  <c r="N51" i="25"/>
  <c r="M22" i="25"/>
  <c r="L82" i="25"/>
  <c r="L62" i="25"/>
  <c r="N60" i="25"/>
  <c r="M51" i="25"/>
  <c r="F48" i="25"/>
  <c r="L42" i="25"/>
  <c r="N40" i="25"/>
  <c r="M31" i="25"/>
  <c r="F28" i="25"/>
  <c r="N20" i="25"/>
  <c r="M89" i="25"/>
  <c r="L80" i="25"/>
  <c r="L60" i="25"/>
  <c r="N58" i="25"/>
  <c r="M49" i="25"/>
  <c r="F46" i="25"/>
  <c r="O46" i="25" s="1"/>
  <c r="J42" i="25"/>
  <c r="L40" i="25"/>
  <c r="M29" i="25"/>
  <c r="F26" i="25"/>
  <c r="J22" i="25"/>
  <c r="L20" i="25"/>
  <c r="F95" i="25"/>
  <c r="O95" i="25" s="1"/>
  <c r="J91" i="25"/>
  <c r="L89" i="25"/>
  <c r="N87" i="25"/>
  <c r="K80" i="25"/>
  <c r="M78" i="25"/>
  <c r="F75" i="25"/>
  <c r="O75" i="25" s="1"/>
  <c r="J71" i="25"/>
  <c r="L69" i="25"/>
  <c r="N67" i="25"/>
  <c r="K60" i="25"/>
  <c r="M58" i="25"/>
  <c r="F55" i="25"/>
  <c r="O55" i="25" s="1"/>
  <c r="J51" i="25"/>
  <c r="L49" i="25"/>
  <c r="N47" i="25"/>
  <c r="G44" i="25"/>
  <c r="K40" i="25"/>
  <c r="M38" i="25"/>
  <c r="O38" i="25" s="1"/>
  <c r="F35" i="25"/>
  <c r="J31" i="25"/>
  <c r="L29" i="25"/>
  <c r="N27" i="25"/>
  <c r="O27" i="25" s="1"/>
  <c r="E26" i="25"/>
  <c r="O26" i="25" s="1"/>
  <c r="G24" i="25"/>
  <c r="K20" i="25"/>
  <c r="M18" i="25"/>
  <c r="F15" i="25"/>
  <c r="N96" i="25"/>
  <c r="K89" i="25"/>
  <c r="M87" i="25"/>
  <c r="F84" i="25"/>
  <c r="O84" i="25" s="1"/>
  <c r="J80" i="25"/>
  <c r="L78" i="25"/>
  <c r="N76" i="25"/>
  <c r="K69" i="25"/>
  <c r="M67" i="25"/>
  <c r="F64" i="25"/>
  <c r="O64" i="25" s="1"/>
  <c r="J60" i="25"/>
  <c r="L58" i="25"/>
  <c r="N56" i="25"/>
  <c r="G53" i="25"/>
  <c r="K49" i="25"/>
  <c r="M47" i="25"/>
  <c r="O47" i="25" s="1"/>
  <c r="F44" i="25"/>
  <c r="O44" i="25" s="1"/>
  <c r="J40" i="25"/>
  <c r="L38" i="25"/>
  <c r="N36" i="25"/>
  <c r="E35" i="25"/>
  <c r="G33" i="25"/>
  <c r="K29" i="25"/>
  <c r="M27" i="25"/>
  <c r="F24" i="25"/>
  <c r="J20" i="25"/>
  <c r="L18" i="25"/>
  <c r="N16" i="25"/>
  <c r="E15" i="25"/>
  <c r="O15" i="25" s="1"/>
  <c r="G13" i="25"/>
  <c r="N42" i="25"/>
  <c r="M42" i="25"/>
  <c r="N31" i="25"/>
  <c r="M91" i="25"/>
  <c r="N80" i="25"/>
  <c r="M71" i="25"/>
  <c r="L22" i="25"/>
  <c r="F86" i="25"/>
  <c r="N78" i="25"/>
  <c r="M69" i="25"/>
  <c r="F66" i="25"/>
  <c r="J62" i="25"/>
  <c r="N38" i="25"/>
  <c r="N18" i="25"/>
  <c r="M96" i="25"/>
  <c r="F93" i="25"/>
  <c r="O93" i="25" s="1"/>
  <c r="J89" i="25"/>
  <c r="L87" i="25"/>
  <c r="N85" i="25"/>
  <c r="K78" i="25"/>
  <c r="M76" i="25"/>
  <c r="F73" i="25"/>
  <c r="O73" i="25" s="1"/>
  <c r="J69" i="25"/>
  <c r="L67" i="25"/>
  <c r="N65" i="25"/>
  <c r="K58" i="25"/>
  <c r="M56" i="25"/>
  <c r="O56" i="25" s="1"/>
  <c r="F53" i="25"/>
  <c r="J49" i="25"/>
  <c r="L47" i="25"/>
  <c r="N45" i="25"/>
  <c r="K38" i="25"/>
  <c r="M36" i="25"/>
  <c r="F33" i="25"/>
  <c r="O33" i="25" s="1"/>
  <c r="J29" i="25"/>
  <c r="L27" i="25"/>
  <c r="N25" i="25"/>
  <c r="K18" i="25"/>
  <c r="O18" i="25" s="1"/>
  <c r="M16" i="25"/>
  <c r="F13" i="25"/>
  <c r="O13" i="25" s="1"/>
  <c r="N94" i="25"/>
  <c r="M85" i="25"/>
  <c r="F82" i="25"/>
  <c r="O82" i="25" s="1"/>
  <c r="L76" i="25"/>
  <c r="N74" i="25"/>
  <c r="M65" i="25"/>
  <c r="F62" i="25"/>
  <c r="O62" i="25" s="1"/>
  <c r="L56" i="25"/>
  <c r="N54" i="25"/>
  <c r="M45" i="25"/>
  <c r="F42" i="25"/>
  <c r="L36" i="25"/>
  <c r="N34" i="25"/>
  <c r="M25" i="25"/>
  <c r="F22" i="25"/>
  <c r="L16" i="25"/>
  <c r="N14" i="25"/>
  <c r="K96" i="25"/>
  <c r="O96" i="25" s="1"/>
  <c r="M94" i="25"/>
  <c r="F91" i="25"/>
  <c r="J87" i="25"/>
  <c r="O87" i="25" s="1"/>
  <c r="L85" i="25"/>
  <c r="N83" i="25"/>
  <c r="K76" i="25"/>
  <c r="O76" i="25" s="1"/>
  <c r="M74" i="25"/>
  <c r="F71" i="25"/>
  <c r="O71" i="25" s="1"/>
  <c r="J67" i="25"/>
  <c r="O67" i="25" s="1"/>
  <c r="L65" i="25"/>
  <c r="N63" i="25"/>
  <c r="K56" i="25"/>
  <c r="M54" i="25"/>
  <c r="F51" i="25"/>
  <c r="J47" i="25"/>
  <c r="L45" i="25"/>
  <c r="N43" i="25"/>
  <c r="K36" i="25"/>
  <c r="M34" i="25"/>
  <c r="F31" i="25"/>
  <c r="J27" i="25"/>
  <c r="L25" i="25"/>
  <c r="N23" i="25"/>
  <c r="K16" i="25"/>
  <c r="M14" i="25"/>
  <c r="L96" i="25"/>
  <c r="L94" i="25"/>
  <c r="N92" i="25"/>
  <c r="F80" i="25"/>
  <c r="O80" i="25" s="1"/>
  <c r="J76" i="25"/>
  <c r="L74" i="25"/>
  <c r="N72" i="25"/>
  <c r="M63" i="25"/>
  <c r="F60" i="25"/>
  <c r="J56" i="25"/>
  <c r="L54" i="25"/>
  <c r="N52" i="25"/>
  <c r="M43" i="25"/>
  <c r="J36" i="25"/>
  <c r="L34" i="25"/>
  <c r="N32" i="25"/>
  <c r="K25" i="25"/>
  <c r="O25" i="25" s="1"/>
  <c r="M23" i="25"/>
  <c r="F20" i="25"/>
  <c r="O20" i="25" s="1"/>
  <c r="J16" i="25"/>
  <c r="L14" i="25"/>
  <c r="O14" i="25" s="1"/>
  <c r="N62" i="25"/>
  <c r="M83" i="25"/>
  <c r="N12" i="25"/>
  <c r="K94" i="25"/>
  <c r="M92" i="25"/>
  <c r="F89" i="25"/>
  <c r="J85" i="25"/>
  <c r="L83" i="25"/>
  <c r="N81" i="25"/>
  <c r="K74" i="25"/>
  <c r="M72" i="25"/>
  <c r="F69" i="25"/>
  <c r="J65" i="25"/>
  <c r="L63" i="25"/>
  <c r="N61" i="25"/>
  <c r="G58" i="25"/>
  <c r="K54" i="25"/>
  <c r="M52" i="25"/>
  <c r="O52" i="25" s="1"/>
  <c r="F49" i="25"/>
  <c r="J45" i="25"/>
  <c r="L43" i="25"/>
  <c r="N41" i="25"/>
  <c r="O41" i="25" s="1"/>
  <c r="E40" i="25"/>
  <c r="O40" i="25" s="1"/>
  <c r="G38" i="25"/>
  <c r="K34" i="25"/>
  <c r="M32" i="25"/>
  <c r="F29" i="25"/>
  <c r="J25" i="25"/>
  <c r="L23" i="25"/>
  <c r="N21" i="25"/>
  <c r="K14" i="25"/>
  <c r="M12" i="25"/>
  <c r="O12" i="25" s="1"/>
  <c r="N82" i="25"/>
  <c r="F40" i="25"/>
  <c r="J94" i="25"/>
  <c r="L92" i="25"/>
  <c r="O92" i="25" s="1"/>
  <c r="N90" i="25"/>
  <c r="O90" i="25" s="1"/>
  <c r="K83" i="25"/>
  <c r="O83" i="25" s="1"/>
  <c r="M81" i="25"/>
  <c r="F78" i="25"/>
  <c r="O78" i="25" s="1"/>
  <c r="J74" i="25"/>
  <c r="L72" i="25"/>
  <c r="O72" i="25" s="1"/>
  <c r="N70" i="25"/>
  <c r="O70" i="25" s="1"/>
  <c r="K63" i="25"/>
  <c r="M61" i="25"/>
  <c r="F58" i="25"/>
  <c r="O58" i="25" s="1"/>
  <c r="J54" i="25"/>
  <c r="L52" i="25"/>
  <c r="N50" i="25"/>
  <c r="K43" i="25"/>
  <c r="O43" i="25" s="1"/>
  <c r="M41" i="25"/>
  <c r="F38" i="25"/>
  <c r="J34" i="25"/>
  <c r="L32" i="25"/>
  <c r="O32" i="25" s="1"/>
  <c r="H26" i="24"/>
  <c r="H46" i="24"/>
  <c r="H66" i="24"/>
  <c r="H86" i="24"/>
  <c r="H22" i="24"/>
  <c r="H42" i="24"/>
  <c r="H62" i="24"/>
  <c r="H82" i="24"/>
  <c r="H21" i="24"/>
  <c r="H88" i="24"/>
  <c r="H65" i="24"/>
  <c r="H73" i="24"/>
  <c r="H80" i="24"/>
  <c r="H28" i="24"/>
  <c r="H50" i="24"/>
  <c r="H18" i="24"/>
  <c r="H36" i="24"/>
  <c r="H43" i="24"/>
  <c r="H51" i="24"/>
  <c r="H58" i="24"/>
  <c r="H35" i="24"/>
  <c r="H57" i="24"/>
  <c r="H64" i="24"/>
  <c r="H72" i="24"/>
  <c r="H79" i="24"/>
  <c r="H17" i="24"/>
  <c r="H34" i="24"/>
  <c r="H41" i="24"/>
  <c r="H56" i="24"/>
  <c r="H63" i="24"/>
  <c r="H71" i="24"/>
  <c r="H78" i="24"/>
  <c r="H85" i="24"/>
  <c r="V85" i="24" s="1"/>
  <c r="H14" i="24"/>
  <c r="H49" i="24"/>
  <c r="V49" i="24" s="1"/>
  <c r="H74" i="24"/>
  <c r="H52" i="24"/>
  <c r="H59" i="24"/>
  <c r="H70" i="24"/>
  <c r="H25" i="24"/>
  <c r="H32" i="24"/>
  <c r="H45" i="24"/>
  <c r="H81" i="24"/>
  <c r="H89" i="24"/>
  <c r="H19" i="24"/>
  <c r="H38" i="24"/>
  <c r="H48" i="24"/>
  <c r="H69" i="24"/>
  <c r="H27" i="24"/>
  <c r="H30" i="24"/>
  <c r="H15" i="24"/>
  <c r="H47" i="24"/>
  <c r="H13" i="24"/>
  <c r="H16" i="24"/>
  <c r="H55" i="24"/>
  <c r="H77" i="24"/>
  <c r="H24" i="24"/>
  <c r="H44" i="24"/>
  <c r="H54" i="24"/>
  <c r="H61" i="24"/>
  <c r="H84" i="24"/>
  <c r="H31" i="24"/>
  <c r="H37" i="24"/>
  <c r="H76" i="24"/>
  <c r="I86" i="24"/>
  <c r="I20" i="24"/>
  <c r="G25" i="24"/>
  <c r="G45" i="24"/>
  <c r="G65" i="24"/>
  <c r="G85" i="24"/>
  <c r="G24" i="24"/>
  <c r="G21" i="24"/>
  <c r="G41" i="24"/>
  <c r="G61" i="24"/>
  <c r="G81" i="24"/>
  <c r="G20" i="24"/>
  <c r="G18" i="24"/>
  <c r="G36" i="24"/>
  <c r="G43" i="24"/>
  <c r="G51" i="24"/>
  <c r="G58" i="24"/>
  <c r="G73" i="24"/>
  <c r="G80" i="24"/>
  <c r="V80" i="24" s="1"/>
  <c r="G13" i="24"/>
  <c r="G22" i="24"/>
  <c r="G28" i="24"/>
  <c r="G50" i="24"/>
  <c r="G27" i="24"/>
  <c r="G49" i="24"/>
  <c r="G86" i="24"/>
  <c r="G26" i="24"/>
  <c r="G56" i="24"/>
  <c r="V56" i="24" s="1"/>
  <c r="G63" i="24"/>
  <c r="G71" i="24"/>
  <c r="V71" i="24" s="1"/>
  <c r="G78" i="24"/>
  <c r="G12" i="24"/>
  <c r="G48" i="24"/>
  <c r="G70" i="24"/>
  <c r="G19" i="24"/>
  <c r="G42" i="24"/>
  <c r="G52" i="24"/>
  <c r="G59" i="24"/>
  <c r="G32" i="24"/>
  <c r="G66" i="24"/>
  <c r="G89" i="24"/>
  <c r="G35" i="24"/>
  <c r="G38" i="24"/>
  <c r="G62" i="24"/>
  <c r="G16" i="24"/>
  <c r="G55" i="24"/>
  <c r="G77" i="24"/>
  <c r="G30" i="24"/>
  <c r="V30" i="24" s="1"/>
  <c r="G47" i="24"/>
  <c r="V47" i="24" s="1"/>
  <c r="G68" i="24"/>
  <c r="G87" i="24"/>
  <c r="G40" i="24"/>
  <c r="G44" i="24"/>
  <c r="G69" i="24"/>
  <c r="G88" i="24"/>
  <c r="G54" i="24"/>
  <c r="G84" i="24"/>
  <c r="V84" i="24" s="1"/>
  <c r="G31" i="24"/>
  <c r="G37" i="24"/>
  <c r="G34" i="24"/>
  <c r="G76" i="24"/>
  <c r="V76" i="24" s="1"/>
  <c r="G15" i="24"/>
  <c r="V15" i="24" s="1"/>
  <c r="G72" i="24"/>
  <c r="G83" i="24"/>
  <c r="V83" i="24" s="1"/>
  <c r="G23" i="24"/>
  <c r="G64" i="24"/>
  <c r="V64" i="24" s="1"/>
  <c r="H20" i="24"/>
  <c r="V20" i="24" s="1"/>
  <c r="G14" i="24"/>
  <c r="V14" i="24" s="1"/>
  <c r="F24" i="24"/>
  <c r="V24" i="24" s="1"/>
  <c r="F44" i="24"/>
  <c r="V44" i="24" s="1"/>
  <c r="F64" i="24"/>
  <c r="F84" i="24"/>
  <c r="F23" i="24"/>
  <c r="F20" i="24"/>
  <c r="F40" i="24"/>
  <c r="F60" i="24"/>
  <c r="F80" i="24"/>
  <c r="F19" i="24"/>
  <c r="F28" i="24"/>
  <c r="F50" i="24"/>
  <c r="F65" i="24"/>
  <c r="F87" i="24"/>
  <c r="F35" i="24"/>
  <c r="F42" i="24"/>
  <c r="F57" i="24"/>
  <c r="F13" i="24"/>
  <c r="F22" i="24"/>
  <c r="F17" i="24"/>
  <c r="F34" i="24"/>
  <c r="V34" i="24" s="1"/>
  <c r="F12" i="24"/>
  <c r="V12" i="24" s="1"/>
  <c r="F21" i="24"/>
  <c r="F48" i="24"/>
  <c r="F70" i="24"/>
  <c r="F85" i="24"/>
  <c r="F33" i="24"/>
  <c r="F56" i="24"/>
  <c r="F78" i="24"/>
  <c r="F66" i="24"/>
  <c r="F89" i="24"/>
  <c r="F25" i="24"/>
  <c r="F38" i="24"/>
  <c r="F45" i="24"/>
  <c r="F81" i="24"/>
  <c r="F62" i="24"/>
  <c r="F32" i="24"/>
  <c r="V32" i="24" s="1"/>
  <c r="F16" i="24"/>
  <c r="V16" i="24" s="1"/>
  <c r="F55" i="24"/>
  <c r="F77" i="24"/>
  <c r="V77" i="24" s="1"/>
  <c r="F73" i="24"/>
  <c r="V73" i="24" s="1"/>
  <c r="F51" i="24"/>
  <c r="V51" i="24" s="1"/>
  <c r="F76" i="24"/>
  <c r="F27" i="24"/>
  <c r="F30" i="24"/>
  <c r="F15" i="24"/>
  <c r="F47" i="24"/>
  <c r="F72" i="24"/>
  <c r="F83" i="24"/>
  <c r="F53" i="24"/>
  <c r="F69" i="24"/>
  <c r="F88" i="24"/>
  <c r="F41" i="24"/>
  <c r="V41" i="24" s="1"/>
  <c r="F54" i="24"/>
  <c r="F58" i="24"/>
  <c r="F31" i="24"/>
  <c r="V31" i="24" s="1"/>
  <c r="F37" i="24"/>
  <c r="V37" i="24" s="1"/>
  <c r="F61" i="24"/>
  <c r="V61" i="24" s="1"/>
  <c r="F18" i="24"/>
  <c r="F68" i="24"/>
  <c r="V68" i="24" s="1"/>
  <c r="V86" i="24"/>
  <c r="I64" i="24"/>
  <c r="I57" i="24"/>
  <c r="F14" i="24"/>
  <c r="U8" i="24"/>
  <c r="U7" i="24"/>
  <c r="U6" i="24"/>
  <c r="T7" i="24"/>
  <c r="T8" i="24"/>
  <c r="T6" i="24"/>
  <c r="S8" i="24"/>
  <c r="S6" i="24"/>
  <c r="V26" i="24"/>
  <c r="R8" i="24"/>
  <c r="R7" i="24"/>
  <c r="V7" i="24" s="1"/>
  <c r="R6" i="24"/>
  <c r="S7" i="24"/>
  <c r="I27" i="24"/>
  <c r="I47" i="24"/>
  <c r="I67" i="24"/>
  <c r="I87" i="24"/>
  <c r="I23" i="24"/>
  <c r="I43" i="24"/>
  <c r="I63" i="24"/>
  <c r="I83" i="24"/>
  <c r="I22" i="24"/>
  <c r="I14" i="24"/>
  <c r="I29" i="24"/>
  <c r="V29" i="24" s="1"/>
  <c r="I88" i="24"/>
  <c r="I18" i="24"/>
  <c r="I36" i="24"/>
  <c r="I51" i="24"/>
  <c r="I58" i="24"/>
  <c r="I13" i="24"/>
  <c r="I42" i="24"/>
  <c r="I49" i="24"/>
  <c r="I17" i="24"/>
  <c r="I21" i="24"/>
  <c r="I26" i="24"/>
  <c r="I34" i="24"/>
  <c r="I41" i="24"/>
  <c r="I56" i="24"/>
  <c r="I74" i="24"/>
  <c r="V74" i="24" s="1"/>
  <c r="I78" i="24"/>
  <c r="I19" i="24"/>
  <c r="I52" i="24"/>
  <c r="V52" i="24" s="1"/>
  <c r="I59" i="24"/>
  <c r="I66" i="24"/>
  <c r="I70" i="24"/>
  <c r="I25" i="24"/>
  <c r="I28" i="24"/>
  <c r="I32" i="24"/>
  <c r="I35" i="24"/>
  <c r="I45" i="24"/>
  <c r="I81" i="24"/>
  <c r="I85" i="24"/>
  <c r="I89" i="24"/>
  <c r="I38" i="24"/>
  <c r="I62" i="24"/>
  <c r="I44" i="24"/>
  <c r="I84" i="24"/>
  <c r="I37" i="24"/>
  <c r="I30" i="24"/>
  <c r="I50" i="24"/>
  <c r="I48" i="24"/>
  <c r="I73" i="24"/>
  <c r="I16" i="24"/>
  <c r="I55" i="24"/>
  <c r="I77" i="24"/>
  <c r="I65" i="24"/>
  <c r="I24" i="24"/>
  <c r="I69" i="24"/>
  <c r="I80" i="24"/>
  <c r="I54" i="24"/>
  <c r="I61" i="24"/>
  <c r="I31" i="24"/>
  <c r="I76" i="24"/>
  <c r="G57" i="24"/>
  <c r="F43" i="24"/>
  <c r="H12" i="24"/>
  <c r="F36" i="24"/>
  <c r="V36" i="24" s="1"/>
  <c r="I72" i="24"/>
  <c r="F67" i="24"/>
  <c r="V67" i="24" s="1"/>
  <c r="H23" i="24"/>
  <c r="V63" i="24"/>
  <c r="V50" i="24"/>
  <c r="I60" i="24"/>
  <c r="Q8" i="24"/>
  <c r="Q6" i="24"/>
  <c r="O8" i="24"/>
  <c r="O7" i="24"/>
  <c r="U63" i="24"/>
  <c r="U22" i="24"/>
  <c r="N7" i="24"/>
  <c r="N6" i="24"/>
  <c r="U86" i="24"/>
  <c r="U52" i="24"/>
  <c r="U49" i="24"/>
  <c r="M6" i="24"/>
  <c r="M7" i="24"/>
  <c r="U71" i="24"/>
  <c r="U46" i="24"/>
  <c r="U67" i="24"/>
  <c r="U26" i="24"/>
  <c r="U17" i="24"/>
  <c r="I8" i="24"/>
  <c r="V60" i="24"/>
  <c r="P8" i="24"/>
  <c r="P7" i="24"/>
  <c r="P6" i="24"/>
  <c r="U19" i="24"/>
  <c r="V19" i="24" s="1"/>
  <c r="U39" i="24"/>
  <c r="U59" i="24"/>
  <c r="U79" i="24"/>
  <c r="U18" i="24"/>
  <c r="U15" i="24"/>
  <c r="U35" i="24"/>
  <c r="U55" i="24"/>
  <c r="U75" i="24"/>
  <c r="U14" i="24"/>
  <c r="U33" i="24"/>
  <c r="U70" i="24"/>
  <c r="U16" i="24"/>
  <c r="U40" i="24"/>
  <c r="U47" i="24"/>
  <c r="U62" i="24"/>
  <c r="U25" i="24"/>
  <c r="U20" i="24"/>
  <c r="U24" i="24"/>
  <c r="U54" i="24"/>
  <c r="U31" i="24"/>
  <c r="U53" i="24"/>
  <c r="U38" i="24"/>
  <c r="U45" i="24"/>
  <c r="U74" i="24"/>
  <c r="U82" i="24"/>
  <c r="U83" i="24"/>
  <c r="U60" i="24"/>
  <c r="U36" i="24"/>
  <c r="O13" i="24"/>
  <c r="O33" i="24"/>
  <c r="O53" i="24"/>
  <c r="O73" i="24"/>
  <c r="O12" i="24"/>
  <c r="O29" i="24"/>
  <c r="O49" i="24"/>
  <c r="O69" i="24"/>
  <c r="O89" i="24"/>
  <c r="O76" i="24"/>
  <c r="O38" i="24"/>
  <c r="O60" i="24"/>
  <c r="O31" i="24"/>
  <c r="O45" i="24"/>
  <c r="O44" i="24"/>
  <c r="O52" i="24"/>
  <c r="O14" i="24"/>
  <c r="O28" i="24"/>
  <c r="O43" i="24"/>
  <c r="O51" i="24"/>
  <c r="O65" i="24"/>
  <c r="O74" i="24"/>
  <c r="U64" i="24"/>
  <c r="O63" i="24"/>
  <c r="U57" i="24"/>
  <c r="U50" i="24"/>
  <c r="U30" i="24"/>
  <c r="U23" i="24"/>
  <c r="O22" i="24"/>
  <c r="N12" i="24"/>
  <c r="N32" i="24"/>
  <c r="N52" i="24"/>
  <c r="N72" i="24"/>
  <c r="N28" i="24"/>
  <c r="N48" i="24"/>
  <c r="N68" i="24"/>
  <c r="N88" i="24"/>
  <c r="N31" i="24"/>
  <c r="N45" i="24"/>
  <c r="N60" i="24"/>
  <c r="N67" i="24"/>
  <c r="N82" i="24"/>
  <c r="N15" i="24"/>
  <c r="N19" i="24"/>
  <c r="N23" i="24"/>
  <c r="N30" i="24"/>
  <c r="N38" i="24"/>
  <c r="N53" i="24"/>
  <c r="V53" i="24" s="1"/>
  <c r="N29" i="24"/>
  <c r="N37" i="24"/>
  <c r="N59" i="24"/>
  <c r="N66" i="24"/>
  <c r="N74" i="24"/>
  <c r="N81" i="24"/>
  <c r="N43" i="24"/>
  <c r="N51" i="24"/>
  <c r="N65" i="24"/>
  <c r="N18" i="24"/>
  <c r="N22" i="24"/>
  <c r="N36" i="24"/>
  <c r="N58" i="24"/>
  <c r="N73" i="24"/>
  <c r="N80" i="24"/>
  <c r="N87" i="24"/>
  <c r="O6" i="24"/>
  <c r="V48" i="24"/>
  <c r="U34" i="24"/>
  <c r="O26" i="24"/>
  <c r="K29" i="24"/>
  <c r="K49" i="24"/>
  <c r="K69" i="24"/>
  <c r="K89" i="24"/>
  <c r="K25" i="24"/>
  <c r="K45" i="24"/>
  <c r="K65" i="24"/>
  <c r="K85" i="24"/>
  <c r="K24" i="24"/>
  <c r="K44" i="24"/>
  <c r="K59" i="24"/>
  <c r="K66" i="24"/>
  <c r="K74" i="24"/>
  <c r="K14" i="24"/>
  <c r="K37" i="24"/>
  <c r="K52" i="24"/>
  <c r="K81" i="24"/>
  <c r="K18" i="24"/>
  <c r="K22" i="24"/>
  <c r="K28" i="24"/>
  <c r="K36" i="24"/>
  <c r="K51" i="24"/>
  <c r="K58" i="24"/>
  <c r="K73" i="24"/>
  <c r="K80" i="24"/>
  <c r="K13" i="24"/>
  <c r="K42" i="24"/>
  <c r="K64" i="24"/>
  <c r="K27" i="24"/>
  <c r="K35" i="24"/>
  <c r="K57" i="24"/>
  <c r="K72" i="24"/>
  <c r="K79" i="24"/>
  <c r="K86" i="24"/>
  <c r="U68" i="24"/>
  <c r="U43" i="24"/>
  <c r="V43" i="24" s="1"/>
  <c r="U12" i="24"/>
  <c r="U87" i="24"/>
  <c r="U76" i="24"/>
  <c r="U72" i="24"/>
  <c r="U61" i="24"/>
  <c r="U84" i="24"/>
  <c r="K82" i="24"/>
  <c r="O79" i="24"/>
  <c r="K71" i="24"/>
  <c r="K67" i="24"/>
  <c r="K63" i="24"/>
  <c r="N40" i="24"/>
  <c r="O36" i="24"/>
  <c r="K33" i="24"/>
  <c r="U27" i="24"/>
  <c r="N26" i="24"/>
  <c r="U21" i="24"/>
  <c r="J28" i="24"/>
  <c r="J48" i="24"/>
  <c r="J68" i="24"/>
  <c r="J88" i="24"/>
  <c r="J24" i="24"/>
  <c r="J44" i="24"/>
  <c r="J64" i="24"/>
  <c r="J84" i="24"/>
  <c r="J23" i="24"/>
  <c r="J37" i="24"/>
  <c r="J52" i="24"/>
  <c r="J59" i="24"/>
  <c r="J66" i="24"/>
  <c r="J74" i="24"/>
  <c r="J81" i="24"/>
  <c r="J43" i="24"/>
  <c r="J14" i="24"/>
  <c r="J29" i="24"/>
  <c r="J50" i="24"/>
  <c r="J87" i="24"/>
  <c r="J27" i="24"/>
  <c r="J35" i="24"/>
  <c r="J57" i="24"/>
  <c r="J72" i="24"/>
  <c r="J79" i="24"/>
  <c r="J86" i="24"/>
  <c r="J49" i="24"/>
  <c r="T82" i="24"/>
  <c r="T75" i="24"/>
  <c r="T67" i="24"/>
  <c r="T60" i="24"/>
  <c r="E23" i="24"/>
  <c r="V23" i="24" s="1"/>
  <c r="E43" i="24"/>
  <c r="E63" i="24"/>
  <c r="E83" i="24"/>
  <c r="E22" i="24"/>
  <c r="E19" i="24"/>
  <c r="E39" i="24"/>
  <c r="V39" i="24" s="1"/>
  <c r="E59" i="24"/>
  <c r="V59" i="24" s="1"/>
  <c r="E79" i="24"/>
  <c r="E18" i="24"/>
  <c r="T45" i="24"/>
  <c r="E33" i="24"/>
  <c r="V33" i="24" s="1"/>
  <c r="T15" i="24"/>
  <c r="D22" i="24"/>
  <c r="V22" i="24" s="1"/>
  <c r="D42" i="24"/>
  <c r="V42" i="24" s="1"/>
  <c r="D62" i="24"/>
  <c r="V62" i="24" s="1"/>
  <c r="D82" i="24"/>
  <c r="D21" i="24"/>
  <c r="D18" i="24"/>
  <c r="D38" i="24"/>
  <c r="D58" i="24"/>
  <c r="D78" i="24"/>
  <c r="D17" i="24"/>
  <c r="J7" i="24"/>
  <c r="J6" i="24"/>
  <c r="V6" i="24" s="1"/>
  <c r="T76" i="24"/>
  <c r="T68" i="24"/>
  <c r="T61" i="24"/>
  <c r="T46" i="24"/>
  <c r="V46" i="24" s="1"/>
  <c r="T39" i="24"/>
  <c r="E26" i="24"/>
  <c r="T69" i="24"/>
  <c r="T55" i="24"/>
  <c r="E42" i="24"/>
  <c r="T40" i="24"/>
  <c r="V40" i="24" s="1"/>
  <c r="E35" i="24"/>
  <c r="S17" i="24"/>
  <c r="S37" i="24"/>
  <c r="S57" i="24"/>
  <c r="S77" i="24"/>
  <c r="S16" i="24"/>
  <c r="S13" i="24"/>
  <c r="S33" i="24"/>
  <c r="S53" i="24"/>
  <c r="S73" i="24"/>
  <c r="S12" i="24"/>
  <c r="T18" i="24"/>
  <c r="T38" i="24"/>
  <c r="T58" i="24"/>
  <c r="T78" i="24"/>
  <c r="T17" i="24"/>
  <c r="T14" i="24"/>
  <c r="T34" i="24"/>
  <c r="T54" i="24"/>
  <c r="T74" i="24"/>
  <c r="T13" i="24"/>
  <c r="T84" i="24"/>
  <c r="T77" i="24"/>
  <c r="E72" i="24"/>
  <c r="T62" i="24"/>
  <c r="E57" i="24"/>
  <c r="T47" i="24"/>
  <c r="E87" i="24"/>
  <c r="V87" i="24" s="1"/>
  <c r="T70" i="24"/>
  <c r="S47" i="24"/>
  <c r="S40" i="24"/>
  <c r="D35" i="24"/>
  <c r="T25" i="24"/>
  <c r="E13" i="24"/>
  <c r="R16" i="24"/>
  <c r="R36" i="24"/>
  <c r="R56" i="24"/>
  <c r="R76" i="24"/>
  <c r="R15" i="24"/>
  <c r="R12" i="24"/>
  <c r="R32" i="24"/>
  <c r="R52" i="24"/>
  <c r="R72" i="24"/>
  <c r="M87" i="24"/>
  <c r="Q71" i="24"/>
  <c r="M67" i="24"/>
  <c r="Q51" i="24"/>
  <c r="M47" i="24"/>
  <c r="Q31" i="24"/>
  <c r="M27" i="24"/>
  <c r="Q75" i="24"/>
  <c r="V75" i="24" s="1"/>
  <c r="M71" i="24"/>
  <c r="Q55" i="24"/>
  <c r="M51" i="24"/>
  <c r="Q35" i="24"/>
  <c r="B5" i="22"/>
  <c r="B6" i="22" s="1"/>
  <c r="B7" i="22" s="1"/>
  <c r="C6" i="22"/>
  <c r="C7" i="22" s="1"/>
  <c r="N20" i="21"/>
  <c r="F128" i="20"/>
  <c r="J20" i="21"/>
  <c r="M19" i="21"/>
  <c r="N19" i="21" s="1"/>
  <c r="L19" i="21"/>
  <c r="M16" i="21"/>
  <c r="N16" i="21" s="1"/>
  <c r="M84" i="20"/>
  <c r="O80" i="20"/>
  <c r="O76" i="20"/>
  <c r="O84" i="20" s="1"/>
  <c r="D5" i="19"/>
  <c r="B5" i="19"/>
  <c r="E5" i="19"/>
  <c r="D41" i="18"/>
  <c r="F41" i="18" s="1"/>
  <c r="I41" i="18" s="1"/>
  <c r="H41" i="18" s="1"/>
  <c r="K41" i="18" s="1"/>
  <c r="D28" i="18"/>
  <c r="F28" i="18" s="1"/>
  <c r="G28" i="18" s="1"/>
  <c r="D15" i="18"/>
  <c r="F15" i="18" s="1"/>
  <c r="G15" i="18" s="1"/>
  <c r="D36" i="18"/>
  <c r="F36" i="18" s="1"/>
  <c r="D23" i="18"/>
  <c r="F23" i="18" s="1"/>
  <c r="G18" i="18"/>
  <c r="G40" i="18"/>
  <c r="D31" i="18"/>
  <c r="F31" i="18" s="1"/>
  <c r="G31" i="18" s="1"/>
  <c r="G13" i="18"/>
  <c r="D18" i="18"/>
  <c r="F18" i="18" s="1"/>
  <c r="D40" i="18"/>
  <c r="F40" i="18" s="1"/>
  <c r="D13" i="18"/>
  <c r="F13" i="18" s="1"/>
  <c r="D26" i="18"/>
  <c r="F26" i="18" s="1"/>
  <c r="H43" i="18"/>
  <c r="K43" i="18" s="1"/>
  <c r="D35" i="18"/>
  <c r="F35" i="18" s="1"/>
  <c r="G35" i="18" s="1"/>
  <c r="G43" i="18"/>
  <c r="D16" i="18"/>
  <c r="F16" i="18" s="1"/>
  <c r="G16" i="18" s="1"/>
  <c r="D20" i="18"/>
  <c r="F20" i="18" s="1"/>
  <c r="G20" i="18" s="1"/>
  <c r="G23" i="18"/>
  <c r="G30" i="18"/>
  <c r="D21" i="18"/>
  <c r="F21" i="18" s="1"/>
  <c r="C10" i="18"/>
  <c r="D43" i="18"/>
  <c r="F43" i="18" s="1"/>
  <c r="I43" i="18" s="1"/>
  <c r="D30" i="18"/>
  <c r="F30" i="18" s="1"/>
  <c r="D38" i="18"/>
  <c r="F38" i="18" s="1"/>
  <c r="G38" i="18" s="1"/>
  <c r="G21" i="18"/>
  <c r="G26" i="18"/>
  <c r="G36" i="18"/>
  <c r="G41" i="18"/>
  <c r="D14" i="18"/>
  <c r="F14" i="18" s="1"/>
  <c r="G14" i="18" s="1"/>
  <c r="D19" i="18"/>
  <c r="F19" i="18" s="1"/>
  <c r="G19" i="18" s="1"/>
  <c r="D24" i="18"/>
  <c r="F24" i="18" s="1"/>
  <c r="G24" i="18" s="1"/>
  <c r="D29" i="18"/>
  <c r="F29" i="18" s="1"/>
  <c r="D34" i="18"/>
  <c r="F34" i="18" s="1"/>
  <c r="D39" i="18"/>
  <c r="F39" i="18" s="1"/>
  <c r="G29" i="18"/>
  <c r="G34" i="18"/>
  <c r="G39" i="18"/>
  <c r="D42" i="18"/>
  <c r="F42" i="18" s="1"/>
  <c r="I42" i="18" s="1"/>
  <c r="H42" i="18" s="1"/>
  <c r="K42" i="18" s="1"/>
  <c r="D12" i="18"/>
  <c r="F12" i="18" s="1"/>
  <c r="D17" i="18"/>
  <c r="F17" i="18" s="1"/>
  <c r="G17" i="18" s="1"/>
  <c r="D22" i="18"/>
  <c r="F22" i="18" s="1"/>
  <c r="G22" i="18" s="1"/>
  <c r="D27" i="18"/>
  <c r="F27" i="18" s="1"/>
  <c r="G27" i="18" s="1"/>
  <c r="D32" i="18"/>
  <c r="F32" i="18" s="1"/>
  <c r="D37" i="18"/>
  <c r="F37" i="18" s="1"/>
  <c r="G32" i="18"/>
  <c r="G37" i="18"/>
  <c r="D25" i="18"/>
  <c r="F25" i="18" s="1"/>
  <c r="G25" i="18" s="1"/>
  <c r="D33" i="18"/>
  <c r="F33" i="18" s="1"/>
  <c r="G33" i="18" s="1"/>
  <c r="C136" i="20" l="1"/>
  <c r="C137" i="20" s="1"/>
  <c r="O48" i="25"/>
  <c r="O91" i="25"/>
  <c r="O31" i="25"/>
  <c r="O69" i="25"/>
  <c r="O22" i="25"/>
  <c r="O24" i="25"/>
  <c r="O17" i="25"/>
  <c r="O60" i="25"/>
  <c r="O51" i="25"/>
  <c r="O29" i="25"/>
  <c r="O42" i="25"/>
  <c r="O66" i="25"/>
  <c r="O35" i="25"/>
  <c r="O49" i="25"/>
  <c r="O89" i="25"/>
  <c r="O28" i="25"/>
  <c r="O37" i="25"/>
  <c r="O53" i="25"/>
  <c r="O86" i="25"/>
  <c r="V55" i="24"/>
  <c r="V13" i="24"/>
  <c r="V89" i="24"/>
  <c r="V66" i="24"/>
  <c r="V17" i="24"/>
  <c r="V81" i="24"/>
  <c r="V54" i="24"/>
  <c r="V35" i="24"/>
  <c r="V8" i="24"/>
  <c r="V65" i="24"/>
  <c r="V88" i="24"/>
  <c r="V28" i="24"/>
  <c r="V78" i="24"/>
  <c r="V57" i="24"/>
  <c r="V58" i="24"/>
  <c r="V79" i="24"/>
  <c r="V45" i="24"/>
  <c r="V25" i="24"/>
  <c r="V69" i="24"/>
  <c r="V38" i="24"/>
  <c r="V72" i="24"/>
  <c r="V18" i="24"/>
  <c r="V70" i="24"/>
  <c r="V21" i="24"/>
  <c r="V27" i="24"/>
  <c r="V82" i="24"/>
  <c r="L20" i="21"/>
  <c r="K20" i="21"/>
  <c r="M20" i="21"/>
  <c r="F9" i="18"/>
  <c r="G12" i="18"/>
  <c r="G42" i="18"/>
  <c r="G9" i="18" l="1"/>
  <c r="J37" i="18"/>
  <c r="I37" i="18" s="1"/>
  <c r="H37" i="18" s="1"/>
  <c r="K37" i="18" s="1"/>
  <c r="J25" i="18"/>
  <c r="I25" i="18" s="1"/>
  <c r="H25" i="18" s="1"/>
  <c r="K25" i="18" s="1"/>
  <c r="J22" i="18"/>
  <c r="I22" i="18" s="1"/>
  <c r="H22" i="18" s="1"/>
  <c r="K22" i="18" s="1"/>
  <c r="J35" i="18"/>
  <c r="I35" i="18" s="1"/>
  <c r="H35" i="18" s="1"/>
  <c r="K35" i="18" s="1"/>
  <c r="J27" i="18"/>
  <c r="I27" i="18" s="1"/>
  <c r="H27" i="18" s="1"/>
  <c r="K27" i="18" s="1"/>
  <c r="J40" i="18"/>
  <c r="I40" i="18" s="1"/>
  <c r="H40" i="18" s="1"/>
  <c r="K40" i="18" s="1"/>
  <c r="J32" i="18"/>
  <c r="I32" i="18" s="1"/>
  <c r="H32" i="18" s="1"/>
  <c r="K32" i="18" s="1"/>
  <c r="J15" i="18"/>
  <c r="I15" i="18" s="1"/>
  <c r="H15" i="18" s="1"/>
  <c r="K15" i="18" s="1"/>
  <c r="J17" i="18"/>
  <c r="I17" i="18" s="1"/>
  <c r="H17" i="18" s="1"/>
  <c r="K17" i="18" s="1"/>
  <c r="J16" i="18"/>
  <c r="I16" i="18" s="1"/>
  <c r="H16" i="18" s="1"/>
  <c r="K16" i="18" s="1"/>
  <c r="J21" i="18"/>
  <c r="I21" i="18" s="1"/>
  <c r="H21" i="18" s="1"/>
  <c r="K21" i="18" s="1"/>
  <c r="J36" i="18"/>
  <c r="I36" i="18" s="1"/>
  <c r="H36" i="18" s="1"/>
  <c r="K36" i="18" s="1"/>
  <c r="J19" i="18"/>
  <c r="I19" i="18" s="1"/>
  <c r="H19" i="18" s="1"/>
  <c r="K19" i="18" s="1"/>
  <c r="J34" i="18"/>
  <c r="I34" i="18" s="1"/>
  <c r="H34" i="18" s="1"/>
  <c r="K34" i="18" s="1"/>
  <c r="J39" i="18"/>
  <c r="I39" i="18" s="1"/>
  <c r="H39" i="18" s="1"/>
  <c r="K39" i="18" s="1"/>
  <c r="J33" i="18"/>
  <c r="I33" i="18" s="1"/>
  <c r="H33" i="18" s="1"/>
  <c r="K33" i="18" s="1"/>
  <c r="J20" i="18"/>
  <c r="I20" i="18" s="1"/>
  <c r="H20" i="18" s="1"/>
  <c r="K20" i="18" s="1"/>
  <c r="J24" i="18"/>
  <c r="I24" i="18" s="1"/>
  <c r="H24" i="18" s="1"/>
  <c r="K24" i="18" s="1"/>
  <c r="J29" i="18"/>
  <c r="I29" i="18" s="1"/>
  <c r="H29" i="18" s="1"/>
  <c r="K29" i="18" s="1"/>
  <c r="J31" i="18"/>
  <c r="I31" i="18" s="1"/>
  <c r="H31" i="18" s="1"/>
  <c r="K31" i="18" s="1"/>
  <c r="J13" i="18"/>
  <c r="I13" i="18" s="1"/>
  <c r="H13" i="18" s="1"/>
  <c r="K13" i="18" s="1"/>
  <c r="J18" i="18"/>
  <c r="I18" i="18" s="1"/>
  <c r="H18" i="18" s="1"/>
  <c r="K18" i="18" s="1"/>
  <c r="J14" i="18"/>
  <c r="I14" i="18" s="1"/>
  <c r="H14" i="18" s="1"/>
  <c r="K14" i="18" s="1"/>
  <c r="J38" i="18"/>
  <c r="I38" i="18" s="1"/>
  <c r="H38" i="18" s="1"/>
  <c r="K38" i="18" s="1"/>
  <c r="J23" i="18"/>
  <c r="I23" i="18" s="1"/>
  <c r="H23" i="18" s="1"/>
  <c r="K23" i="18" s="1"/>
  <c r="J30" i="18"/>
  <c r="I30" i="18" s="1"/>
  <c r="H30" i="18" s="1"/>
  <c r="K30" i="18" s="1"/>
  <c r="J28" i="18"/>
  <c r="I28" i="18" s="1"/>
  <c r="H28" i="18" s="1"/>
  <c r="K28" i="18" s="1"/>
  <c r="J26" i="18"/>
  <c r="I26" i="18" s="1"/>
  <c r="H26" i="18" s="1"/>
  <c r="K26" i="18" s="1"/>
  <c r="J12" i="18"/>
  <c r="I12" i="18" s="1"/>
  <c r="H12" i="18" s="1"/>
  <c r="G127"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10" i="12"/>
  <c r="H111" i="12"/>
  <c r="H112" i="12"/>
  <c r="H113" i="12"/>
  <c r="H114" i="12"/>
  <c r="H115" i="12"/>
  <c r="H116" i="12"/>
  <c r="H117" i="12"/>
  <c r="H118" i="12"/>
  <c r="H119" i="12"/>
  <c r="H120" i="12"/>
  <c r="H121" i="12"/>
  <c r="H122" i="12"/>
  <c r="H123" i="12"/>
  <c r="H124" i="12"/>
  <c r="H125" i="12"/>
  <c r="H5" i="12"/>
  <c r="AL17" i="11"/>
  <c r="AL5" i="11"/>
  <c r="AL112" i="11"/>
  <c r="AL113" i="11"/>
  <c r="AL114" i="11"/>
  <c r="AL115" i="11"/>
  <c r="AL116" i="11"/>
  <c r="AL117" i="11"/>
  <c r="AL118" i="11"/>
  <c r="AL119" i="11"/>
  <c r="AL120" i="11"/>
  <c r="AL121" i="11"/>
  <c r="AL122" i="11"/>
  <c r="AL123" i="11"/>
  <c r="AL124" i="11"/>
  <c r="AL125" i="11"/>
  <c r="AL126" i="11"/>
  <c r="AL111" i="11"/>
  <c r="AL74" i="11"/>
  <c r="AL75" i="11"/>
  <c r="AL76" i="11"/>
  <c r="AL77" i="11"/>
  <c r="AL78" i="11"/>
  <c r="AL79" i="11"/>
  <c r="AL80" i="11"/>
  <c r="AL81" i="11"/>
  <c r="AL82" i="11"/>
  <c r="AL83" i="11"/>
  <c r="AL84" i="11"/>
  <c r="AL85" i="11"/>
  <c r="AL86" i="11"/>
  <c r="AL87" i="11"/>
  <c r="AL88" i="11"/>
  <c r="AL89" i="11"/>
  <c r="AL90" i="11"/>
  <c r="AL91" i="11"/>
  <c r="AL92" i="11"/>
  <c r="AL93" i="11"/>
  <c r="AL94" i="11"/>
  <c r="AL95" i="11"/>
  <c r="AL96" i="11"/>
  <c r="AL97" i="11"/>
  <c r="AL98" i="11"/>
  <c r="AL99" i="11"/>
  <c r="AL100" i="11"/>
  <c r="AL101" i="11"/>
  <c r="AL102" i="11"/>
  <c r="AL103" i="11"/>
  <c r="AL104" i="11"/>
  <c r="AL105" i="11"/>
  <c r="AL106" i="11"/>
  <c r="AL107" i="11"/>
  <c r="AL108" i="11"/>
  <c r="AL73" i="11"/>
  <c r="AL6" i="11"/>
  <c r="AL7" i="11"/>
  <c r="AL8" i="11"/>
  <c r="AL9" i="11"/>
  <c r="AL10" i="11"/>
  <c r="AL11" i="11"/>
  <c r="AL12" i="11"/>
  <c r="AL13" i="11"/>
  <c r="AL14" i="11"/>
  <c r="AL15" i="11"/>
  <c r="AL16" i="11"/>
  <c r="AL18" i="11"/>
  <c r="AL19" i="11"/>
  <c r="AL20" i="11"/>
  <c r="AL21" i="11"/>
  <c r="AL22" i="11"/>
  <c r="AL23" i="11"/>
  <c r="AL24" i="11"/>
  <c r="AL25" i="11"/>
  <c r="AL26" i="11"/>
  <c r="AL27" i="11"/>
  <c r="AL28" i="11"/>
  <c r="AL29" i="11"/>
  <c r="AL30" i="11"/>
  <c r="AL31" i="11"/>
  <c r="AL32" i="11"/>
  <c r="AL33" i="11"/>
  <c r="AL34" i="11"/>
  <c r="AL35" i="11"/>
  <c r="AL36" i="11"/>
  <c r="AL37" i="11"/>
  <c r="AL38" i="11"/>
  <c r="AL39" i="11"/>
  <c r="AL40" i="11"/>
  <c r="AL41" i="11"/>
  <c r="AL42" i="11"/>
  <c r="AL43" i="11"/>
  <c r="AL44" i="11"/>
  <c r="AL45" i="11"/>
  <c r="AL46" i="11"/>
  <c r="AL47" i="11"/>
  <c r="AL48" i="11"/>
  <c r="AL49" i="11"/>
  <c r="AL50" i="11"/>
  <c r="AL51" i="11"/>
  <c r="AL52" i="11"/>
  <c r="AL53" i="11"/>
  <c r="AL54" i="11"/>
  <c r="AL55" i="11"/>
  <c r="AL56" i="11"/>
  <c r="AL57" i="11"/>
  <c r="AL58" i="11"/>
  <c r="AL59" i="11"/>
  <c r="AL60" i="11"/>
  <c r="AL61" i="11"/>
  <c r="AL62" i="11"/>
  <c r="AL63" i="11"/>
  <c r="AL64" i="11"/>
  <c r="AL65" i="11"/>
  <c r="AL66" i="11"/>
  <c r="AL67" i="11"/>
  <c r="AL68" i="11"/>
  <c r="AL69" i="11"/>
  <c r="AL70" i="11"/>
  <c r="AL71" i="11"/>
  <c r="H9" i="18" l="1"/>
  <c r="K12" i="18"/>
  <c r="M9" i="18" s="1"/>
  <c r="F127" i="12"/>
  <c r="H127" i="12" l="1"/>
  <c r="P128" i="11"/>
  <c r="AC128" i="11" l="1"/>
  <c r="L128" i="11"/>
  <c r="X128" i="11"/>
  <c r="X127" i="11"/>
  <c r="AE128" i="11"/>
  <c r="T128" i="11"/>
  <c r="H74" i="11" l="1"/>
  <c r="D74" i="11"/>
  <c r="AL128" i="11" l="1"/>
  <c r="E2" i="1" l="1"/>
  <c r="F2" i="1"/>
  <c r="D2" i="1"/>
  <c r="C2" i="1"/>
  <c r="H7" i="7" l="1"/>
  <c r="H8" i="7"/>
  <c r="H9" i="7"/>
  <c r="H10" i="7"/>
  <c r="H11" i="7"/>
  <c r="H12" i="7"/>
  <c r="H13" i="7"/>
  <c r="H14" i="7"/>
  <c r="H15" i="7"/>
  <c r="H16" i="7"/>
  <c r="E7" i="7"/>
  <c r="E8" i="7"/>
  <c r="E9" i="7"/>
  <c r="E10" i="7"/>
  <c r="E11" i="7"/>
  <c r="E12" i="7"/>
  <c r="E13" i="7"/>
  <c r="E14" i="7"/>
  <c r="E15" i="7"/>
  <c r="E16" i="7"/>
  <c r="D7" i="7"/>
  <c r="D8" i="7"/>
  <c r="D9" i="7"/>
  <c r="D10" i="7"/>
  <c r="F10" i="7" s="1"/>
  <c r="K84" i="5" s="1"/>
  <c r="D11" i="7"/>
  <c r="F11" i="7" s="1"/>
  <c r="L84" i="5" s="1"/>
  <c r="D12" i="7"/>
  <c r="F12" i="7" s="1"/>
  <c r="M84" i="5" s="1"/>
  <c r="D13" i="7"/>
  <c r="D14" i="7"/>
  <c r="D15" i="7"/>
  <c r="D16" i="7"/>
  <c r="F13" i="7" l="1"/>
  <c r="N84" i="5" s="1"/>
  <c r="F9" i="7"/>
  <c r="J84" i="5" s="1"/>
  <c r="F15" i="7"/>
  <c r="P84" i="5" s="1"/>
  <c r="F7" i="7"/>
  <c r="H84" i="5" s="1"/>
  <c r="F16" i="7"/>
  <c r="Q84" i="5" s="1"/>
  <c r="F8" i="7"/>
  <c r="I84" i="5" s="1"/>
  <c r="F14" i="7"/>
  <c r="O84" i="5" s="1"/>
  <c r="H7" i="10"/>
  <c r="H8" i="10"/>
  <c r="I84" i="9" s="1"/>
  <c r="H9" i="10"/>
  <c r="H10" i="10"/>
  <c r="H11" i="10"/>
  <c r="H12" i="10"/>
  <c r="H13" i="10"/>
  <c r="H14" i="10"/>
  <c r="G7" i="10"/>
  <c r="G8" i="10"/>
  <c r="G9" i="10"/>
  <c r="G10" i="10"/>
  <c r="G11" i="10"/>
  <c r="G12" i="10"/>
  <c r="G13" i="10"/>
  <c r="G14" i="10"/>
  <c r="E7" i="10"/>
  <c r="E8" i="10"/>
  <c r="E9" i="10"/>
  <c r="E10" i="10"/>
  <c r="E11" i="10"/>
  <c r="E12" i="10"/>
  <c r="E13" i="10"/>
  <c r="E14" i="10"/>
  <c r="D7" i="10"/>
  <c r="D8" i="10"/>
  <c r="D9" i="10"/>
  <c r="D10" i="10"/>
  <c r="D11" i="10"/>
  <c r="D12" i="10"/>
  <c r="D13" i="10"/>
  <c r="D14" i="10"/>
  <c r="H7" i="6"/>
  <c r="H8" i="6"/>
  <c r="H9" i="6"/>
  <c r="H10" i="6"/>
  <c r="H11" i="6"/>
  <c r="H12" i="6"/>
  <c r="H13" i="6"/>
  <c r="H14" i="6"/>
  <c r="H15" i="6"/>
  <c r="H16" i="6"/>
  <c r="G7" i="6"/>
  <c r="G8" i="6"/>
  <c r="G9" i="6"/>
  <c r="G10" i="6"/>
  <c r="G11" i="6"/>
  <c r="G12" i="6"/>
  <c r="G13" i="6"/>
  <c r="G14" i="6"/>
  <c r="G15" i="6"/>
  <c r="G16" i="6"/>
  <c r="F7" i="6"/>
  <c r="F8" i="6"/>
  <c r="F9" i="6"/>
  <c r="F10" i="6"/>
  <c r="F11" i="6"/>
  <c r="F12" i="6"/>
  <c r="F13" i="6"/>
  <c r="F14" i="6"/>
  <c r="F15" i="6"/>
  <c r="F16" i="6"/>
  <c r="E7" i="6"/>
  <c r="E8" i="6"/>
  <c r="E9" i="6"/>
  <c r="E10" i="6"/>
  <c r="E11" i="6"/>
  <c r="E12" i="6"/>
  <c r="E13" i="6"/>
  <c r="E14" i="6"/>
  <c r="E15" i="6"/>
  <c r="E16" i="6"/>
  <c r="D7" i="6"/>
  <c r="D8" i="6"/>
  <c r="D9" i="6"/>
  <c r="D10" i="6"/>
  <c r="D11" i="6"/>
  <c r="D12" i="6"/>
  <c r="D13" i="6"/>
  <c r="D14" i="6"/>
  <c r="D15" i="6"/>
  <c r="D16" i="6"/>
  <c r="W2" i="1" l="1"/>
  <c r="G2" i="7" s="1"/>
  <c r="W3" i="1"/>
  <c r="G3" i="7" s="1"/>
  <c r="W4" i="1"/>
  <c r="G4" i="7" s="1"/>
  <c r="W5" i="1"/>
  <c r="G5" i="7" s="1"/>
  <c r="W6" i="1"/>
  <c r="G6" i="7" s="1"/>
  <c r="W7" i="1"/>
  <c r="G7" i="7" s="1"/>
  <c r="I7" i="7" s="1"/>
  <c r="H85" i="8" s="1"/>
  <c r="W8" i="1"/>
  <c r="G8" i="7" s="1"/>
  <c r="I8" i="7" s="1"/>
  <c r="W9" i="1"/>
  <c r="G9" i="7" s="1"/>
  <c r="I9" i="7" s="1"/>
  <c r="W10" i="1"/>
  <c r="G10" i="7" s="1"/>
  <c r="I10" i="7" s="1"/>
  <c r="W11" i="1"/>
  <c r="G11" i="7" s="1"/>
  <c r="I11" i="7" s="1"/>
  <c r="W12" i="1"/>
  <c r="G12" i="7" s="1"/>
  <c r="I12" i="7" s="1"/>
  <c r="W13" i="1"/>
  <c r="G13" i="7" s="1"/>
  <c r="I13" i="7" s="1"/>
  <c r="W14" i="1"/>
  <c r="G14" i="7" s="1"/>
  <c r="I14" i="7" s="1"/>
  <c r="W15" i="1"/>
  <c r="G15" i="7" s="1"/>
  <c r="I15" i="7" s="1"/>
  <c r="W16" i="1"/>
  <c r="G16" i="7" s="1"/>
  <c r="I16" i="7" s="1"/>
  <c r="G17" i="7" l="1"/>
  <c r="V13" i="1"/>
  <c r="V9" i="1"/>
  <c r="V5" i="1"/>
  <c r="V16" i="1"/>
  <c r="V12" i="1"/>
  <c r="V8" i="1"/>
  <c r="V4" i="1"/>
  <c r="V15" i="1"/>
  <c r="V11" i="1"/>
  <c r="V7" i="1"/>
  <c r="V3" i="1"/>
  <c r="V14" i="1"/>
  <c r="V10" i="1"/>
  <c r="V6" i="1"/>
  <c r="V2" i="1"/>
  <c r="I2" i="6" s="1"/>
  <c r="B106" i="9"/>
  <c r="I87" i="9" l="1"/>
  <c r="I91" i="9" s="1"/>
  <c r="H87" i="9"/>
  <c r="H90" i="9" s="1"/>
  <c r="I28" i="5"/>
  <c r="O42" i="5"/>
  <c r="H84" i="9"/>
  <c r="O99" i="4"/>
  <c r="O95" i="4" s="1"/>
  <c r="N99" i="4"/>
  <c r="N96" i="4" s="1"/>
  <c r="M99" i="4"/>
  <c r="M95" i="4" s="1"/>
  <c r="L99" i="4"/>
  <c r="L96" i="4" s="1"/>
  <c r="K99" i="4"/>
  <c r="K95" i="4" s="1"/>
  <c r="J99" i="4"/>
  <c r="J96" i="4" s="1"/>
  <c r="I99" i="4"/>
  <c r="I95" i="4" s="1"/>
  <c r="H99" i="4"/>
  <c r="H96" i="4" s="1"/>
  <c r="I90" i="9" l="1"/>
  <c r="O68" i="5"/>
  <c r="O4" i="5"/>
  <c r="O36" i="5"/>
  <c r="H2" i="8"/>
  <c r="H4" i="8"/>
  <c r="H6" i="8"/>
  <c r="H8" i="8"/>
  <c r="H10" i="8"/>
  <c r="H12" i="8"/>
  <c r="H14" i="8"/>
  <c r="H16" i="8"/>
  <c r="H18" i="8"/>
  <c r="H20" i="8"/>
  <c r="H22" i="8"/>
  <c r="H24" i="8"/>
  <c r="H26" i="8"/>
  <c r="H28" i="8"/>
  <c r="H30" i="8"/>
  <c r="H32" i="8"/>
  <c r="H34" i="8"/>
  <c r="H36" i="8"/>
  <c r="H38" i="8"/>
  <c r="H40" i="8"/>
  <c r="H42" i="8"/>
  <c r="H44" i="8"/>
  <c r="H46" i="8"/>
  <c r="H48" i="8"/>
  <c r="H50" i="8"/>
  <c r="H52" i="8"/>
  <c r="H54" i="8"/>
  <c r="H56" i="8"/>
  <c r="H58" i="8"/>
  <c r="H60" i="8"/>
  <c r="H62" i="8"/>
  <c r="H64" i="8"/>
  <c r="H66" i="8"/>
  <c r="H68" i="8"/>
  <c r="H70" i="8"/>
  <c r="H72" i="8"/>
  <c r="H74" i="8"/>
  <c r="H76" i="8"/>
  <c r="H78" i="8"/>
  <c r="H80" i="8"/>
  <c r="H82" i="8"/>
  <c r="H3" i="8"/>
  <c r="H7" i="8"/>
  <c r="H11" i="8"/>
  <c r="H15" i="8"/>
  <c r="H19" i="8"/>
  <c r="H23" i="8"/>
  <c r="H27" i="8"/>
  <c r="H31" i="8"/>
  <c r="H35" i="8"/>
  <c r="H39" i="8"/>
  <c r="H43" i="8"/>
  <c r="H47" i="8"/>
  <c r="H51" i="8"/>
  <c r="H55" i="8"/>
  <c r="H59" i="8"/>
  <c r="H63" i="8"/>
  <c r="H67" i="8"/>
  <c r="H71" i="8"/>
  <c r="H75" i="8"/>
  <c r="H79" i="8"/>
  <c r="H83" i="8"/>
  <c r="H9" i="8"/>
  <c r="H17" i="8"/>
  <c r="H25" i="8"/>
  <c r="H33" i="8"/>
  <c r="H41" i="8"/>
  <c r="H49" i="8"/>
  <c r="H57" i="8"/>
  <c r="H65" i="8"/>
  <c r="H73" i="8"/>
  <c r="H81" i="8"/>
  <c r="H5" i="8"/>
  <c r="H13" i="8"/>
  <c r="H21" i="8"/>
  <c r="H29" i="8"/>
  <c r="H37" i="8"/>
  <c r="H45" i="8"/>
  <c r="H53" i="8"/>
  <c r="H61" i="8"/>
  <c r="H69" i="8"/>
  <c r="H77" i="8"/>
  <c r="Q24" i="5"/>
  <c r="Q3" i="5"/>
  <c r="Q61" i="5"/>
  <c r="Q49" i="5"/>
  <c r="Q62" i="5"/>
  <c r="Q8" i="5"/>
  <c r="Q40" i="5"/>
  <c r="Q35" i="5"/>
  <c r="Q77" i="5"/>
  <c r="Q5" i="5"/>
  <c r="O15" i="5"/>
  <c r="O31" i="5"/>
  <c r="O47" i="5"/>
  <c r="O63" i="5"/>
  <c r="O79" i="5"/>
  <c r="O26" i="5"/>
  <c r="O58" i="5"/>
  <c r="O78" i="5"/>
  <c r="O12" i="5"/>
  <c r="O28" i="5"/>
  <c r="O44" i="5"/>
  <c r="O60" i="5"/>
  <c r="O76" i="5"/>
  <c r="O7" i="5"/>
  <c r="O23" i="5"/>
  <c r="O39" i="5"/>
  <c r="O55" i="5"/>
  <c r="O71" i="5"/>
  <c r="M27" i="5"/>
  <c r="M59" i="5"/>
  <c r="M16" i="5"/>
  <c r="M80" i="5"/>
  <c r="M66" i="5"/>
  <c r="M11" i="5"/>
  <c r="M43" i="5"/>
  <c r="M75" i="5"/>
  <c r="M48" i="5"/>
  <c r="M34" i="5"/>
  <c r="K35" i="5"/>
  <c r="K34" i="5"/>
  <c r="K68" i="5"/>
  <c r="K3" i="5"/>
  <c r="K67" i="5"/>
  <c r="K16" i="5"/>
  <c r="I33" i="5"/>
  <c r="I22" i="5"/>
  <c r="I24" i="5"/>
  <c r="I76" i="5"/>
  <c r="I44" i="5"/>
  <c r="I12" i="5"/>
  <c r="I65" i="5"/>
  <c r="I56" i="5"/>
  <c r="I60" i="5"/>
  <c r="O52" i="5"/>
  <c r="O21" i="5"/>
  <c r="O70" i="5"/>
  <c r="O10" i="5"/>
  <c r="P2" i="5"/>
  <c r="P6" i="5"/>
  <c r="P10" i="5"/>
  <c r="P14" i="5"/>
  <c r="P18" i="5"/>
  <c r="P22" i="5"/>
  <c r="P26" i="5"/>
  <c r="P30" i="5"/>
  <c r="P34" i="5"/>
  <c r="P38" i="5"/>
  <c r="P42" i="5"/>
  <c r="P46" i="5"/>
  <c r="P50" i="5"/>
  <c r="P54" i="5"/>
  <c r="P58" i="5"/>
  <c r="P62" i="5"/>
  <c r="P66" i="5"/>
  <c r="P70" i="5"/>
  <c r="P74" i="5"/>
  <c r="P78" i="5"/>
  <c r="P82" i="5"/>
  <c r="P7" i="5"/>
  <c r="P15" i="5"/>
  <c r="P23" i="5"/>
  <c r="P31" i="5"/>
  <c r="P39" i="5"/>
  <c r="P47" i="5"/>
  <c r="P55" i="5"/>
  <c r="P63" i="5"/>
  <c r="P71" i="5"/>
  <c r="P79" i="5"/>
  <c r="P9" i="5"/>
  <c r="P17" i="5"/>
  <c r="P25" i="5"/>
  <c r="P33" i="5"/>
  <c r="P41" i="5"/>
  <c r="P49" i="5"/>
  <c r="P57" i="5"/>
  <c r="P65" i="5"/>
  <c r="P73" i="5"/>
  <c r="P81" i="5"/>
  <c r="N4" i="5"/>
  <c r="N8" i="5"/>
  <c r="N12" i="5"/>
  <c r="N16" i="5"/>
  <c r="N21" i="5"/>
  <c r="N24" i="5"/>
  <c r="N28" i="5"/>
  <c r="N32" i="5"/>
  <c r="N36" i="5"/>
  <c r="N40" i="5"/>
  <c r="N44" i="5"/>
  <c r="N48" i="5"/>
  <c r="N52" i="5"/>
  <c r="N56" i="5"/>
  <c r="N60" i="5"/>
  <c r="N64" i="5"/>
  <c r="N68" i="5"/>
  <c r="N72" i="5"/>
  <c r="N76" i="5"/>
  <c r="N80" i="5"/>
  <c r="N5" i="5"/>
  <c r="N13" i="5"/>
  <c r="N20" i="5"/>
  <c r="N29" i="5"/>
  <c r="N37" i="5"/>
  <c r="N45" i="5"/>
  <c r="N53" i="5"/>
  <c r="N61" i="5"/>
  <c r="N69" i="5"/>
  <c r="N77" i="5"/>
  <c r="N3" i="5"/>
  <c r="N11" i="5"/>
  <c r="N19" i="5"/>
  <c r="N27" i="5"/>
  <c r="N35" i="5"/>
  <c r="N43" i="5"/>
  <c r="N51" i="5"/>
  <c r="N59" i="5"/>
  <c r="N67" i="5"/>
  <c r="N75" i="5"/>
  <c r="L2" i="5"/>
  <c r="L6" i="5"/>
  <c r="L10" i="5"/>
  <c r="L14" i="5"/>
  <c r="L18" i="5"/>
  <c r="L22" i="5"/>
  <c r="L26" i="5"/>
  <c r="L30" i="5"/>
  <c r="L34" i="5"/>
  <c r="L38" i="5"/>
  <c r="L42" i="5"/>
  <c r="L46" i="5"/>
  <c r="L50" i="5"/>
  <c r="L54" i="5"/>
  <c r="L58" i="5"/>
  <c r="L62" i="5"/>
  <c r="L66" i="5"/>
  <c r="L70" i="5"/>
  <c r="L74" i="5"/>
  <c r="L78" i="5"/>
  <c r="L82" i="5"/>
  <c r="L7" i="5"/>
  <c r="L15" i="5"/>
  <c r="L23" i="5"/>
  <c r="L31" i="5"/>
  <c r="L39" i="5"/>
  <c r="L47" i="5"/>
  <c r="L55" i="5"/>
  <c r="L63" i="5"/>
  <c r="L71" i="5"/>
  <c r="L79" i="5"/>
  <c r="L9" i="5"/>
  <c r="L17" i="5"/>
  <c r="L25" i="5"/>
  <c r="L33" i="5"/>
  <c r="L41" i="5"/>
  <c r="L49" i="5"/>
  <c r="L57" i="5"/>
  <c r="L65" i="5"/>
  <c r="L73" i="5"/>
  <c r="L81" i="5"/>
  <c r="J4" i="5"/>
  <c r="J8" i="5"/>
  <c r="J12" i="5"/>
  <c r="J16" i="5"/>
  <c r="J21" i="5"/>
  <c r="J24" i="5"/>
  <c r="J28" i="5"/>
  <c r="J32" i="5"/>
  <c r="J36" i="5"/>
  <c r="J40" i="5"/>
  <c r="J44" i="5"/>
  <c r="J48" i="5"/>
  <c r="J52" i="5"/>
  <c r="J56" i="5"/>
  <c r="J60" i="5"/>
  <c r="J64" i="5"/>
  <c r="J68" i="5"/>
  <c r="J72" i="5"/>
  <c r="J76" i="5"/>
  <c r="J80" i="5"/>
  <c r="J6" i="5"/>
  <c r="J14" i="5"/>
  <c r="J22" i="5"/>
  <c r="J30" i="5"/>
  <c r="J38" i="5"/>
  <c r="J46" i="5"/>
  <c r="J54" i="5"/>
  <c r="J62" i="5"/>
  <c r="J70" i="5"/>
  <c r="J78" i="5"/>
  <c r="J5" i="5"/>
  <c r="J13" i="5"/>
  <c r="J20" i="5"/>
  <c r="J29" i="5"/>
  <c r="J37" i="5"/>
  <c r="J45" i="5"/>
  <c r="J53" i="5"/>
  <c r="J61" i="5"/>
  <c r="J69" i="5"/>
  <c r="J77" i="5"/>
  <c r="J3" i="5"/>
  <c r="J11" i="5"/>
  <c r="J19" i="5"/>
  <c r="J27" i="5"/>
  <c r="J35" i="5"/>
  <c r="J43" i="5"/>
  <c r="J51" i="5"/>
  <c r="J59" i="5"/>
  <c r="J67" i="5"/>
  <c r="J75" i="5"/>
  <c r="H4" i="5"/>
  <c r="H8" i="5"/>
  <c r="H12" i="5"/>
  <c r="H5" i="5"/>
  <c r="H13" i="5"/>
  <c r="H18" i="5"/>
  <c r="H22" i="5"/>
  <c r="H26" i="5"/>
  <c r="H30" i="5"/>
  <c r="H34" i="5"/>
  <c r="H38" i="5"/>
  <c r="H42" i="5"/>
  <c r="H46" i="5"/>
  <c r="H50" i="5"/>
  <c r="H54" i="5"/>
  <c r="H58" i="5"/>
  <c r="H62" i="5"/>
  <c r="H66" i="5"/>
  <c r="H70" i="5"/>
  <c r="H74" i="5"/>
  <c r="H78" i="5"/>
  <c r="H82" i="5"/>
  <c r="H6" i="5"/>
  <c r="H14" i="5"/>
  <c r="H16" i="5"/>
  <c r="H24" i="5"/>
  <c r="H32" i="5"/>
  <c r="H40" i="5"/>
  <c r="H48" i="5"/>
  <c r="H56" i="5"/>
  <c r="H64" i="5"/>
  <c r="H72" i="5"/>
  <c r="H80" i="5"/>
  <c r="H79" i="5"/>
  <c r="H71" i="5"/>
  <c r="H63" i="5"/>
  <c r="H55" i="5"/>
  <c r="H47" i="5"/>
  <c r="H39" i="5"/>
  <c r="H31" i="5"/>
  <c r="H23" i="5"/>
  <c r="H15" i="5"/>
  <c r="H11" i="5"/>
  <c r="H20" i="5"/>
  <c r="H29" i="5"/>
  <c r="H37" i="5"/>
  <c r="H45" i="5"/>
  <c r="H53" i="5"/>
  <c r="H61" i="5"/>
  <c r="H69" i="5"/>
  <c r="H77" i="5"/>
  <c r="H7" i="5"/>
  <c r="H27" i="5"/>
  <c r="H43" i="5"/>
  <c r="H59" i="5"/>
  <c r="H75" i="5"/>
  <c r="P77" i="5"/>
  <c r="P61" i="5"/>
  <c r="P45" i="5"/>
  <c r="P29" i="5"/>
  <c r="P13" i="5"/>
  <c r="P75" i="5"/>
  <c r="P59" i="5"/>
  <c r="P43" i="5"/>
  <c r="P27" i="5"/>
  <c r="P11" i="5"/>
  <c r="P80" i="5"/>
  <c r="P72" i="5"/>
  <c r="P64" i="5"/>
  <c r="P56" i="5"/>
  <c r="P48" i="5"/>
  <c r="P40" i="5"/>
  <c r="P32" i="5"/>
  <c r="P24" i="5"/>
  <c r="P16" i="5"/>
  <c r="P8" i="5"/>
  <c r="N79" i="5"/>
  <c r="N63" i="5"/>
  <c r="N47" i="5"/>
  <c r="N31" i="5"/>
  <c r="N15" i="5"/>
  <c r="N81" i="5"/>
  <c r="N65" i="5"/>
  <c r="N49" i="5"/>
  <c r="N33" i="5"/>
  <c r="N17" i="5"/>
  <c r="N82" i="5"/>
  <c r="N74" i="5"/>
  <c r="N66" i="5"/>
  <c r="N58" i="5"/>
  <c r="N50" i="5"/>
  <c r="N42" i="5"/>
  <c r="N34" i="5"/>
  <c r="N26" i="5"/>
  <c r="N18" i="5"/>
  <c r="N10" i="5"/>
  <c r="N2" i="5"/>
  <c r="L69" i="5"/>
  <c r="L53" i="5"/>
  <c r="L37" i="5"/>
  <c r="L20" i="5"/>
  <c r="L5" i="5"/>
  <c r="L67" i="5"/>
  <c r="L51" i="5"/>
  <c r="L35" i="5"/>
  <c r="L19" i="5"/>
  <c r="L3" i="5"/>
  <c r="L76" i="5"/>
  <c r="L68" i="5"/>
  <c r="L60" i="5"/>
  <c r="L52" i="5"/>
  <c r="L44" i="5"/>
  <c r="L36" i="5"/>
  <c r="L28" i="5"/>
  <c r="L21" i="5"/>
  <c r="L12" i="5"/>
  <c r="L4" i="5"/>
  <c r="J71" i="5"/>
  <c r="J55" i="5"/>
  <c r="J39" i="5"/>
  <c r="J23" i="5"/>
  <c r="J7" i="5"/>
  <c r="J73" i="5"/>
  <c r="J57" i="5"/>
  <c r="J41" i="5"/>
  <c r="J25" i="5"/>
  <c r="J9" i="5"/>
  <c r="J74" i="5"/>
  <c r="J58" i="5"/>
  <c r="J42" i="5"/>
  <c r="J26" i="5"/>
  <c r="J10" i="5"/>
  <c r="H76" i="5"/>
  <c r="H60" i="5"/>
  <c r="H44" i="5"/>
  <c r="H28" i="5"/>
  <c r="H9" i="5"/>
  <c r="H2" i="5"/>
  <c r="Q2" i="5"/>
  <c r="Q6" i="5"/>
  <c r="Q10" i="5"/>
  <c r="Q14" i="5"/>
  <c r="Q18" i="5"/>
  <c r="Q22" i="5"/>
  <c r="Q26" i="5"/>
  <c r="Q30" i="5"/>
  <c r="Q34" i="5"/>
  <c r="Q38" i="5"/>
  <c r="Q42" i="5"/>
  <c r="Q46" i="5"/>
  <c r="Q50" i="5"/>
  <c r="Q54" i="5"/>
  <c r="Q7" i="5"/>
  <c r="Q15" i="5"/>
  <c r="Q23" i="5"/>
  <c r="Q31" i="5"/>
  <c r="Q39" i="5"/>
  <c r="Q47" i="5"/>
  <c r="Q55" i="5"/>
  <c r="Q59" i="5"/>
  <c r="Q63" i="5"/>
  <c r="Q67" i="5"/>
  <c r="Q71" i="5"/>
  <c r="Q75" i="5"/>
  <c r="Q79" i="5"/>
  <c r="Q9" i="5"/>
  <c r="Q25" i="5"/>
  <c r="Q41" i="5"/>
  <c r="Q56" i="5"/>
  <c r="Q64" i="5"/>
  <c r="Q72" i="5"/>
  <c r="Q80" i="5"/>
  <c r="Q13" i="5"/>
  <c r="Q29" i="5"/>
  <c r="Q45" i="5"/>
  <c r="Q58" i="5"/>
  <c r="Q66" i="5"/>
  <c r="Q74" i="5"/>
  <c r="Q82" i="5"/>
  <c r="Q4" i="5"/>
  <c r="Q12" i="5"/>
  <c r="Q21" i="5"/>
  <c r="Q28" i="5"/>
  <c r="Q36" i="5"/>
  <c r="Q44" i="5"/>
  <c r="Q52" i="5"/>
  <c r="Q11" i="5"/>
  <c r="Q27" i="5"/>
  <c r="Q43" i="5"/>
  <c r="Q57" i="5"/>
  <c r="Q65" i="5"/>
  <c r="Q73" i="5"/>
  <c r="Q81" i="5"/>
  <c r="Q33" i="5"/>
  <c r="Q60" i="5"/>
  <c r="Q76" i="5"/>
  <c r="Q20" i="5"/>
  <c r="Q53" i="5"/>
  <c r="Q70" i="5"/>
  <c r="O5" i="5"/>
  <c r="O9" i="5"/>
  <c r="O13" i="5"/>
  <c r="O17" i="5"/>
  <c r="O20" i="5"/>
  <c r="O25" i="5"/>
  <c r="O29" i="5"/>
  <c r="O33" i="5"/>
  <c r="O37" i="5"/>
  <c r="O41" i="5"/>
  <c r="O45" i="5"/>
  <c r="O49" i="5"/>
  <c r="O53" i="5"/>
  <c r="O57" i="5"/>
  <c r="O61" i="5"/>
  <c r="O65" i="5"/>
  <c r="O69" i="5"/>
  <c r="O73" i="5"/>
  <c r="O77" i="5"/>
  <c r="O81" i="5"/>
  <c r="O6" i="5"/>
  <c r="O14" i="5"/>
  <c r="O22" i="5"/>
  <c r="O30" i="5"/>
  <c r="O38" i="5"/>
  <c r="O46" i="5"/>
  <c r="O54" i="5"/>
  <c r="O62" i="5"/>
  <c r="M5" i="5"/>
  <c r="M9" i="5"/>
  <c r="M13" i="5"/>
  <c r="M17" i="5"/>
  <c r="M20" i="5"/>
  <c r="M25" i="5"/>
  <c r="M29" i="5"/>
  <c r="M33" i="5"/>
  <c r="M37" i="5"/>
  <c r="M41" i="5"/>
  <c r="M45" i="5"/>
  <c r="M49" i="5"/>
  <c r="M53" i="5"/>
  <c r="M57" i="5"/>
  <c r="M61" i="5"/>
  <c r="M65" i="5"/>
  <c r="M69" i="5"/>
  <c r="M73" i="5"/>
  <c r="M77" i="5"/>
  <c r="M81" i="5"/>
  <c r="M4" i="5"/>
  <c r="M12" i="5"/>
  <c r="M21" i="5"/>
  <c r="M28" i="5"/>
  <c r="M36" i="5"/>
  <c r="M44" i="5"/>
  <c r="M52" i="5"/>
  <c r="M60" i="5"/>
  <c r="M68" i="5"/>
  <c r="M76" i="5"/>
  <c r="M6" i="5"/>
  <c r="M14" i="5"/>
  <c r="M22" i="5"/>
  <c r="M30" i="5"/>
  <c r="M38" i="5"/>
  <c r="M46" i="5"/>
  <c r="M54" i="5"/>
  <c r="M62" i="5"/>
  <c r="M70" i="5"/>
  <c r="M78" i="5"/>
  <c r="M7" i="5"/>
  <c r="M15" i="5"/>
  <c r="M23" i="5"/>
  <c r="M31" i="5"/>
  <c r="M39" i="5"/>
  <c r="M47" i="5"/>
  <c r="M55" i="5"/>
  <c r="M63" i="5"/>
  <c r="M71" i="5"/>
  <c r="M79" i="5"/>
  <c r="M8" i="5"/>
  <c r="M24" i="5"/>
  <c r="M40" i="5"/>
  <c r="M56" i="5"/>
  <c r="M72" i="5"/>
  <c r="M10" i="5"/>
  <c r="M26" i="5"/>
  <c r="M42" i="5"/>
  <c r="M58" i="5"/>
  <c r="M74" i="5"/>
  <c r="K5" i="5"/>
  <c r="K9" i="5"/>
  <c r="K13" i="5"/>
  <c r="K17" i="5"/>
  <c r="K20" i="5"/>
  <c r="K25" i="5"/>
  <c r="K29" i="5"/>
  <c r="K33" i="5"/>
  <c r="K37" i="5"/>
  <c r="K41" i="5"/>
  <c r="K45" i="5"/>
  <c r="K49" i="5"/>
  <c r="K53" i="5"/>
  <c r="K57" i="5"/>
  <c r="K61" i="5"/>
  <c r="K65" i="5"/>
  <c r="K69" i="5"/>
  <c r="K73" i="5"/>
  <c r="K77" i="5"/>
  <c r="K81" i="5"/>
  <c r="K6" i="5"/>
  <c r="K14" i="5"/>
  <c r="K22" i="5"/>
  <c r="K30" i="5"/>
  <c r="K38" i="5"/>
  <c r="K46" i="5"/>
  <c r="K54" i="5"/>
  <c r="K62" i="5"/>
  <c r="K70" i="5"/>
  <c r="K78" i="5"/>
  <c r="K4" i="5"/>
  <c r="K12" i="5"/>
  <c r="K21" i="5"/>
  <c r="K28" i="5"/>
  <c r="K36" i="5"/>
  <c r="K44" i="5"/>
  <c r="K52" i="5"/>
  <c r="K7" i="5"/>
  <c r="K15" i="5"/>
  <c r="K23" i="5"/>
  <c r="K31" i="5"/>
  <c r="K39" i="5"/>
  <c r="K47" i="5"/>
  <c r="K55" i="5"/>
  <c r="K63" i="5"/>
  <c r="K71" i="5"/>
  <c r="K79" i="5"/>
  <c r="K10" i="5"/>
  <c r="K26" i="5"/>
  <c r="K42" i="5"/>
  <c r="K58" i="5"/>
  <c r="K74" i="5"/>
  <c r="K8" i="5"/>
  <c r="K24" i="5"/>
  <c r="K40" i="5"/>
  <c r="K56" i="5"/>
  <c r="K64" i="5"/>
  <c r="K72" i="5"/>
  <c r="K80" i="5"/>
  <c r="K11" i="5"/>
  <c r="K27" i="5"/>
  <c r="K43" i="5"/>
  <c r="K59" i="5"/>
  <c r="K75" i="5"/>
  <c r="K18" i="5"/>
  <c r="K50" i="5"/>
  <c r="K82" i="5"/>
  <c r="K32" i="5"/>
  <c r="K60" i="5"/>
  <c r="K76" i="5"/>
  <c r="I3" i="5"/>
  <c r="I7" i="5"/>
  <c r="I11" i="5"/>
  <c r="I15" i="5"/>
  <c r="I19" i="5"/>
  <c r="I23" i="5"/>
  <c r="I27" i="5"/>
  <c r="I31" i="5"/>
  <c r="I35" i="5"/>
  <c r="I39" i="5"/>
  <c r="I43" i="5"/>
  <c r="I47" i="5"/>
  <c r="I51" i="5"/>
  <c r="I55" i="5"/>
  <c r="I59" i="5"/>
  <c r="I63" i="5"/>
  <c r="I67" i="5"/>
  <c r="I71" i="5"/>
  <c r="I75" i="5"/>
  <c r="I79" i="5"/>
  <c r="I4" i="5"/>
  <c r="I2" i="5"/>
  <c r="I10" i="5"/>
  <c r="I18" i="5"/>
  <c r="I26" i="5"/>
  <c r="I34" i="5"/>
  <c r="I42" i="5"/>
  <c r="I50" i="5"/>
  <c r="I58" i="5"/>
  <c r="I66" i="5"/>
  <c r="I74" i="5"/>
  <c r="I82" i="5"/>
  <c r="I5" i="5"/>
  <c r="I13" i="5"/>
  <c r="I20" i="5"/>
  <c r="I29" i="5"/>
  <c r="I37" i="5"/>
  <c r="I45" i="5"/>
  <c r="I53" i="5"/>
  <c r="I61" i="5"/>
  <c r="I69" i="5"/>
  <c r="I77" i="5"/>
  <c r="I8" i="5"/>
  <c r="I14" i="5"/>
  <c r="I30" i="5"/>
  <c r="I46" i="5"/>
  <c r="I62" i="5"/>
  <c r="I78" i="5"/>
  <c r="I9" i="5"/>
  <c r="I25" i="5"/>
  <c r="I41" i="5"/>
  <c r="I57" i="5"/>
  <c r="I73" i="5"/>
  <c r="I6" i="5"/>
  <c r="I38" i="5"/>
  <c r="I70" i="5"/>
  <c r="I80" i="5"/>
  <c r="I64" i="5"/>
  <c r="I48" i="5"/>
  <c r="I32" i="5"/>
  <c r="I16" i="5"/>
  <c r="I21" i="5"/>
  <c r="I36" i="5"/>
  <c r="I52" i="5"/>
  <c r="I68" i="5"/>
  <c r="H3" i="5"/>
  <c r="H17" i="5"/>
  <c r="H25" i="5"/>
  <c r="H33" i="5"/>
  <c r="H41" i="5"/>
  <c r="H49" i="5"/>
  <c r="H57" i="5"/>
  <c r="H65" i="5"/>
  <c r="H73" i="5"/>
  <c r="H81" i="5"/>
  <c r="O80" i="5"/>
  <c r="O72" i="5"/>
  <c r="O64" i="5"/>
  <c r="O56" i="5"/>
  <c r="O48" i="5"/>
  <c r="O40" i="5"/>
  <c r="O32" i="5"/>
  <c r="O24" i="5"/>
  <c r="O16" i="5"/>
  <c r="O8" i="5"/>
  <c r="O82" i="5"/>
  <c r="O74" i="5"/>
  <c r="O66" i="5"/>
  <c r="O50" i="5"/>
  <c r="O34" i="5"/>
  <c r="O18" i="5"/>
  <c r="O2" i="5"/>
  <c r="O75" i="5"/>
  <c r="O67" i="5"/>
  <c r="O59" i="5"/>
  <c r="O51" i="5"/>
  <c r="O43" i="5"/>
  <c r="O35" i="5"/>
  <c r="O27" i="5"/>
  <c r="O19" i="5"/>
  <c r="O11" i="5"/>
  <c r="O3" i="5"/>
  <c r="I40" i="5"/>
  <c r="I72" i="5"/>
  <c r="H19" i="5"/>
  <c r="H35" i="5"/>
  <c r="H51" i="5"/>
  <c r="H67" i="5"/>
  <c r="P69" i="5"/>
  <c r="P53" i="5"/>
  <c r="P37" i="5"/>
  <c r="P20" i="5"/>
  <c r="P5" i="5"/>
  <c r="P67" i="5"/>
  <c r="P51" i="5"/>
  <c r="P35" i="5"/>
  <c r="P19" i="5"/>
  <c r="P3" i="5"/>
  <c r="P76" i="5"/>
  <c r="P68" i="5"/>
  <c r="P60" i="5"/>
  <c r="P52" i="5"/>
  <c r="P44" i="5"/>
  <c r="P36" i="5"/>
  <c r="P28" i="5"/>
  <c r="P21" i="5"/>
  <c r="P12" i="5"/>
  <c r="P4" i="5"/>
  <c r="N71" i="5"/>
  <c r="N55" i="5"/>
  <c r="N39" i="5"/>
  <c r="N23" i="5"/>
  <c r="N7" i="5"/>
  <c r="N73" i="5"/>
  <c r="N57" i="5"/>
  <c r="N41" i="5"/>
  <c r="N25" i="5"/>
  <c r="N9" i="5"/>
  <c r="N78" i="5"/>
  <c r="N70" i="5"/>
  <c r="N62" i="5"/>
  <c r="N54" i="5"/>
  <c r="N46" i="5"/>
  <c r="N38" i="5"/>
  <c r="N30" i="5"/>
  <c r="N22" i="5"/>
  <c r="N14" i="5"/>
  <c r="N6" i="5"/>
  <c r="L77" i="5"/>
  <c r="L61" i="5"/>
  <c r="L45" i="5"/>
  <c r="L29" i="5"/>
  <c r="L13" i="5"/>
  <c r="L75" i="5"/>
  <c r="L59" i="5"/>
  <c r="L43" i="5"/>
  <c r="L27" i="5"/>
  <c r="L11" i="5"/>
  <c r="L80" i="5"/>
  <c r="L72" i="5"/>
  <c r="L64" i="5"/>
  <c r="L56" i="5"/>
  <c r="L48" i="5"/>
  <c r="L40" i="5"/>
  <c r="L32" i="5"/>
  <c r="L24" i="5"/>
  <c r="L16" i="5"/>
  <c r="L8" i="5"/>
  <c r="J79" i="5"/>
  <c r="J63" i="5"/>
  <c r="J47" i="5"/>
  <c r="J31" i="5"/>
  <c r="J15" i="5"/>
  <c r="J81" i="5"/>
  <c r="J65" i="5"/>
  <c r="J49" i="5"/>
  <c r="J33" i="5"/>
  <c r="J17" i="5"/>
  <c r="J82" i="5"/>
  <c r="J66" i="5"/>
  <c r="J50" i="5"/>
  <c r="J34" i="5"/>
  <c r="J18" i="5"/>
  <c r="J2" i="5"/>
  <c r="H68" i="5"/>
  <c r="H52" i="5"/>
  <c r="H36" i="5"/>
  <c r="H21" i="5"/>
  <c r="H10" i="5"/>
  <c r="Q78" i="5"/>
  <c r="Q37" i="5"/>
  <c r="Q68" i="5"/>
  <c r="Q17" i="5"/>
  <c r="Q69" i="5"/>
  <c r="Q51" i="5"/>
  <c r="Q19" i="5"/>
  <c r="Q48" i="5"/>
  <c r="Q32" i="5"/>
  <c r="Q16" i="5"/>
  <c r="M82" i="5"/>
  <c r="M50" i="5"/>
  <c r="M18" i="5"/>
  <c r="M64" i="5"/>
  <c r="M32" i="5"/>
  <c r="M2" i="5"/>
  <c r="M67" i="5"/>
  <c r="M51" i="5"/>
  <c r="M35" i="5"/>
  <c r="M19" i="5"/>
  <c r="M3" i="5"/>
  <c r="K48" i="5"/>
  <c r="K66" i="5"/>
  <c r="K2" i="5"/>
  <c r="K51" i="5"/>
  <c r="K19" i="5"/>
  <c r="I54" i="5"/>
  <c r="I81" i="5"/>
  <c r="I49" i="5"/>
  <c r="I17" i="5"/>
  <c r="H97" i="4"/>
  <c r="J97" i="4"/>
  <c r="L97" i="4"/>
  <c r="N97" i="4"/>
  <c r="H95" i="4"/>
  <c r="J95" i="4"/>
  <c r="L95" i="4"/>
  <c r="N95" i="4"/>
  <c r="H91" i="9"/>
  <c r="H2" i="9"/>
  <c r="H4" i="9"/>
  <c r="H6" i="9"/>
  <c r="H8" i="9"/>
  <c r="H10" i="9"/>
  <c r="H12" i="9"/>
  <c r="H14" i="9"/>
  <c r="H16" i="9"/>
  <c r="H18" i="9"/>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3" i="9"/>
  <c r="H7" i="9"/>
  <c r="H11" i="9"/>
  <c r="H15" i="9"/>
  <c r="H19" i="9"/>
  <c r="H23" i="9"/>
  <c r="H27" i="9"/>
  <c r="H31" i="9"/>
  <c r="H35" i="9"/>
  <c r="H39" i="9"/>
  <c r="H43" i="9"/>
  <c r="H47" i="9"/>
  <c r="H51" i="9"/>
  <c r="H55" i="9"/>
  <c r="H59" i="9"/>
  <c r="H63" i="9"/>
  <c r="H67" i="9"/>
  <c r="H71" i="9"/>
  <c r="H75" i="9"/>
  <c r="H79" i="9"/>
  <c r="H81" i="9"/>
  <c r="H73" i="9"/>
  <c r="H65" i="9"/>
  <c r="H57" i="9"/>
  <c r="H49" i="9"/>
  <c r="H41" i="9"/>
  <c r="H33" i="9"/>
  <c r="H25" i="9"/>
  <c r="H17" i="9"/>
  <c r="H9" i="9"/>
  <c r="H77" i="9"/>
  <c r="H69" i="9"/>
  <c r="H61" i="9"/>
  <c r="H53" i="9"/>
  <c r="H45" i="9"/>
  <c r="H37" i="9"/>
  <c r="H29" i="9"/>
  <c r="H21" i="9"/>
  <c r="H13" i="9"/>
  <c r="H5" i="9"/>
  <c r="I92" i="9"/>
  <c r="H92" i="9"/>
  <c r="I96" i="4"/>
  <c r="K96" i="4"/>
  <c r="M96" i="4"/>
  <c r="O96" i="4"/>
  <c r="I97" i="4"/>
  <c r="K97" i="4"/>
  <c r="M97" i="4"/>
  <c r="O97" i="4"/>
  <c r="I7" i="10" l="1"/>
  <c r="I8" i="10"/>
  <c r="I9" i="10"/>
  <c r="I10" i="10"/>
  <c r="I11" i="10"/>
  <c r="I12" i="10"/>
  <c r="I13" i="10"/>
  <c r="I14" i="10"/>
  <c r="F8" i="10"/>
  <c r="F10" i="10"/>
  <c r="F12" i="10"/>
  <c r="F14" i="10"/>
  <c r="I2" i="9" l="1"/>
  <c r="I4" i="9"/>
  <c r="I6" i="9"/>
  <c r="I8" i="9"/>
  <c r="I10" i="9"/>
  <c r="I12" i="9"/>
  <c r="I14" i="9"/>
  <c r="I16" i="9"/>
  <c r="I18" i="9"/>
  <c r="I20" i="9"/>
  <c r="I22" i="9"/>
  <c r="I24" i="9"/>
  <c r="I26" i="9"/>
  <c r="I28" i="9"/>
  <c r="I30" i="9"/>
  <c r="I32" i="9"/>
  <c r="I34" i="9"/>
  <c r="I36" i="9"/>
  <c r="I38" i="9"/>
  <c r="I40" i="9"/>
  <c r="I42" i="9"/>
  <c r="I44" i="9"/>
  <c r="I46" i="9"/>
  <c r="I48" i="9"/>
  <c r="I50" i="9"/>
  <c r="I52" i="9"/>
  <c r="I54" i="9"/>
  <c r="I56" i="9"/>
  <c r="I58" i="9"/>
  <c r="I60" i="9"/>
  <c r="I62" i="9"/>
  <c r="I3" i="9"/>
  <c r="I7" i="9"/>
  <c r="I11" i="9"/>
  <c r="I15" i="9"/>
  <c r="I19" i="9"/>
  <c r="I23" i="9"/>
  <c r="I27" i="9"/>
  <c r="I31" i="9"/>
  <c r="I35" i="9"/>
  <c r="I39" i="9"/>
  <c r="I43" i="9"/>
  <c r="I47" i="9"/>
  <c r="I51" i="9"/>
  <c r="I55" i="9"/>
  <c r="I59" i="9"/>
  <c r="I63" i="9"/>
  <c r="I65" i="9"/>
  <c r="I67" i="9"/>
  <c r="I69" i="9"/>
  <c r="I71" i="9"/>
  <c r="I73" i="9"/>
  <c r="I75" i="9"/>
  <c r="I77" i="9"/>
  <c r="I79" i="9"/>
  <c r="I81" i="9"/>
  <c r="I5" i="9"/>
  <c r="I9" i="9"/>
  <c r="I13" i="9"/>
  <c r="I17" i="9"/>
  <c r="I21" i="9"/>
  <c r="I25" i="9"/>
  <c r="I29" i="9"/>
  <c r="I33" i="9"/>
  <c r="I37" i="9"/>
  <c r="I41" i="9"/>
  <c r="I45" i="9"/>
  <c r="I49" i="9"/>
  <c r="I53" i="9"/>
  <c r="I57" i="9"/>
  <c r="I61" i="9"/>
  <c r="I64" i="9"/>
  <c r="I66" i="9"/>
  <c r="I68" i="9"/>
  <c r="I70" i="9"/>
  <c r="I72" i="9"/>
  <c r="I74" i="9"/>
  <c r="I76" i="9"/>
  <c r="I78" i="9"/>
  <c r="I80" i="9"/>
  <c r="I82" i="9"/>
  <c r="F11" i="10"/>
  <c r="F7" i="10"/>
  <c r="F13" i="10"/>
  <c r="F9" i="10"/>
  <c r="H92" i="4"/>
  <c r="I92" i="4"/>
  <c r="J92" i="4"/>
  <c r="K92" i="4"/>
  <c r="L92" i="4"/>
  <c r="M92" i="4"/>
  <c r="N92" i="4"/>
  <c r="O92" i="4"/>
  <c r="O4" i="4" l="1"/>
  <c r="O8" i="4"/>
  <c r="O12" i="4"/>
  <c r="O16" i="4"/>
  <c r="O20" i="4"/>
  <c r="O24" i="4"/>
  <c r="O28" i="4"/>
  <c r="O32" i="4"/>
  <c r="O36" i="4"/>
  <c r="O40" i="4"/>
  <c r="O44" i="4"/>
  <c r="O48" i="4"/>
  <c r="O52" i="4"/>
  <c r="O56" i="4"/>
  <c r="O60" i="4"/>
  <c r="O64" i="4"/>
  <c r="O2" i="4"/>
  <c r="O6" i="4"/>
  <c r="O10" i="4"/>
  <c r="O14" i="4"/>
  <c r="O18" i="4"/>
  <c r="O22" i="4"/>
  <c r="O26" i="4"/>
  <c r="O30" i="4"/>
  <c r="O34" i="4"/>
  <c r="O38" i="4"/>
  <c r="O42" i="4"/>
  <c r="O46" i="4"/>
  <c r="O50" i="4"/>
  <c r="O54" i="4"/>
  <c r="O58" i="4"/>
  <c r="O62" i="4"/>
  <c r="O66" i="4"/>
  <c r="O70" i="4"/>
  <c r="O74" i="4"/>
  <c r="O78" i="4"/>
  <c r="O82" i="4"/>
  <c r="O86" i="4"/>
  <c r="O90" i="4"/>
  <c r="O5" i="4"/>
  <c r="O13" i="4"/>
  <c r="O21" i="4"/>
  <c r="O29" i="4"/>
  <c r="O37" i="4"/>
  <c r="O45" i="4"/>
  <c r="O53" i="4"/>
  <c r="O61" i="4"/>
  <c r="O68" i="4"/>
  <c r="O73" i="4"/>
  <c r="O79" i="4"/>
  <c r="O84" i="4"/>
  <c r="O89" i="4"/>
  <c r="O3" i="4"/>
  <c r="O15" i="4"/>
  <c r="O25" i="4"/>
  <c r="O35" i="4"/>
  <c r="O47" i="4"/>
  <c r="O57" i="4"/>
  <c r="O67" i="4"/>
  <c r="O75" i="4"/>
  <c r="O81" i="4"/>
  <c r="O88" i="4"/>
  <c r="O7" i="4"/>
  <c r="O17" i="4"/>
  <c r="O27" i="4"/>
  <c r="O39" i="4"/>
  <c r="O49" i="4"/>
  <c r="O59" i="4"/>
  <c r="O69" i="4"/>
  <c r="O76" i="4"/>
  <c r="O83" i="4"/>
  <c r="O11" i="4"/>
  <c r="O33" i="4"/>
  <c r="O55" i="4"/>
  <c r="O72" i="4"/>
  <c r="O87" i="4"/>
  <c r="O31" i="4"/>
  <c r="O63" i="4"/>
  <c r="O80" i="4"/>
  <c r="O9" i="4"/>
  <c r="O41" i="4"/>
  <c r="O65" i="4"/>
  <c r="O85" i="4"/>
  <c r="O19" i="4"/>
  <c r="O43" i="4"/>
  <c r="O71" i="4"/>
  <c r="O77" i="4"/>
  <c r="O23" i="4"/>
  <c r="O51" i="4"/>
  <c r="K2" i="4"/>
  <c r="K6" i="4"/>
  <c r="K10" i="4"/>
  <c r="K14" i="4"/>
  <c r="K18" i="4"/>
  <c r="K22" i="4"/>
  <c r="K3" i="4"/>
  <c r="K8" i="4"/>
  <c r="K13" i="4"/>
  <c r="K19" i="4"/>
  <c r="K24" i="4"/>
  <c r="K28" i="4"/>
  <c r="K32" i="4"/>
  <c r="K36" i="4"/>
  <c r="K40" i="4"/>
  <c r="K44" i="4"/>
  <c r="K48" i="4"/>
  <c r="K52" i="4"/>
  <c r="K56" i="4"/>
  <c r="K60" i="4"/>
  <c r="K64" i="4"/>
  <c r="K68" i="4"/>
  <c r="K72" i="4"/>
  <c r="K76" i="4"/>
  <c r="K80" i="4"/>
  <c r="K84" i="4"/>
  <c r="K88" i="4"/>
  <c r="K4" i="4"/>
  <c r="K9" i="4"/>
  <c r="K15" i="4"/>
  <c r="K20" i="4"/>
  <c r="K25" i="4"/>
  <c r="K29" i="4"/>
  <c r="K33" i="4"/>
  <c r="K37" i="4"/>
  <c r="K41" i="4"/>
  <c r="K45" i="4"/>
  <c r="K49" i="4"/>
  <c r="K53" i="4"/>
  <c r="K57" i="4"/>
  <c r="K61" i="4"/>
  <c r="K65" i="4"/>
  <c r="K69" i="4"/>
  <c r="K73" i="4"/>
  <c r="K77" i="4"/>
  <c r="K81" i="4"/>
  <c r="K85" i="4"/>
  <c r="K89" i="4"/>
  <c r="K7" i="4"/>
  <c r="K17" i="4"/>
  <c r="K27" i="4"/>
  <c r="K35" i="4"/>
  <c r="K43" i="4"/>
  <c r="K51" i="4"/>
  <c r="K59" i="4"/>
  <c r="K67" i="4"/>
  <c r="K75" i="4"/>
  <c r="K83" i="4"/>
  <c r="K11" i="4"/>
  <c r="K23" i="4"/>
  <c r="K34" i="4"/>
  <c r="K46" i="4"/>
  <c r="K55" i="4"/>
  <c r="K66" i="4"/>
  <c r="K78" i="4"/>
  <c r="K87" i="4"/>
  <c r="K12" i="4"/>
  <c r="K26" i="4"/>
  <c r="K38" i="4"/>
  <c r="K47" i="4"/>
  <c r="K58" i="4"/>
  <c r="K70" i="4"/>
  <c r="K79" i="4"/>
  <c r="K90" i="4"/>
  <c r="K16" i="4"/>
  <c r="K30" i="4"/>
  <c r="K39" i="4"/>
  <c r="K50" i="4"/>
  <c r="K62" i="4"/>
  <c r="K71" i="4"/>
  <c r="K82" i="4"/>
  <c r="K42" i="4"/>
  <c r="K86" i="4"/>
  <c r="K5" i="4"/>
  <c r="K54" i="4"/>
  <c r="K21" i="4"/>
  <c r="K63" i="4"/>
  <c r="K31" i="4"/>
  <c r="K74" i="4"/>
  <c r="N5" i="4"/>
  <c r="N9" i="4"/>
  <c r="N13" i="4"/>
  <c r="N17" i="4"/>
  <c r="N21" i="4"/>
  <c r="N25" i="4"/>
  <c r="N29" i="4"/>
  <c r="N33" i="4"/>
  <c r="N37" i="4"/>
  <c r="N41" i="4"/>
  <c r="N45" i="4"/>
  <c r="N49" i="4"/>
  <c r="N53" i="4"/>
  <c r="N57" i="4"/>
  <c r="N61" i="4"/>
  <c r="N65" i="4"/>
  <c r="N69" i="4"/>
  <c r="N73" i="4"/>
  <c r="N77" i="4"/>
  <c r="N81" i="4"/>
  <c r="N85" i="4"/>
  <c r="N89" i="4"/>
  <c r="N6" i="4"/>
  <c r="N11" i="4"/>
  <c r="N16" i="4"/>
  <c r="N22" i="4"/>
  <c r="N27" i="4"/>
  <c r="N32" i="4"/>
  <c r="N38" i="4"/>
  <c r="N43" i="4"/>
  <c r="N48" i="4"/>
  <c r="N54" i="4"/>
  <c r="N59" i="4"/>
  <c r="N64" i="4"/>
  <c r="N70" i="4"/>
  <c r="N75" i="4"/>
  <c r="N80" i="4"/>
  <c r="N86" i="4"/>
  <c r="N7" i="4"/>
  <c r="N14" i="4"/>
  <c r="N20" i="4"/>
  <c r="N28" i="4"/>
  <c r="N35" i="4"/>
  <c r="N42" i="4"/>
  <c r="N50" i="4"/>
  <c r="N56" i="4"/>
  <c r="N63" i="4"/>
  <c r="N71" i="4"/>
  <c r="N78" i="4"/>
  <c r="N84" i="4"/>
  <c r="N2" i="4"/>
  <c r="N8" i="4"/>
  <c r="N15" i="4"/>
  <c r="N23" i="4"/>
  <c r="N30" i="4"/>
  <c r="N36" i="4"/>
  <c r="N44" i="4"/>
  <c r="N51" i="4"/>
  <c r="N58" i="4"/>
  <c r="N66" i="4"/>
  <c r="N72" i="4"/>
  <c r="N79" i="4"/>
  <c r="N87" i="4"/>
  <c r="N12" i="4"/>
  <c r="N26" i="4"/>
  <c r="N40" i="4"/>
  <c r="N55" i="4"/>
  <c r="N68" i="4"/>
  <c r="N83" i="4"/>
  <c r="N10" i="4"/>
  <c r="N31" i="4"/>
  <c r="N47" i="4"/>
  <c r="N67" i="4"/>
  <c r="N88" i="4"/>
  <c r="N18" i="4"/>
  <c r="N34" i="4"/>
  <c r="N52" i="4"/>
  <c r="N74" i="4"/>
  <c r="N90" i="4"/>
  <c r="N3" i="4"/>
  <c r="N19" i="4"/>
  <c r="N39" i="4"/>
  <c r="N60" i="4"/>
  <c r="N76" i="4"/>
  <c r="N62" i="4"/>
  <c r="N4" i="4"/>
  <c r="N82" i="4"/>
  <c r="N24" i="4"/>
  <c r="N46" i="4"/>
  <c r="J3" i="4"/>
  <c r="J7" i="4"/>
  <c r="J11" i="4"/>
  <c r="J15" i="4"/>
  <c r="J19" i="4"/>
  <c r="J23" i="4"/>
  <c r="J4" i="4"/>
  <c r="J8" i="4"/>
  <c r="J12" i="4"/>
  <c r="J16" i="4"/>
  <c r="J20" i="4"/>
  <c r="J24" i="4"/>
  <c r="J28" i="4"/>
  <c r="J32" i="4"/>
  <c r="J36" i="4"/>
  <c r="J40" i="4"/>
  <c r="J44" i="4"/>
  <c r="J2" i="4"/>
  <c r="J10" i="4"/>
  <c r="J18" i="4"/>
  <c r="J26" i="4"/>
  <c r="J31" i="4"/>
  <c r="J37" i="4"/>
  <c r="J42" i="4"/>
  <c r="J47" i="4"/>
  <c r="J51" i="4"/>
  <c r="J55" i="4"/>
  <c r="J59" i="4"/>
  <c r="J63" i="4"/>
  <c r="J67" i="4"/>
  <c r="J71" i="4"/>
  <c r="J75" i="4"/>
  <c r="J79" i="4"/>
  <c r="J83" i="4"/>
  <c r="J87" i="4"/>
  <c r="J9" i="4"/>
  <c r="J21" i="4"/>
  <c r="J29" i="4"/>
  <c r="J35" i="4"/>
  <c r="J43" i="4"/>
  <c r="J49" i="4"/>
  <c r="J54" i="4"/>
  <c r="J60" i="4"/>
  <c r="J65" i="4"/>
  <c r="J70" i="4"/>
  <c r="J76" i="4"/>
  <c r="J81" i="4"/>
  <c r="J86" i="4"/>
  <c r="J13" i="4"/>
  <c r="J22" i="4"/>
  <c r="J30" i="4"/>
  <c r="J38" i="4"/>
  <c r="J45" i="4"/>
  <c r="J50" i="4"/>
  <c r="J56" i="4"/>
  <c r="J61" i="4"/>
  <c r="J66" i="4"/>
  <c r="J72" i="4"/>
  <c r="J77" i="4"/>
  <c r="J82" i="4"/>
  <c r="J88" i="4"/>
  <c r="J5" i="4"/>
  <c r="J14" i="4"/>
  <c r="J25" i="4"/>
  <c r="J33" i="4"/>
  <c r="J39" i="4"/>
  <c r="J46" i="4"/>
  <c r="J52" i="4"/>
  <c r="J57" i="4"/>
  <c r="J62" i="4"/>
  <c r="J68" i="4"/>
  <c r="J73" i="4"/>
  <c r="J78" i="4"/>
  <c r="J84" i="4"/>
  <c r="J89" i="4"/>
  <c r="J34" i="4"/>
  <c r="J58" i="4"/>
  <c r="J80" i="4"/>
  <c r="J6" i="4"/>
  <c r="J41" i="4"/>
  <c r="J64" i="4"/>
  <c r="J85" i="4"/>
  <c r="J17" i="4"/>
  <c r="J48" i="4"/>
  <c r="J69" i="4"/>
  <c r="J90" i="4"/>
  <c r="J27" i="4"/>
  <c r="J53" i="4"/>
  <c r="J74" i="4"/>
  <c r="L3" i="4"/>
  <c r="L7" i="4"/>
  <c r="L11" i="4"/>
  <c r="L15" i="4"/>
  <c r="L19" i="4"/>
  <c r="L23" i="4"/>
  <c r="L27" i="4"/>
  <c r="L31" i="4"/>
  <c r="L35" i="4"/>
  <c r="L39" i="4"/>
  <c r="L43" i="4"/>
  <c r="L47" i="4"/>
  <c r="L51" i="4"/>
  <c r="L55" i="4"/>
  <c r="L59" i="4"/>
  <c r="L63" i="4"/>
  <c r="L67" i="4"/>
  <c r="L71" i="4"/>
  <c r="L75" i="4"/>
  <c r="L79" i="4"/>
  <c r="L83" i="4"/>
  <c r="L87" i="4"/>
  <c r="L6" i="4"/>
  <c r="L12" i="4"/>
  <c r="L17" i="4"/>
  <c r="L22" i="4"/>
  <c r="L28" i="4"/>
  <c r="L33" i="4"/>
  <c r="L38" i="4"/>
  <c r="L44" i="4"/>
  <c r="L49" i="4"/>
  <c r="L54" i="4"/>
  <c r="L60" i="4"/>
  <c r="L65" i="4"/>
  <c r="L70" i="4"/>
  <c r="L76" i="4"/>
  <c r="L81" i="4"/>
  <c r="L86" i="4"/>
  <c r="L2" i="4"/>
  <c r="L8" i="4"/>
  <c r="L13" i="4"/>
  <c r="L18" i="4"/>
  <c r="L24" i="4"/>
  <c r="L29" i="4"/>
  <c r="L34" i="4"/>
  <c r="L40" i="4"/>
  <c r="L45" i="4"/>
  <c r="L50" i="4"/>
  <c r="L56" i="4"/>
  <c r="L61" i="4"/>
  <c r="L66" i="4"/>
  <c r="L72" i="4"/>
  <c r="L77" i="4"/>
  <c r="L82" i="4"/>
  <c r="L88" i="4"/>
  <c r="L10" i="4"/>
  <c r="L21" i="4"/>
  <c r="L32" i="4"/>
  <c r="L42" i="4"/>
  <c r="L53" i="4"/>
  <c r="L64" i="4"/>
  <c r="L74" i="4"/>
  <c r="L85" i="4"/>
  <c r="L14" i="4"/>
  <c r="L26" i="4"/>
  <c r="L41" i="4"/>
  <c r="L57" i="4"/>
  <c r="L69" i="4"/>
  <c r="L84" i="4"/>
  <c r="L4" i="4"/>
  <c r="L16" i="4"/>
  <c r="L30" i="4"/>
  <c r="L46" i="4"/>
  <c r="L58" i="4"/>
  <c r="L73" i="4"/>
  <c r="L89" i="4"/>
  <c r="L5" i="4"/>
  <c r="L20" i="4"/>
  <c r="L36" i="4"/>
  <c r="L48" i="4"/>
  <c r="L62" i="4"/>
  <c r="L78" i="4"/>
  <c r="L90" i="4"/>
  <c r="L25" i="4"/>
  <c r="L80" i="4"/>
  <c r="L37" i="4"/>
  <c r="L52" i="4"/>
  <c r="L9" i="4"/>
  <c r="L68" i="4"/>
  <c r="H5" i="4"/>
  <c r="H9" i="4"/>
  <c r="H13" i="4"/>
  <c r="H17" i="4"/>
  <c r="H21" i="4"/>
  <c r="H25" i="4"/>
  <c r="H29" i="4"/>
  <c r="H33" i="4"/>
  <c r="H37" i="4"/>
  <c r="H41" i="4"/>
  <c r="H45" i="4"/>
  <c r="H49" i="4"/>
  <c r="H53" i="4"/>
  <c r="H57" i="4"/>
  <c r="H61" i="4"/>
  <c r="H65" i="4"/>
  <c r="H69" i="4"/>
  <c r="H73" i="4"/>
  <c r="H77" i="4"/>
  <c r="H81" i="4"/>
  <c r="H85" i="4"/>
  <c r="H89" i="4"/>
  <c r="H4" i="4"/>
  <c r="H10" i="4"/>
  <c r="H15" i="4"/>
  <c r="H20" i="4"/>
  <c r="H26" i="4"/>
  <c r="H31" i="4"/>
  <c r="H36" i="4"/>
  <c r="H42" i="4"/>
  <c r="H47" i="4"/>
  <c r="H52" i="4"/>
  <c r="H58" i="4"/>
  <c r="H63" i="4"/>
  <c r="H68" i="4"/>
  <c r="H74" i="4"/>
  <c r="H79" i="4"/>
  <c r="H84" i="4"/>
  <c r="H90" i="4"/>
  <c r="H2" i="4"/>
  <c r="H12" i="4"/>
  <c r="H23" i="4"/>
  <c r="H28" i="4"/>
  <c r="H39" i="4"/>
  <c r="H50" i="4"/>
  <c r="H60" i="4"/>
  <c r="H71" i="4"/>
  <c r="H82" i="4"/>
  <c r="H6" i="4"/>
  <c r="H11" i="4"/>
  <c r="H16" i="4"/>
  <c r="H22" i="4"/>
  <c r="H27" i="4"/>
  <c r="H32" i="4"/>
  <c r="H38" i="4"/>
  <c r="H43" i="4"/>
  <c r="H48" i="4"/>
  <c r="H54" i="4"/>
  <c r="H59" i="4"/>
  <c r="H64" i="4"/>
  <c r="H70" i="4"/>
  <c r="H75" i="4"/>
  <c r="H80" i="4"/>
  <c r="H86" i="4"/>
  <c r="H7" i="4"/>
  <c r="H18" i="4"/>
  <c r="H34" i="4"/>
  <c r="H44" i="4"/>
  <c r="H55" i="4"/>
  <c r="H66" i="4"/>
  <c r="H76" i="4"/>
  <c r="H87" i="4"/>
  <c r="H8" i="4"/>
  <c r="H30" i="4"/>
  <c r="H51" i="4"/>
  <c r="H72" i="4"/>
  <c r="H14" i="4"/>
  <c r="H35" i="4"/>
  <c r="H56" i="4"/>
  <c r="H78" i="4"/>
  <c r="H19" i="4"/>
  <c r="H40" i="4"/>
  <c r="H62" i="4"/>
  <c r="H83" i="4"/>
  <c r="H3" i="4"/>
  <c r="H24" i="4"/>
  <c r="H46" i="4"/>
  <c r="H67" i="4"/>
  <c r="H88" i="4"/>
  <c r="I2" i="4"/>
  <c r="I6" i="4"/>
  <c r="I10" i="4"/>
  <c r="I14" i="4"/>
  <c r="I18" i="4"/>
  <c r="I22" i="4"/>
  <c r="I26" i="4"/>
  <c r="I30" i="4"/>
  <c r="I34" i="4"/>
  <c r="I38" i="4"/>
  <c r="I42" i="4"/>
  <c r="I46" i="4"/>
  <c r="I50" i="4"/>
  <c r="I54" i="4"/>
  <c r="I58" i="4"/>
  <c r="I62" i="4"/>
  <c r="I66" i="4"/>
  <c r="I70" i="4"/>
  <c r="I74" i="4"/>
  <c r="I78" i="4"/>
  <c r="I82" i="4"/>
  <c r="I86" i="4"/>
  <c r="I90" i="4"/>
  <c r="I3" i="4"/>
  <c r="I8" i="4"/>
  <c r="I13" i="4"/>
  <c r="I19" i="4"/>
  <c r="I24" i="4"/>
  <c r="I29" i="4"/>
  <c r="I35" i="4"/>
  <c r="I40" i="4"/>
  <c r="I45" i="4"/>
  <c r="I51" i="4"/>
  <c r="I56" i="4"/>
  <c r="I61" i="4"/>
  <c r="I67" i="4"/>
  <c r="I72" i="4"/>
  <c r="I77" i="4"/>
  <c r="I83" i="4"/>
  <c r="I88" i="4"/>
  <c r="I37" i="4"/>
  <c r="I75" i="4"/>
  <c r="I4" i="4"/>
  <c r="I9" i="4"/>
  <c r="I15" i="4"/>
  <c r="I20" i="4"/>
  <c r="I25" i="4"/>
  <c r="I31" i="4"/>
  <c r="I36" i="4"/>
  <c r="I41" i="4"/>
  <c r="I47" i="4"/>
  <c r="I52" i="4"/>
  <c r="I57" i="4"/>
  <c r="I63" i="4"/>
  <c r="I68" i="4"/>
  <c r="I73" i="4"/>
  <c r="I79" i="4"/>
  <c r="I84" i="4"/>
  <c r="I89" i="4"/>
  <c r="I5" i="4"/>
  <c r="I11" i="4"/>
  <c r="I16" i="4"/>
  <c r="I21" i="4"/>
  <c r="I27" i="4"/>
  <c r="I32" i="4"/>
  <c r="I43" i="4"/>
  <c r="I48" i="4"/>
  <c r="I53" i="4"/>
  <c r="I59" i="4"/>
  <c r="I64" i="4"/>
  <c r="I69" i="4"/>
  <c r="I80" i="4"/>
  <c r="I85" i="4"/>
  <c r="I12" i="4"/>
  <c r="I33" i="4"/>
  <c r="I55" i="4"/>
  <c r="I76" i="4"/>
  <c r="I17" i="4"/>
  <c r="I39" i="4"/>
  <c r="I60" i="4"/>
  <c r="I81" i="4"/>
  <c r="I23" i="4"/>
  <c r="I44" i="4"/>
  <c r="I65" i="4"/>
  <c r="I87" i="4"/>
  <c r="I7" i="4"/>
  <c r="I28" i="4"/>
  <c r="I49" i="4"/>
  <c r="I71" i="4"/>
  <c r="M4" i="4"/>
  <c r="M8" i="4"/>
  <c r="M12" i="4"/>
  <c r="M16" i="4"/>
  <c r="M20" i="4"/>
  <c r="M24" i="4"/>
  <c r="M28" i="4"/>
  <c r="M32" i="4"/>
  <c r="M36" i="4"/>
  <c r="M40" i="4"/>
  <c r="M44" i="4"/>
  <c r="M48" i="4"/>
  <c r="M52" i="4"/>
  <c r="M56" i="4"/>
  <c r="M60" i="4"/>
  <c r="M64" i="4"/>
  <c r="M68" i="4"/>
  <c r="M72" i="4"/>
  <c r="M2" i="4"/>
  <c r="M7" i="4"/>
  <c r="M13" i="4"/>
  <c r="M18" i="4"/>
  <c r="M23" i="4"/>
  <c r="M29" i="4"/>
  <c r="M34" i="4"/>
  <c r="M39" i="4"/>
  <c r="M45" i="4"/>
  <c r="M50" i="4"/>
  <c r="M55" i="4"/>
  <c r="M61" i="4"/>
  <c r="M66" i="4"/>
  <c r="M71" i="4"/>
  <c r="M76" i="4"/>
  <c r="M80" i="4"/>
  <c r="M84" i="4"/>
  <c r="M88" i="4"/>
  <c r="M3" i="4"/>
  <c r="M10" i="4"/>
  <c r="M17" i="4"/>
  <c r="M25" i="4"/>
  <c r="M31" i="4"/>
  <c r="M38" i="4"/>
  <c r="M46" i="4"/>
  <c r="M53" i="4"/>
  <c r="M59" i="4"/>
  <c r="M67" i="4"/>
  <c r="M74" i="4"/>
  <c r="M79" i="4"/>
  <c r="M85" i="4"/>
  <c r="M90" i="4"/>
  <c r="M5" i="4"/>
  <c r="M11" i="4"/>
  <c r="M19" i="4"/>
  <c r="M26" i="4"/>
  <c r="M33" i="4"/>
  <c r="M41" i="4"/>
  <c r="M47" i="4"/>
  <c r="M54" i="4"/>
  <c r="M62" i="4"/>
  <c r="M69" i="4"/>
  <c r="M75" i="4"/>
  <c r="M81" i="4"/>
  <c r="M86" i="4"/>
  <c r="M9" i="4"/>
  <c r="M22" i="4"/>
  <c r="M37" i="4"/>
  <c r="M51" i="4"/>
  <c r="M65" i="4"/>
  <c r="M78" i="4"/>
  <c r="M89" i="4"/>
  <c r="M15" i="4"/>
  <c r="M35" i="4"/>
  <c r="M57" i="4"/>
  <c r="M73" i="4"/>
  <c r="M87" i="4"/>
  <c r="M21" i="4"/>
  <c r="M42" i="4"/>
  <c r="M58" i="4"/>
  <c r="M77" i="4"/>
  <c r="M6" i="4"/>
  <c r="M27" i="4"/>
  <c r="M43" i="4"/>
  <c r="M63" i="4"/>
  <c r="M82" i="4"/>
  <c r="M49" i="4"/>
  <c r="M70" i="4"/>
  <c r="M14" i="4"/>
  <c r="M83" i="4"/>
  <c r="M30" i="4"/>
  <c r="I17" i="6" l="1"/>
  <c r="K7" i="6"/>
  <c r="H70" i="3" s="1"/>
  <c r="K8" i="6"/>
  <c r="I70" i="3" s="1"/>
  <c r="K9" i="6"/>
  <c r="J70" i="3" s="1"/>
  <c r="K10" i="6"/>
  <c r="K70" i="3" s="1"/>
  <c r="K11" i="6"/>
  <c r="L70" i="3" s="1"/>
  <c r="K12" i="6"/>
  <c r="M70" i="3" s="1"/>
  <c r="K13" i="6"/>
  <c r="N70" i="3" s="1"/>
  <c r="K14" i="6"/>
  <c r="O70" i="3" s="1"/>
  <c r="K15" i="6"/>
  <c r="P70" i="3" s="1"/>
  <c r="K16" i="6"/>
  <c r="Q70" i="3" s="1"/>
  <c r="J9" i="6"/>
  <c r="J70" i="2" s="1"/>
  <c r="J13" i="6"/>
  <c r="N70" i="2" s="1"/>
  <c r="J7" i="6"/>
  <c r="H70" i="2" s="1"/>
  <c r="J8" i="6"/>
  <c r="I70" i="2" s="1"/>
  <c r="J10" i="6"/>
  <c r="K70" i="2" s="1"/>
  <c r="J11" i="6"/>
  <c r="L70" i="2" s="1"/>
  <c r="J12" i="6"/>
  <c r="M70" i="2" s="1"/>
  <c r="J14" i="6"/>
  <c r="O70" i="2" s="1"/>
  <c r="J15" i="6"/>
  <c r="J16" i="6"/>
  <c r="M3" i="2" l="1"/>
  <c r="M5" i="2"/>
  <c r="M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M2" i="2"/>
  <c r="M6" i="2"/>
  <c r="M10" i="2"/>
  <c r="M14" i="2"/>
  <c r="M18" i="2"/>
  <c r="M22" i="2"/>
  <c r="M26" i="2"/>
  <c r="M30" i="2"/>
  <c r="M34" i="2"/>
  <c r="M38" i="2"/>
  <c r="M42" i="2"/>
  <c r="M46" i="2"/>
  <c r="M50" i="2"/>
  <c r="M54" i="2"/>
  <c r="M58" i="2"/>
  <c r="M62" i="2"/>
  <c r="M66" i="2"/>
  <c r="M8" i="2"/>
  <c r="M16" i="2"/>
  <c r="M24" i="2"/>
  <c r="M32" i="2"/>
  <c r="M40" i="2"/>
  <c r="M48" i="2"/>
  <c r="M56" i="2"/>
  <c r="M64" i="2"/>
  <c r="M4" i="2"/>
  <c r="M12" i="2"/>
  <c r="M20" i="2"/>
  <c r="M28" i="2"/>
  <c r="M36" i="2"/>
  <c r="M44" i="2"/>
  <c r="M52" i="2"/>
  <c r="M60" i="2"/>
  <c r="M68" i="2"/>
  <c r="K3" i="2"/>
  <c r="K5" i="2"/>
  <c r="K7" i="2"/>
  <c r="K9" i="2"/>
  <c r="K11" i="2"/>
  <c r="K13" i="2"/>
  <c r="K15" i="2"/>
  <c r="K17" i="2"/>
  <c r="K19" i="2"/>
  <c r="K21" i="2"/>
  <c r="K23" i="2"/>
  <c r="K25" i="2"/>
  <c r="K27" i="2"/>
  <c r="K29" i="2"/>
  <c r="K31" i="2"/>
  <c r="K33" i="2"/>
  <c r="K35" i="2"/>
  <c r="K37" i="2"/>
  <c r="K39" i="2"/>
  <c r="K41" i="2"/>
  <c r="K43" i="2"/>
  <c r="K45" i="2"/>
  <c r="K47" i="2"/>
  <c r="K49" i="2"/>
  <c r="K51" i="2"/>
  <c r="K53" i="2"/>
  <c r="K55" i="2"/>
  <c r="K57" i="2"/>
  <c r="K59" i="2"/>
  <c r="K61" i="2"/>
  <c r="K63" i="2"/>
  <c r="K65" i="2"/>
  <c r="K67" i="2"/>
  <c r="K4" i="2"/>
  <c r="K8" i="2"/>
  <c r="K12" i="2"/>
  <c r="K16" i="2"/>
  <c r="K20" i="2"/>
  <c r="K24" i="2"/>
  <c r="K28" i="2"/>
  <c r="K32" i="2"/>
  <c r="K36" i="2"/>
  <c r="K40" i="2"/>
  <c r="K44" i="2"/>
  <c r="K48" i="2"/>
  <c r="K52" i="2"/>
  <c r="K56" i="2"/>
  <c r="K60" i="2"/>
  <c r="K64" i="2"/>
  <c r="K68" i="2"/>
  <c r="K2" i="2"/>
  <c r="K10" i="2"/>
  <c r="K18" i="2"/>
  <c r="K26" i="2"/>
  <c r="K34" i="2"/>
  <c r="K42" i="2"/>
  <c r="K50" i="2"/>
  <c r="K58" i="2"/>
  <c r="K66" i="2"/>
  <c r="K6" i="2"/>
  <c r="K14" i="2"/>
  <c r="K22" i="2"/>
  <c r="K30" i="2"/>
  <c r="K38" i="2"/>
  <c r="K46" i="2"/>
  <c r="K54" i="2"/>
  <c r="K62" i="2"/>
  <c r="O2" i="2"/>
  <c r="O4" i="2"/>
  <c r="O6" i="2"/>
  <c r="O8" i="2"/>
  <c r="O10" i="2"/>
  <c r="O12" i="2"/>
  <c r="O14" i="2"/>
  <c r="O16" i="2"/>
  <c r="O18" i="2"/>
  <c r="O20" i="2"/>
  <c r="O22" i="2"/>
  <c r="O24" i="2"/>
  <c r="O26" i="2"/>
  <c r="O28" i="2"/>
  <c r="O30" i="2"/>
  <c r="O32" i="2"/>
  <c r="O34" i="2"/>
  <c r="O36" i="2"/>
  <c r="O38" i="2"/>
  <c r="O40" i="2"/>
  <c r="O42" i="2"/>
  <c r="O44" i="2"/>
  <c r="O46" i="2"/>
  <c r="O48" i="2"/>
  <c r="O50" i="2"/>
  <c r="O52" i="2"/>
  <c r="O54" i="2"/>
  <c r="O56" i="2"/>
  <c r="O58" i="2"/>
  <c r="O60" i="2"/>
  <c r="O62" i="2"/>
  <c r="O64" i="2"/>
  <c r="O66" i="2"/>
  <c r="O68" i="2"/>
  <c r="O3" i="2"/>
  <c r="O7" i="2"/>
  <c r="O11" i="2"/>
  <c r="O15" i="2"/>
  <c r="O19" i="2"/>
  <c r="O23" i="2"/>
  <c r="O27" i="2"/>
  <c r="O31" i="2"/>
  <c r="O35" i="2"/>
  <c r="O39" i="2"/>
  <c r="O43" i="2"/>
  <c r="O47" i="2"/>
  <c r="O51" i="2"/>
  <c r="O55" i="2"/>
  <c r="O59" i="2"/>
  <c r="O63" i="2"/>
  <c r="O67" i="2"/>
  <c r="O9" i="2"/>
  <c r="O17" i="2"/>
  <c r="O25" i="2"/>
  <c r="O33" i="2"/>
  <c r="O41" i="2"/>
  <c r="O49" i="2"/>
  <c r="O57" i="2"/>
  <c r="O65" i="2"/>
  <c r="O5" i="2"/>
  <c r="O21" i="2"/>
  <c r="O37" i="2"/>
  <c r="O53" i="2"/>
  <c r="O13" i="2"/>
  <c r="O29" i="2"/>
  <c r="O45" i="2"/>
  <c r="O61" i="2"/>
  <c r="L2" i="2"/>
  <c r="L4" i="2"/>
  <c r="L6" i="2"/>
  <c r="L8" i="2"/>
  <c r="L10" i="2"/>
  <c r="L12" i="2"/>
  <c r="L14" i="2"/>
  <c r="L16" i="2"/>
  <c r="L18" i="2"/>
  <c r="L20" i="2"/>
  <c r="L22" i="2"/>
  <c r="L24" i="2"/>
  <c r="L26" i="2"/>
  <c r="L28" i="2"/>
  <c r="L30" i="2"/>
  <c r="L32" i="2"/>
  <c r="L34" i="2"/>
  <c r="L36" i="2"/>
  <c r="L38" i="2"/>
  <c r="L40" i="2"/>
  <c r="L42" i="2"/>
  <c r="L44" i="2"/>
  <c r="L46" i="2"/>
  <c r="L48" i="2"/>
  <c r="L50" i="2"/>
  <c r="L52" i="2"/>
  <c r="L54" i="2"/>
  <c r="L56" i="2"/>
  <c r="L58" i="2"/>
  <c r="L60" i="2"/>
  <c r="L62" i="2"/>
  <c r="L64" i="2"/>
  <c r="L66" i="2"/>
  <c r="L68" i="2"/>
  <c r="L3" i="2"/>
  <c r="L7" i="2"/>
  <c r="L11" i="2"/>
  <c r="L15" i="2"/>
  <c r="L19" i="2"/>
  <c r="L23" i="2"/>
  <c r="L27" i="2"/>
  <c r="L31" i="2"/>
  <c r="L35" i="2"/>
  <c r="L39" i="2"/>
  <c r="L43" i="2"/>
  <c r="L47" i="2"/>
  <c r="L51" i="2"/>
  <c r="L55" i="2"/>
  <c r="L59" i="2"/>
  <c r="L63" i="2"/>
  <c r="L67" i="2"/>
  <c r="L5" i="2"/>
  <c r="L13" i="2"/>
  <c r="L21" i="2"/>
  <c r="L29" i="2"/>
  <c r="L37" i="2"/>
  <c r="L45" i="2"/>
  <c r="L53" i="2"/>
  <c r="L61" i="2"/>
  <c r="L9" i="2"/>
  <c r="L17" i="2"/>
  <c r="L25" i="2"/>
  <c r="L33" i="2"/>
  <c r="L41" i="2"/>
  <c r="L49" i="2"/>
  <c r="L57" i="2"/>
  <c r="L65" i="2"/>
  <c r="I3" i="2"/>
  <c r="I5" i="2"/>
  <c r="I7" i="2"/>
  <c r="I9" i="2"/>
  <c r="I11" i="2"/>
  <c r="I13" i="2"/>
  <c r="I15" i="2"/>
  <c r="I17" i="2"/>
  <c r="I19" i="2"/>
  <c r="I21" i="2"/>
  <c r="I23" i="2"/>
  <c r="I25" i="2"/>
  <c r="I27" i="2"/>
  <c r="I29" i="2"/>
  <c r="I31" i="2"/>
  <c r="I33" i="2"/>
  <c r="I35" i="2"/>
  <c r="I37" i="2"/>
  <c r="I39" i="2"/>
  <c r="I41" i="2"/>
  <c r="I43" i="2"/>
  <c r="I45" i="2"/>
  <c r="I47" i="2"/>
  <c r="I49" i="2"/>
  <c r="I51" i="2"/>
  <c r="I53" i="2"/>
  <c r="I55" i="2"/>
  <c r="I57" i="2"/>
  <c r="I59" i="2"/>
  <c r="I61" i="2"/>
  <c r="I63" i="2"/>
  <c r="I65" i="2"/>
  <c r="I67" i="2"/>
  <c r="I4" i="2"/>
  <c r="I8" i="2"/>
  <c r="I12" i="2"/>
  <c r="I16" i="2"/>
  <c r="I20" i="2"/>
  <c r="I24" i="2"/>
  <c r="I28" i="2"/>
  <c r="I32" i="2"/>
  <c r="I36" i="2"/>
  <c r="I40" i="2"/>
  <c r="I44" i="2"/>
  <c r="I48" i="2"/>
  <c r="I52" i="2"/>
  <c r="I56" i="2"/>
  <c r="I60" i="2"/>
  <c r="I64" i="2"/>
  <c r="I68" i="2"/>
  <c r="I2" i="2"/>
  <c r="I6" i="2"/>
  <c r="I10" i="2"/>
  <c r="I14" i="2"/>
  <c r="I18" i="2"/>
  <c r="I22" i="2"/>
  <c r="I26" i="2"/>
  <c r="I30" i="2"/>
  <c r="I34" i="2"/>
  <c r="I38" i="2"/>
  <c r="I42" i="2"/>
  <c r="I46" i="2"/>
  <c r="I50" i="2"/>
  <c r="I54" i="2"/>
  <c r="I58" i="2"/>
  <c r="I62" i="2"/>
  <c r="I66" i="2"/>
  <c r="N3" i="2"/>
  <c r="N5" i="2"/>
  <c r="N7" i="2"/>
  <c r="N9" i="2"/>
  <c r="N11" i="2"/>
  <c r="N13" i="2"/>
  <c r="N15" i="2"/>
  <c r="N17" i="2"/>
  <c r="N19" i="2"/>
  <c r="N21" i="2"/>
  <c r="N23" i="2"/>
  <c r="N25" i="2"/>
  <c r="N27" i="2"/>
  <c r="N29" i="2"/>
  <c r="N31" i="2"/>
  <c r="N33" i="2"/>
  <c r="N35" i="2"/>
  <c r="N4" i="2"/>
  <c r="N8" i="2"/>
  <c r="N12" i="2"/>
  <c r="N16" i="2"/>
  <c r="N20" i="2"/>
  <c r="N24" i="2"/>
  <c r="N28" i="2"/>
  <c r="N32" i="2"/>
  <c r="N36" i="2"/>
  <c r="N38" i="2"/>
  <c r="N40" i="2"/>
  <c r="N42" i="2"/>
  <c r="N44" i="2"/>
  <c r="N46" i="2"/>
  <c r="N48" i="2"/>
  <c r="N50" i="2"/>
  <c r="N52" i="2"/>
  <c r="N54" i="2"/>
  <c r="N56" i="2"/>
  <c r="N58" i="2"/>
  <c r="N60" i="2"/>
  <c r="N62" i="2"/>
  <c r="N64" i="2"/>
  <c r="N66" i="2"/>
  <c r="N68" i="2"/>
  <c r="N6" i="2"/>
  <c r="N14" i="2"/>
  <c r="N22" i="2"/>
  <c r="N30" i="2"/>
  <c r="N37" i="2"/>
  <c r="N41" i="2"/>
  <c r="N45" i="2"/>
  <c r="N49" i="2"/>
  <c r="N53" i="2"/>
  <c r="N57" i="2"/>
  <c r="N61" i="2"/>
  <c r="N65" i="2"/>
  <c r="N2" i="2"/>
  <c r="N18" i="2"/>
  <c r="N34" i="2"/>
  <c r="N43" i="2"/>
  <c r="N51" i="2"/>
  <c r="N59" i="2"/>
  <c r="N67" i="2"/>
  <c r="N10" i="2"/>
  <c r="N26" i="2"/>
  <c r="N39" i="2"/>
  <c r="N47" i="2"/>
  <c r="N55" i="2"/>
  <c r="N63" i="2"/>
  <c r="H2" i="2"/>
  <c r="H4" i="2"/>
  <c r="H6" i="2"/>
  <c r="H8" i="2"/>
  <c r="H10" i="2"/>
  <c r="H12" i="2"/>
  <c r="H14" i="2"/>
  <c r="H16" i="2"/>
  <c r="H18" i="2"/>
  <c r="H20" i="2"/>
  <c r="H22" i="2"/>
  <c r="H24" i="2"/>
  <c r="H26" i="2"/>
  <c r="H28" i="2"/>
  <c r="H30" i="2"/>
  <c r="H32" i="2"/>
  <c r="H34" i="2"/>
  <c r="H36" i="2"/>
  <c r="H38" i="2"/>
  <c r="H40" i="2"/>
  <c r="H42" i="2"/>
  <c r="H44" i="2"/>
  <c r="H46" i="2"/>
  <c r="H48" i="2"/>
  <c r="H50" i="2"/>
  <c r="H52" i="2"/>
  <c r="H54" i="2"/>
  <c r="H56" i="2"/>
  <c r="H58" i="2"/>
  <c r="H60" i="2"/>
  <c r="H62" i="2"/>
  <c r="H64" i="2"/>
  <c r="H66" i="2"/>
  <c r="H68" i="2"/>
  <c r="J2" i="2"/>
  <c r="J4" i="2"/>
  <c r="J6" i="2"/>
  <c r="J8" i="2"/>
  <c r="J10" i="2"/>
  <c r="J12" i="2"/>
  <c r="J14" i="2"/>
  <c r="J16" i="2"/>
  <c r="J18" i="2"/>
  <c r="J20" i="2"/>
  <c r="J22" i="2"/>
  <c r="J5" i="2"/>
  <c r="J9" i="2"/>
  <c r="J13" i="2"/>
  <c r="J17" i="2"/>
  <c r="J21" i="2"/>
  <c r="J24" i="2"/>
  <c r="J26" i="2"/>
  <c r="J28" i="2"/>
  <c r="J30" i="2"/>
  <c r="J32" i="2"/>
  <c r="J34" i="2"/>
  <c r="J36" i="2"/>
  <c r="J38" i="2"/>
  <c r="J40" i="2"/>
  <c r="J42" i="2"/>
  <c r="J44" i="2"/>
  <c r="J46" i="2"/>
  <c r="J48" i="2"/>
  <c r="J50" i="2"/>
  <c r="J52" i="2"/>
  <c r="J54" i="2"/>
  <c r="J56" i="2"/>
  <c r="J58" i="2"/>
  <c r="J60" i="2"/>
  <c r="J62" i="2"/>
  <c r="J64" i="2"/>
  <c r="J66" i="2"/>
  <c r="J68" i="2"/>
  <c r="H67" i="2"/>
  <c r="H63" i="2"/>
  <c r="H59" i="2"/>
  <c r="H55" i="2"/>
  <c r="H51" i="2"/>
  <c r="H47" i="2"/>
  <c r="H43" i="2"/>
  <c r="H39" i="2"/>
  <c r="H35" i="2"/>
  <c r="H31" i="2"/>
  <c r="H27" i="2"/>
  <c r="H23" i="2"/>
  <c r="H19" i="2"/>
  <c r="H15" i="2"/>
  <c r="H11" i="2"/>
  <c r="H7" i="2"/>
  <c r="H3" i="2"/>
  <c r="J65" i="2"/>
  <c r="J61" i="2"/>
  <c r="J57" i="2"/>
  <c r="J53" i="2"/>
  <c r="J49" i="2"/>
  <c r="J45" i="2"/>
  <c r="J41" i="2"/>
  <c r="J37" i="2"/>
  <c r="J33" i="2"/>
  <c r="J29" i="2"/>
  <c r="J25" i="2"/>
  <c r="J19" i="2"/>
  <c r="J11" i="2"/>
  <c r="J3" i="2"/>
  <c r="H65" i="2"/>
  <c r="H61" i="2"/>
  <c r="H57" i="2"/>
  <c r="H53" i="2"/>
  <c r="H49" i="2"/>
  <c r="H45" i="2"/>
  <c r="H41" i="2"/>
  <c r="H37" i="2"/>
  <c r="H33" i="2"/>
  <c r="H29" i="2"/>
  <c r="H25" i="2"/>
  <c r="H21" i="2"/>
  <c r="H17" i="2"/>
  <c r="H13" i="2"/>
  <c r="H9" i="2"/>
  <c r="H5" i="2"/>
  <c r="J67" i="2"/>
  <c r="J63" i="2"/>
  <c r="J59" i="2"/>
  <c r="J55" i="2"/>
  <c r="J51" i="2"/>
  <c r="J47" i="2"/>
  <c r="J43" i="2"/>
  <c r="J39" i="2"/>
  <c r="J35" i="2"/>
  <c r="J31" i="2"/>
  <c r="J27" i="2"/>
  <c r="J23" i="2"/>
  <c r="J15" i="2"/>
  <c r="J7" i="2"/>
  <c r="Q2" i="3"/>
  <c r="Q4" i="3"/>
  <c r="Q6" i="3"/>
  <c r="Q8" i="3"/>
  <c r="Q10" i="3"/>
  <c r="Q12" i="3"/>
  <c r="Q14" i="3"/>
  <c r="Q16" i="3"/>
  <c r="Q18" i="3"/>
  <c r="Q20" i="3"/>
  <c r="Q22" i="3"/>
  <c r="Q24" i="3"/>
  <c r="Q26" i="3"/>
  <c r="Q28" i="3"/>
  <c r="Q30" i="3"/>
  <c r="Q32" i="3"/>
  <c r="Q34" i="3"/>
  <c r="Q36" i="3"/>
  <c r="Q38" i="3"/>
  <c r="Q40" i="3"/>
  <c r="Q42" i="3"/>
  <c r="Q44" i="3"/>
  <c r="Q46" i="3"/>
  <c r="Q48" i="3"/>
  <c r="Q50" i="3"/>
  <c r="Q52" i="3"/>
  <c r="Q54" i="3"/>
  <c r="Q56" i="3"/>
  <c r="Q58" i="3"/>
  <c r="Q60" i="3"/>
  <c r="Q62" i="3"/>
  <c r="Q64" i="3"/>
  <c r="Q66" i="3"/>
  <c r="Q68" i="3"/>
  <c r="Q3" i="3"/>
  <c r="Q7" i="3"/>
  <c r="Q11" i="3"/>
  <c r="Q15" i="3"/>
  <c r="Q19" i="3"/>
  <c r="Q23" i="3"/>
  <c r="Q27" i="3"/>
  <c r="Q31" i="3"/>
  <c r="Q35" i="3"/>
  <c r="Q39" i="3"/>
  <c r="Q43" i="3"/>
  <c r="Q47" i="3"/>
  <c r="Q51" i="3"/>
  <c r="Q55" i="3"/>
  <c r="Q59" i="3"/>
  <c r="Q63" i="3"/>
  <c r="Q67" i="3"/>
  <c r="Q9" i="3"/>
  <c r="Q17" i="3"/>
  <c r="Q25" i="3"/>
  <c r="Q33" i="3"/>
  <c r="Q41" i="3"/>
  <c r="Q49" i="3"/>
  <c r="Q57" i="3"/>
  <c r="Q65" i="3"/>
  <c r="Q5" i="3"/>
  <c r="Q21" i="3"/>
  <c r="Q37" i="3"/>
  <c r="Q53" i="3"/>
  <c r="Q13" i="3"/>
  <c r="Q29" i="3"/>
  <c r="Q45" i="3"/>
  <c r="Q61" i="3"/>
  <c r="O3" i="3"/>
  <c r="O5" i="3"/>
  <c r="O7" i="3"/>
  <c r="O9" i="3"/>
  <c r="O11" i="3"/>
  <c r="O13" i="3"/>
  <c r="O15" i="3"/>
  <c r="O17" i="3"/>
  <c r="O19" i="3"/>
  <c r="O21" i="3"/>
  <c r="O23" i="3"/>
  <c r="O25" i="3"/>
  <c r="O27" i="3"/>
  <c r="O29" i="3"/>
  <c r="O31" i="3"/>
  <c r="O33" i="3"/>
  <c r="O35" i="3"/>
  <c r="O37" i="3"/>
  <c r="O39" i="3"/>
  <c r="O41" i="3"/>
  <c r="O43" i="3"/>
  <c r="O45" i="3"/>
  <c r="O47" i="3"/>
  <c r="O49" i="3"/>
  <c r="O51" i="3"/>
  <c r="O53" i="3"/>
  <c r="O55" i="3"/>
  <c r="O57" i="3"/>
  <c r="O59" i="3"/>
  <c r="O61" i="3"/>
  <c r="O63" i="3"/>
  <c r="O65" i="3"/>
  <c r="O67" i="3"/>
  <c r="O2" i="3"/>
  <c r="O6" i="3"/>
  <c r="O10" i="3"/>
  <c r="O14" i="3"/>
  <c r="O18" i="3"/>
  <c r="O22" i="3"/>
  <c r="O26" i="3"/>
  <c r="O30" i="3"/>
  <c r="O34" i="3"/>
  <c r="O38" i="3"/>
  <c r="O42" i="3"/>
  <c r="O46" i="3"/>
  <c r="O50" i="3"/>
  <c r="O54" i="3"/>
  <c r="O58" i="3"/>
  <c r="O62" i="3"/>
  <c r="O66" i="3"/>
  <c r="O8" i="3"/>
  <c r="O16" i="3"/>
  <c r="O24" i="3"/>
  <c r="O32" i="3"/>
  <c r="O40" i="3"/>
  <c r="O48" i="3"/>
  <c r="O56" i="3"/>
  <c r="O64" i="3"/>
  <c r="O4" i="3"/>
  <c r="O12" i="3"/>
  <c r="O20" i="3"/>
  <c r="O28" i="3"/>
  <c r="O36" i="3"/>
  <c r="O44" i="3"/>
  <c r="O52" i="3"/>
  <c r="O60" i="3"/>
  <c r="O68" i="3"/>
  <c r="M3" i="3"/>
  <c r="M5" i="3"/>
  <c r="M7" i="3"/>
  <c r="M9" i="3"/>
  <c r="M11" i="3"/>
  <c r="M13" i="3"/>
  <c r="M15" i="3"/>
  <c r="M17" i="3"/>
  <c r="M19" i="3"/>
  <c r="M21" i="3"/>
  <c r="M23" i="3"/>
  <c r="M25" i="3"/>
  <c r="M27" i="3"/>
  <c r="M29" i="3"/>
  <c r="M31" i="3"/>
  <c r="M33" i="3"/>
  <c r="M35" i="3"/>
  <c r="M37" i="3"/>
  <c r="M39" i="3"/>
  <c r="M41" i="3"/>
  <c r="M43" i="3"/>
  <c r="M45" i="3"/>
  <c r="M47" i="3"/>
  <c r="M49" i="3"/>
  <c r="M51" i="3"/>
  <c r="M53" i="3"/>
  <c r="M55" i="3"/>
  <c r="M57" i="3"/>
  <c r="M59" i="3"/>
  <c r="M61" i="3"/>
  <c r="M63" i="3"/>
  <c r="M65" i="3"/>
  <c r="M67" i="3"/>
  <c r="M4" i="3"/>
  <c r="M8" i="3"/>
  <c r="M12" i="3"/>
  <c r="M16" i="3"/>
  <c r="M20" i="3"/>
  <c r="M24" i="3"/>
  <c r="M28" i="3"/>
  <c r="M32" i="3"/>
  <c r="M36" i="3"/>
  <c r="M40" i="3"/>
  <c r="M44" i="3"/>
  <c r="M48" i="3"/>
  <c r="M52" i="3"/>
  <c r="M56" i="3"/>
  <c r="M60" i="3"/>
  <c r="M64" i="3"/>
  <c r="M68" i="3"/>
  <c r="M2" i="3"/>
  <c r="M10" i="3"/>
  <c r="M18" i="3"/>
  <c r="M26" i="3"/>
  <c r="M34" i="3"/>
  <c r="M42" i="3"/>
  <c r="M50" i="3"/>
  <c r="M58" i="3"/>
  <c r="M66" i="3"/>
  <c r="M6" i="3"/>
  <c r="M14" i="3"/>
  <c r="M22" i="3"/>
  <c r="M30" i="3"/>
  <c r="M38" i="3"/>
  <c r="M46" i="3"/>
  <c r="M54" i="3"/>
  <c r="M62" i="3"/>
  <c r="K3" i="3"/>
  <c r="K5" i="3"/>
  <c r="K7" i="3"/>
  <c r="K9" i="3"/>
  <c r="K11" i="3"/>
  <c r="K13" i="3"/>
  <c r="K15" i="3"/>
  <c r="K17" i="3"/>
  <c r="K19" i="3"/>
  <c r="K21" i="3"/>
  <c r="K23" i="3"/>
  <c r="K25" i="3"/>
  <c r="K27" i="3"/>
  <c r="K29" i="3"/>
  <c r="K31" i="3"/>
  <c r="K33" i="3"/>
  <c r="K35" i="3"/>
  <c r="K37" i="3"/>
  <c r="K39" i="3"/>
  <c r="K41" i="3"/>
  <c r="K43" i="3"/>
  <c r="K45" i="3"/>
  <c r="K47" i="3"/>
  <c r="K49" i="3"/>
  <c r="K51" i="3"/>
  <c r="K53" i="3"/>
  <c r="K55" i="3"/>
  <c r="K57" i="3"/>
  <c r="K59" i="3"/>
  <c r="K61" i="3"/>
  <c r="K63" i="3"/>
  <c r="K65" i="3"/>
  <c r="K67" i="3"/>
  <c r="K4" i="3"/>
  <c r="K8" i="3"/>
  <c r="K12" i="3"/>
  <c r="K16" i="3"/>
  <c r="K20" i="3"/>
  <c r="K24" i="3"/>
  <c r="K28" i="3"/>
  <c r="K32" i="3"/>
  <c r="K36" i="3"/>
  <c r="K40" i="3"/>
  <c r="K44" i="3"/>
  <c r="K48" i="3"/>
  <c r="K52" i="3"/>
  <c r="K56" i="3"/>
  <c r="K60" i="3"/>
  <c r="K64" i="3"/>
  <c r="K68" i="3"/>
  <c r="K2" i="3"/>
  <c r="K6" i="3"/>
  <c r="K10" i="3"/>
  <c r="K14" i="3"/>
  <c r="K18" i="3"/>
  <c r="K22" i="3"/>
  <c r="K26" i="3"/>
  <c r="K30" i="3"/>
  <c r="K34" i="3"/>
  <c r="K38" i="3"/>
  <c r="K42" i="3"/>
  <c r="K46" i="3"/>
  <c r="K50" i="3"/>
  <c r="K54" i="3"/>
  <c r="K58" i="3"/>
  <c r="K62" i="3"/>
  <c r="K66" i="3"/>
  <c r="I3" i="3"/>
  <c r="I5" i="3"/>
  <c r="I7" i="3"/>
  <c r="I9" i="3"/>
  <c r="I11" i="3"/>
  <c r="I13" i="3"/>
  <c r="I15" i="3"/>
  <c r="I17" i="3"/>
  <c r="I19" i="3"/>
  <c r="I21" i="3"/>
  <c r="I23" i="3"/>
  <c r="I25" i="3"/>
  <c r="I27" i="3"/>
  <c r="I29" i="3"/>
  <c r="I31" i="3"/>
  <c r="I33" i="3"/>
  <c r="I35" i="3"/>
  <c r="I37" i="3"/>
  <c r="I39" i="3"/>
  <c r="I41" i="3"/>
  <c r="I43" i="3"/>
  <c r="I45" i="3"/>
  <c r="I47" i="3"/>
  <c r="I49" i="3"/>
  <c r="I51" i="3"/>
  <c r="I53" i="3"/>
  <c r="I55" i="3"/>
  <c r="I57" i="3"/>
  <c r="I59" i="3"/>
  <c r="I61" i="3"/>
  <c r="I63" i="3"/>
  <c r="I65" i="3"/>
  <c r="I67" i="3"/>
  <c r="I2" i="3"/>
  <c r="I6" i="3"/>
  <c r="I10" i="3"/>
  <c r="I14" i="3"/>
  <c r="I18" i="3"/>
  <c r="I22" i="3"/>
  <c r="I26" i="3"/>
  <c r="I30" i="3"/>
  <c r="I34" i="3"/>
  <c r="I38" i="3"/>
  <c r="I42" i="3"/>
  <c r="I46" i="3"/>
  <c r="I50" i="3"/>
  <c r="I54" i="3"/>
  <c r="I58" i="3"/>
  <c r="I62" i="3"/>
  <c r="I66" i="3"/>
  <c r="I4" i="3"/>
  <c r="I8" i="3"/>
  <c r="I12" i="3"/>
  <c r="I16" i="3"/>
  <c r="I20" i="3"/>
  <c r="I24" i="3"/>
  <c r="I28" i="3"/>
  <c r="I32" i="3"/>
  <c r="I36" i="3"/>
  <c r="I40" i="3"/>
  <c r="I44" i="3"/>
  <c r="I48" i="3"/>
  <c r="I52" i="3"/>
  <c r="I56" i="3"/>
  <c r="I60" i="3"/>
  <c r="I64" i="3"/>
  <c r="I68" i="3"/>
  <c r="P3" i="3"/>
  <c r="P5" i="3"/>
  <c r="P7" i="3"/>
  <c r="P9" i="3"/>
  <c r="P11" i="3"/>
  <c r="P13" i="3"/>
  <c r="P15" i="3"/>
  <c r="P17" i="3"/>
  <c r="P19" i="3"/>
  <c r="P21" i="3"/>
  <c r="P23" i="3"/>
  <c r="P25" i="3"/>
  <c r="P27" i="3"/>
  <c r="P29" i="3"/>
  <c r="P31" i="3"/>
  <c r="P33" i="3"/>
  <c r="P35" i="3"/>
  <c r="P4" i="3"/>
  <c r="P8" i="3"/>
  <c r="P12" i="3"/>
  <c r="P16" i="3"/>
  <c r="P20" i="3"/>
  <c r="P24" i="3"/>
  <c r="P28" i="3"/>
  <c r="P32" i="3"/>
  <c r="P36" i="3"/>
  <c r="P38" i="3"/>
  <c r="P40" i="3"/>
  <c r="P42" i="3"/>
  <c r="P44" i="3"/>
  <c r="P46" i="3"/>
  <c r="P48" i="3"/>
  <c r="P50" i="3"/>
  <c r="P52" i="3"/>
  <c r="P54" i="3"/>
  <c r="P56" i="3"/>
  <c r="P58" i="3"/>
  <c r="P60" i="3"/>
  <c r="P62" i="3"/>
  <c r="P64" i="3"/>
  <c r="P66" i="3"/>
  <c r="P68" i="3"/>
  <c r="P6" i="3"/>
  <c r="P14" i="3"/>
  <c r="P22" i="3"/>
  <c r="P30" i="3"/>
  <c r="P37" i="3"/>
  <c r="P41" i="3"/>
  <c r="P45" i="3"/>
  <c r="P49" i="3"/>
  <c r="P53" i="3"/>
  <c r="P57" i="3"/>
  <c r="P61" i="3"/>
  <c r="P65" i="3"/>
  <c r="P2" i="3"/>
  <c r="P18" i="3"/>
  <c r="P34" i="3"/>
  <c r="P43" i="3"/>
  <c r="P51" i="3"/>
  <c r="P59" i="3"/>
  <c r="P67" i="3"/>
  <c r="P10" i="3"/>
  <c r="P26" i="3"/>
  <c r="P39" i="3"/>
  <c r="P47" i="3"/>
  <c r="P55" i="3"/>
  <c r="P63" i="3"/>
  <c r="N2" i="3"/>
  <c r="N4" i="3"/>
  <c r="N6" i="3"/>
  <c r="N8" i="3"/>
  <c r="N10" i="3"/>
  <c r="N12" i="3"/>
  <c r="N14" i="3"/>
  <c r="N16" i="3"/>
  <c r="N18" i="3"/>
  <c r="N20" i="3"/>
  <c r="N22" i="3"/>
  <c r="N24" i="3"/>
  <c r="N26" i="3"/>
  <c r="N28" i="3"/>
  <c r="N30" i="3"/>
  <c r="N32" i="3"/>
  <c r="N34" i="3"/>
  <c r="N36" i="3"/>
  <c r="N38" i="3"/>
  <c r="N40" i="3"/>
  <c r="N42" i="3"/>
  <c r="N44" i="3"/>
  <c r="N46" i="3"/>
  <c r="N48" i="3"/>
  <c r="N50" i="3"/>
  <c r="N52" i="3"/>
  <c r="N54" i="3"/>
  <c r="N56" i="3"/>
  <c r="N58" i="3"/>
  <c r="N60" i="3"/>
  <c r="N62" i="3"/>
  <c r="N64" i="3"/>
  <c r="N66" i="3"/>
  <c r="N68" i="3"/>
  <c r="N3" i="3"/>
  <c r="N7" i="3"/>
  <c r="N11" i="3"/>
  <c r="N15" i="3"/>
  <c r="N19" i="3"/>
  <c r="N23" i="3"/>
  <c r="N27" i="3"/>
  <c r="N31" i="3"/>
  <c r="N35" i="3"/>
  <c r="N39" i="3"/>
  <c r="N43" i="3"/>
  <c r="N47" i="3"/>
  <c r="N51" i="3"/>
  <c r="N55" i="3"/>
  <c r="N59" i="3"/>
  <c r="N63" i="3"/>
  <c r="N67" i="3"/>
  <c r="N5" i="3"/>
  <c r="N13" i="3"/>
  <c r="N21" i="3"/>
  <c r="N29" i="3"/>
  <c r="N37" i="3"/>
  <c r="N45" i="3"/>
  <c r="N53" i="3"/>
  <c r="N61" i="3"/>
  <c r="N9" i="3"/>
  <c r="N17" i="3"/>
  <c r="N25" i="3"/>
  <c r="N33" i="3"/>
  <c r="N41" i="3"/>
  <c r="N49" i="3"/>
  <c r="N57" i="3"/>
  <c r="N65" i="3"/>
  <c r="L2" i="3"/>
  <c r="L4" i="3"/>
  <c r="L6" i="3"/>
  <c r="L8" i="3"/>
  <c r="L10" i="3"/>
  <c r="L12" i="3"/>
  <c r="L14" i="3"/>
  <c r="L16" i="3"/>
  <c r="L18" i="3"/>
  <c r="L20" i="3"/>
  <c r="L22" i="3"/>
  <c r="L5" i="3"/>
  <c r="L9" i="3"/>
  <c r="L13" i="3"/>
  <c r="L17" i="3"/>
  <c r="L21" i="3"/>
  <c r="L24" i="3"/>
  <c r="L26" i="3"/>
  <c r="L28" i="3"/>
  <c r="L30" i="3"/>
  <c r="L32" i="3"/>
  <c r="L34" i="3"/>
  <c r="L36" i="3"/>
  <c r="L38" i="3"/>
  <c r="L40" i="3"/>
  <c r="L42" i="3"/>
  <c r="L44" i="3"/>
  <c r="L46" i="3"/>
  <c r="L48" i="3"/>
  <c r="L50" i="3"/>
  <c r="L52" i="3"/>
  <c r="L54" i="3"/>
  <c r="L56" i="3"/>
  <c r="L58" i="3"/>
  <c r="L60" i="3"/>
  <c r="L62" i="3"/>
  <c r="L64" i="3"/>
  <c r="L66" i="3"/>
  <c r="L68" i="3"/>
  <c r="L7" i="3"/>
  <c r="L15" i="3"/>
  <c r="L23" i="3"/>
  <c r="L27" i="3"/>
  <c r="L31" i="3"/>
  <c r="L35" i="3"/>
  <c r="L39" i="3"/>
  <c r="L43" i="3"/>
  <c r="L47" i="3"/>
  <c r="L51" i="3"/>
  <c r="L55" i="3"/>
  <c r="L59" i="3"/>
  <c r="L63" i="3"/>
  <c r="L67" i="3"/>
  <c r="L3" i="3"/>
  <c r="L11" i="3"/>
  <c r="L19" i="3"/>
  <c r="L25" i="3"/>
  <c r="L29" i="3"/>
  <c r="L33" i="3"/>
  <c r="L37" i="3"/>
  <c r="L41" i="3"/>
  <c r="L45" i="3"/>
  <c r="L49" i="3"/>
  <c r="L53" i="3"/>
  <c r="L57" i="3"/>
  <c r="L61" i="3"/>
  <c r="L65" i="3"/>
  <c r="J2" i="3"/>
  <c r="J4" i="3"/>
  <c r="J6" i="3"/>
  <c r="J8" i="3"/>
  <c r="J10" i="3"/>
  <c r="J12" i="3"/>
  <c r="J14" i="3"/>
  <c r="J16" i="3"/>
  <c r="J18" i="3"/>
  <c r="J20" i="3"/>
  <c r="J22" i="3"/>
  <c r="J24" i="3"/>
  <c r="J26" i="3"/>
  <c r="J28" i="3"/>
  <c r="J30" i="3"/>
  <c r="J32" i="3"/>
  <c r="J34" i="3"/>
  <c r="J36" i="3"/>
  <c r="J38" i="3"/>
  <c r="J40" i="3"/>
  <c r="J42" i="3"/>
  <c r="J44" i="3"/>
  <c r="J46" i="3"/>
  <c r="J48" i="3"/>
  <c r="J50" i="3"/>
  <c r="J52" i="3"/>
  <c r="J54" i="3"/>
  <c r="J56" i="3"/>
  <c r="J58" i="3"/>
  <c r="J60" i="3"/>
  <c r="J62" i="3"/>
  <c r="J64" i="3"/>
  <c r="J66" i="3"/>
  <c r="J68" i="3"/>
  <c r="J5" i="3"/>
  <c r="J9" i="3"/>
  <c r="J13" i="3"/>
  <c r="J17" i="3"/>
  <c r="J21" i="3"/>
  <c r="J25" i="3"/>
  <c r="J29" i="3"/>
  <c r="J33" i="3"/>
  <c r="J37" i="3"/>
  <c r="J41" i="3"/>
  <c r="J45" i="3"/>
  <c r="J49" i="3"/>
  <c r="J53" i="3"/>
  <c r="J57" i="3"/>
  <c r="J61" i="3"/>
  <c r="J65" i="3"/>
  <c r="J3" i="3"/>
  <c r="J7" i="3"/>
  <c r="J11" i="3"/>
  <c r="J15" i="3"/>
  <c r="J19" i="3"/>
  <c r="J23" i="3"/>
  <c r="J27" i="3"/>
  <c r="J31" i="3"/>
  <c r="J35" i="3"/>
  <c r="J39" i="3"/>
  <c r="J43" i="3"/>
  <c r="J47" i="3"/>
  <c r="J51" i="3"/>
  <c r="J55" i="3"/>
  <c r="J59" i="3"/>
  <c r="J63" i="3"/>
  <c r="J67" i="3"/>
  <c r="H2" i="3"/>
  <c r="H4" i="3"/>
  <c r="H6" i="3"/>
  <c r="H8" i="3"/>
  <c r="H10" i="3"/>
  <c r="H12" i="3"/>
  <c r="H14" i="3"/>
  <c r="H16" i="3"/>
  <c r="H18" i="3"/>
  <c r="H20" i="3"/>
  <c r="H22" i="3"/>
  <c r="H24" i="3"/>
  <c r="H26" i="3"/>
  <c r="H28" i="3"/>
  <c r="H30" i="3"/>
  <c r="H32" i="3"/>
  <c r="H34" i="3"/>
  <c r="H36" i="3"/>
  <c r="H38" i="3"/>
  <c r="H40" i="3"/>
  <c r="H42" i="3"/>
  <c r="H44" i="3"/>
  <c r="H46" i="3"/>
  <c r="H48" i="3"/>
  <c r="H50" i="3"/>
  <c r="H52" i="3"/>
  <c r="H54" i="3"/>
  <c r="H56" i="3"/>
  <c r="H58" i="3"/>
  <c r="H60" i="3"/>
  <c r="H62" i="3"/>
  <c r="H64" i="3"/>
  <c r="H66" i="3"/>
  <c r="H68" i="3"/>
  <c r="H3" i="3"/>
  <c r="H7" i="3"/>
  <c r="H11" i="3"/>
  <c r="H15" i="3"/>
  <c r="H19" i="3"/>
  <c r="H23" i="3"/>
  <c r="H27" i="3"/>
  <c r="H31" i="3"/>
  <c r="H35" i="3"/>
  <c r="H39" i="3"/>
  <c r="H43" i="3"/>
  <c r="H47" i="3"/>
  <c r="H51" i="3"/>
  <c r="H55" i="3"/>
  <c r="H59" i="3"/>
  <c r="H63" i="3"/>
  <c r="H67" i="3"/>
  <c r="H5" i="3"/>
  <c r="H9" i="3"/>
  <c r="H13" i="3"/>
  <c r="H17" i="3"/>
  <c r="H21" i="3"/>
  <c r="H25" i="3"/>
  <c r="H29" i="3"/>
  <c r="H33" i="3"/>
  <c r="H37" i="3"/>
  <c r="H41" i="3"/>
  <c r="H45" i="3"/>
  <c r="H49" i="3"/>
  <c r="H53" i="3"/>
  <c r="H57" i="3"/>
  <c r="H61" i="3"/>
  <c r="H65" i="3"/>
  <c r="T16" i="1" l="1"/>
  <c r="Y16" i="1" s="1"/>
  <c r="T15" i="1"/>
  <c r="Y15" i="1" s="1"/>
  <c r="T14" i="1"/>
  <c r="Y14" i="1" s="1"/>
  <c r="T13" i="1"/>
  <c r="Y13" i="1" s="1"/>
  <c r="T12" i="1"/>
  <c r="Y12" i="1" s="1"/>
  <c r="T11" i="1"/>
  <c r="Y11" i="1" s="1"/>
  <c r="T10" i="1"/>
  <c r="Y10" i="1" s="1"/>
  <c r="T9" i="1"/>
  <c r="Y9" i="1" s="1"/>
  <c r="T8" i="1"/>
  <c r="Y8" i="1" s="1"/>
  <c r="T7" i="1"/>
  <c r="Y7" i="1" s="1"/>
  <c r="U17" i="1"/>
  <c r="W17" i="1" s="1"/>
  <c r="V17" i="1" s="1"/>
  <c r="S7" i="1" l="1"/>
  <c r="C7" i="7" s="1"/>
  <c r="S8" i="1"/>
  <c r="C8" i="7" s="1"/>
  <c r="S9" i="1"/>
  <c r="C9" i="7" s="1"/>
  <c r="S10" i="1"/>
  <c r="C10" i="7" s="1"/>
  <c r="S11" i="1"/>
  <c r="C11" i="7" s="1"/>
  <c r="S12" i="1"/>
  <c r="C12" i="7" s="1"/>
  <c r="S13" i="1"/>
  <c r="C13" i="7" s="1"/>
  <c r="S14" i="1"/>
  <c r="C14" i="7" s="1"/>
  <c r="S15" i="1"/>
  <c r="C15" i="7" s="1"/>
  <c r="S16" i="1"/>
  <c r="C16" i="7" s="1"/>
  <c r="R7" i="1"/>
  <c r="C7" i="10" s="1"/>
  <c r="R8" i="1"/>
  <c r="C8" i="10" s="1"/>
  <c r="R9" i="1"/>
  <c r="C9" i="10" s="1"/>
  <c r="R10" i="1"/>
  <c r="C10" i="10" s="1"/>
  <c r="R11" i="1"/>
  <c r="C11" i="10" s="1"/>
  <c r="R12" i="1"/>
  <c r="C12" i="10" s="1"/>
  <c r="R13" i="1"/>
  <c r="C13" i="10" s="1"/>
  <c r="R14" i="1"/>
  <c r="C14" i="10" s="1"/>
  <c r="R15" i="1"/>
  <c r="R16" i="1"/>
  <c r="G17" i="1" l="1"/>
  <c r="F17" i="1"/>
  <c r="E17" i="1"/>
  <c r="D17" i="1"/>
  <c r="J17" i="1" l="1"/>
  <c r="E17" i="6"/>
  <c r="L17" i="1"/>
  <c r="L4" i="1" s="1"/>
  <c r="M17" i="1"/>
  <c r="J4" i="1"/>
  <c r="J6" i="1"/>
  <c r="J3" i="1"/>
  <c r="J5" i="1"/>
  <c r="J2" i="1"/>
  <c r="K17" i="1"/>
  <c r="D17" i="7" s="1"/>
  <c r="L2" i="1" l="1"/>
  <c r="L5" i="1"/>
  <c r="L6" i="1"/>
  <c r="E6" i="7" s="1"/>
  <c r="L3" i="1"/>
  <c r="E3" i="7" s="1"/>
  <c r="G17" i="6"/>
  <c r="E17" i="7"/>
  <c r="F17" i="7" s="1"/>
  <c r="E2" i="7"/>
  <c r="G2" i="6"/>
  <c r="E4" i="7"/>
  <c r="G4" i="6"/>
  <c r="G6" i="10"/>
  <c r="E6" i="6"/>
  <c r="H6" i="10"/>
  <c r="G84" i="9" s="1"/>
  <c r="M3" i="1"/>
  <c r="M2" i="1"/>
  <c r="F17" i="6"/>
  <c r="M6" i="1"/>
  <c r="E5" i="7"/>
  <c r="G5" i="6"/>
  <c r="G2" i="10"/>
  <c r="E2" i="6"/>
  <c r="H2" i="10"/>
  <c r="H4" i="10"/>
  <c r="E84" i="9" s="1"/>
  <c r="G4" i="10"/>
  <c r="E4" i="6"/>
  <c r="M4" i="1"/>
  <c r="G3" i="6"/>
  <c r="H5" i="10"/>
  <c r="F84" i="9" s="1"/>
  <c r="G5" i="10"/>
  <c r="E5" i="6"/>
  <c r="H17" i="6"/>
  <c r="M5" i="1"/>
  <c r="H3" i="10"/>
  <c r="D84" i="9" s="1"/>
  <c r="G3" i="10"/>
  <c r="E3" i="6"/>
  <c r="H17" i="7"/>
  <c r="I17" i="7" s="1"/>
  <c r="K3" i="1"/>
  <c r="K5" i="1"/>
  <c r="K2" i="1"/>
  <c r="K4" i="1"/>
  <c r="K6" i="1"/>
  <c r="S17" i="1"/>
  <c r="H2" i="1"/>
  <c r="H3" i="1"/>
  <c r="H4" i="1"/>
  <c r="H5" i="1"/>
  <c r="H6" i="1"/>
  <c r="H7" i="1"/>
  <c r="N7" i="1" s="1"/>
  <c r="C7" i="6" s="1"/>
  <c r="H8" i="1"/>
  <c r="H9" i="1"/>
  <c r="N9" i="1" s="1"/>
  <c r="C9" i="6" s="1"/>
  <c r="H10" i="1"/>
  <c r="N10" i="1" s="1"/>
  <c r="C10" i="6" s="1"/>
  <c r="H11" i="1"/>
  <c r="N11" i="1" s="1"/>
  <c r="C11" i="6" s="1"/>
  <c r="H12" i="1"/>
  <c r="N12" i="1" s="1"/>
  <c r="C12" i="6" s="1"/>
  <c r="H13" i="1"/>
  <c r="H14" i="1"/>
  <c r="N14" i="1" s="1"/>
  <c r="C14" i="6" s="1"/>
  <c r="H15" i="1"/>
  <c r="N15" i="1" s="1"/>
  <c r="C15" i="6" s="1"/>
  <c r="H16" i="1"/>
  <c r="N16" i="1" s="1"/>
  <c r="C16" i="6" s="1"/>
  <c r="C17" i="1"/>
  <c r="G6" i="6" l="1"/>
  <c r="K17" i="6"/>
  <c r="S2" i="1"/>
  <c r="C2" i="7" s="1"/>
  <c r="D2" i="7"/>
  <c r="F2" i="7" s="1"/>
  <c r="C84" i="5" s="1"/>
  <c r="F2" i="6"/>
  <c r="K2" i="6" s="1"/>
  <c r="C70" i="3" s="1"/>
  <c r="F87" i="9"/>
  <c r="I5" i="10"/>
  <c r="H4" i="7"/>
  <c r="I4" i="7" s="1"/>
  <c r="E85" i="8" s="1"/>
  <c r="H4" i="6"/>
  <c r="H15" i="10"/>
  <c r="C84" i="9"/>
  <c r="H3" i="6"/>
  <c r="H3" i="7"/>
  <c r="I3" i="7" s="1"/>
  <c r="D85" i="8" s="1"/>
  <c r="S5" i="1"/>
  <c r="C5" i="7" s="1"/>
  <c r="D5" i="7"/>
  <c r="F5" i="7" s="1"/>
  <c r="F84" i="5" s="1"/>
  <c r="F5" i="6"/>
  <c r="K5" i="6" s="1"/>
  <c r="F70" i="3" s="1"/>
  <c r="D87" i="9"/>
  <c r="I3" i="10"/>
  <c r="H5" i="7"/>
  <c r="I5" i="7" s="1"/>
  <c r="F85" i="8" s="1"/>
  <c r="H5" i="6"/>
  <c r="F4" i="9"/>
  <c r="F9" i="9"/>
  <c r="F17" i="9"/>
  <c r="F25" i="9"/>
  <c r="F33" i="9"/>
  <c r="F41" i="9"/>
  <c r="F49" i="9"/>
  <c r="F57" i="9"/>
  <c r="F65" i="9"/>
  <c r="F73" i="9"/>
  <c r="F81" i="9"/>
  <c r="F76" i="9"/>
  <c r="F60" i="9"/>
  <c r="F44" i="9"/>
  <c r="F28" i="9"/>
  <c r="F12" i="9"/>
  <c r="F82" i="9"/>
  <c r="F66" i="9"/>
  <c r="F50" i="9"/>
  <c r="F34" i="9"/>
  <c r="F18" i="9"/>
  <c r="F8" i="9"/>
  <c r="F15" i="9"/>
  <c r="F27" i="9"/>
  <c r="F37" i="9"/>
  <c r="F47" i="9"/>
  <c r="F59" i="9"/>
  <c r="F69" i="9"/>
  <c r="F79" i="9"/>
  <c r="F68" i="9"/>
  <c r="F48" i="9"/>
  <c r="F24" i="9"/>
  <c r="F74" i="9"/>
  <c r="F54" i="9"/>
  <c r="F30" i="9"/>
  <c r="F10" i="9"/>
  <c r="F5" i="9"/>
  <c r="F19" i="9"/>
  <c r="F29" i="9"/>
  <c r="F39" i="9"/>
  <c r="F51" i="9"/>
  <c r="F61" i="9"/>
  <c r="F71" i="9"/>
  <c r="F64" i="9"/>
  <c r="F40" i="9"/>
  <c r="F20" i="9"/>
  <c r="F70" i="9"/>
  <c r="F46" i="9"/>
  <c r="F26" i="9"/>
  <c r="F3" i="9"/>
  <c r="F2" i="9"/>
  <c r="F11" i="9"/>
  <c r="F21" i="9"/>
  <c r="F31" i="9"/>
  <c r="F43" i="9"/>
  <c r="F53" i="9"/>
  <c r="F63" i="9"/>
  <c r="F75" i="9"/>
  <c r="F80" i="9"/>
  <c r="F56" i="9"/>
  <c r="F36" i="9"/>
  <c r="F16" i="9"/>
  <c r="F62" i="9"/>
  <c r="F42" i="9"/>
  <c r="F22" i="9"/>
  <c r="F6" i="9"/>
  <c r="F13" i="9"/>
  <c r="F23" i="9"/>
  <c r="F35" i="9"/>
  <c r="F45" i="9"/>
  <c r="F55" i="9"/>
  <c r="F67" i="9"/>
  <c r="F77" i="9"/>
  <c r="F72" i="9"/>
  <c r="F52" i="9"/>
  <c r="F32" i="9"/>
  <c r="F7" i="9"/>
  <c r="F78" i="9"/>
  <c r="F58" i="9"/>
  <c r="F38" i="9"/>
  <c r="F14" i="9"/>
  <c r="H6" i="7"/>
  <c r="I6" i="7" s="1"/>
  <c r="G85" i="8" s="1"/>
  <c r="H6" i="6"/>
  <c r="G16" i="9"/>
  <c r="G24" i="9"/>
  <c r="G8" i="9"/>
  <c r="G80" i="9"/>
  <c r="G5" i="9"/>
  <c r="G13" i="9"/>
  <c r="G21" i="9"/>
  <c r="G29" i="9"/>
  <c r="G37" i="9"/>
  <c r="G45" i="9"/>
  <c r="G53" i="9"/>
  <c r="G61" i="9"/>
  <c r="G69" i="9"/>
  <c r="G77" i="9"/>
  <c r="G6" i="9"/>
  <c r="G22" i="9"/>
  <c r="G38" i="9"/>
  <c r="G54" i="9"/>
  <c r="G70" i="9"/>
  <c r="G76" i="9"/>
  <c r="G44" i="9"/>
  <c r="G12" i="9"/>
  <c r="G56" i="9"/>
  <c r="G48" i="9"/>
  <c r="G3" i="9"/>
  <c r="G15" i="9"/>
  <c r="G25" i="9"/>
  <c r="G35" i="9"/>
  <c r="G47" i="9"/>
  <c r="G57" i="9"/>
  <c r="G67" i="9"/>
  <c r="G79" i="9"/>
  <c r="G14" i="9"/>
  <c r="G34" i="9"/>
  <c r="G58" i="9"/>
  <c r="G78" i="9"/>
  <c r="G52" i="9"/>
  <c r="G4" i="9"/>
  <c r="G40" i="9"/>
  <c r="G32" i="9"/>
  <c r="G7" i="9"/>
  <c r="G17" i="9"/>
  <c r="G27" i="9"/>
  <c r="G39" i="9"/>
  <c r="G49" i="9"/>
  <c r="G59" i="9"/>
  <c r="G71" i="9"/>
  <c r="G81" i="9"/>
  <c r="G18" i="9"/>
  <c r="G42" i="9"/>
  <c r="G62" i="9"/>
  <c r="G82" i="9"/>
  <c r="G36" i="9"/>
  <c r="G9" i="9"/>
  <c r="G19" i="9"/>
  <c r="G31" i="9"/>
  <c r="G41" i="9"/>
  <c r="G51" i="9"/>
  <c r="G63" i="9"/>
  <c r="G73" i="9"/>
  <c r="G2" i="9"/>
  <c r="G26" i="9"/>
  <c r="G46" i="9"/>
  <c r="G66" i="9"/>
  <c r="G68" i="9"/>
  <c r="G28" i="9"/>
  <c r="G72" i="9"/>
  <c r="G64" i="9"/>
  <c r="G11" i="9"/>
  <c r="G23" i="9"/>
  <c r="G33" i="9"/>
  <c r="G43" i="9"/>
  <c r="G55" i="9"/>
  <c r="G65" i="9"/>
  <c r="G75" i="9"/>
  <c r="G10" i="9"/>
  <c r="G30" i="9"/>
  <c r="G50" i="9"/>
  <c r="G74" i="9"/>
  <c r="G60" i="9"/>
  <c r="G20" i="9"/>
  <c r="S6" i="1"/>
  <c r="C6" i="7" s="1"/>
  <c r="D6" i="7"/>
  <c r="F6" i="7" s="1"/>
  <c r="G84" i="5" s="1"/>
  <c r="F6" i="6"/>
  <c r="K6" i="6" s="1"/>
  <c r="G70" i="3" s="1"/>
  <c r="S3" i="1"/>
  <c r="C3" i="7" s="1"/>
  <c r="D3" i="7"/>
  <c r="F3" i="7" s="1"/>
  <c r="D84" i="5" s="1"/>
  <c r="F3" i="6"/>
  <c r="K3" i="6" s="1"/>
  <c r="D70" i="3" s="1"/>
  <c r="D5" i="9"/>
  <c r="D13" i="9"/>
  <c r="D21" i="9"/>
  <c r="D29" i="9"/>
  <c r="D37" i="9"/>
  <c r="D45" i="9"/>
  <c r="D53" i="9"/>
  <c r="D61" i="9"/>
  <c r="D69" i="9"/>
  <c r="D77" i="9"/>
  <c r="D74" i="9"/>
  <c r="D58" i="9"/>
  <c r="D42" i="9"/>
  <c r="D26" i="9"/>
  <c r="D10" i="9"/>
  <c r="D80" i="9"/>
  <c r="D64" i="9"/>
  <c r="D48" i="9"/>
  <c r="D32" i="9"/>
  <c r="D16" i="9"/>
  <c r="D3" i="9"/>
  <c r="D15" i="9"/>
  <c r="D25" i="9"/>
  <c r="D35" i="9"/>
  <c r="D47" i="9"/>
  <c r="D57" i="9"/>
  <c r="D67" i="9"/>
  <c r="D79" i="9"/>
  <c r="D70" i="9"/>
  <c r="D50" i="9"/>
  <c r="D30" i="9"/>
  <c r="D6" i="9"/>
  <c r="D60" i="9"/>
  <c r="D40" i="9"/>
  <c r="D20" i="9"/>
  <c r="D7" i="9"/>
  <c r="D17" i="9"/>
  <c r="D27" i="9"/>
  <c r="D39" i="9"/>
  <c r="D49" i="9"/>
  <c r="D59" i="9"/>
  <c r="D71" i="9"/>
  <c r="D81" i="9"/>
  <c r="D66" i="9"/>
  <c r="D46" i="9"/>
  <c r="D22" i="9"/>
  <c r="D2" i="9"/>
  <c r="D76" i="9"/>
  <c r="D56" i="9"/>
  <c r="D36" i="9"/>
  <c r="D12" i="9"/>
  <c r="D9" i="9"/>
  <c r="D19" i="9"/>
  <c r="D31" i="9"/>
  <c r="D41" i="9"/>
  <c r="D51" i="9"/>
  <c r="D63" i="9"/>
  <c r="D73" i="9"/>
  <c r="D82" i="9"/>
  <c r="D62" i="9"/>
  <c r="D38" i="9"/>
  <c r="D18" i="9"/>
  <c r="D72" i="9"/>
  <c r="D52" i="9"/>
  <c r="D28" i="9"/>
  <c r="D8" i="9"/>
  <c r="D11" i="9"/>
  <c r="D23" i="9"/>
  <c r="D33" i="9"/>
  <c r="D43" i="9"/>
  <c r="D55" i="9"/>
  <c r="D65" i="9"/>
  <c r="D75" i="9"/>
  <c r="D78" i="9"/>
  <c r="D54" i="9"/>
  <c r="D34" i="9"/>
  <c r="D14" i="9"/>
  <c r="D68" i="9"/>
  <c r="D44" i="9"/>
  <c r="D24" i="9"/>
  <c r="D4" i="9"/>
  <c r="E87" i="9"/>
  <c r="I4" i="10"/>
  <c r="I2" i="10"/>
  <c r="G15" i="10"/>
  <c r="C87" i="9"/>
  <c r="S4" i="1"/>
  <c r="C4" i="7" s="1"/>
  <c r="D4" i="7"/>
  <c r="F4" i="7" s="1"/>
  <c r="E84" i="5" s="1"/>
  <c r="F4" i="6"/>
  <c r="K4" i="6" s="1"/>
  <c r="E70" i="3" s="1"/>
  <c r="E7" i="9"/>
  <c r="E67" i="9"/>
  <c r="E35" i="9"/>
  <c r="E3" i="9"/>
  <c r="E51" i="9"/>
  <c r="E11" i="9"/>
  <c r="E71" i="9"/>
  <c r="E39" i="9"/>
  <c r="E6" i="9"/>
  <c r="E14" i="9"/>
  <c r="E22" i="9"/>
  <c r="E30" i="9"/>
  <c r="E38" i="9"/>
  <c r="E46" i="9"/>
  <c r="E54" i="9"/>
  <c r="E62" i="9"/>
  <c r="E70" i="9"/>
  <c r="E78" i="9"/>
  <c r="E81" i="9"/>
  <c r="E65" i="9"/>
  <c r="E49" i="9"/>
  <c r="E33" i="9"/>
  <c r="E17" i="9"/>
  <c r="E43" i="9"/>
  <c r="E79" i="9"/>
  <c r="E31" i="9"/>
  <c r="E10" i="9"/>
  <c r="E20" i="9"/>
  <c r="E32" i="9"/>
  <c r="E42" i="9"/>
  <c r="E52" i="9"/>
  <c r="E64" i="9"/>
  <c r="E74" i="9"/>
  <c r="E77" i="9"/>
  <c r="E57" i="9"/>
  <c r="E37" i="9"/>
  <c r="E13" i="9"/>
  <c r="E27" i="9"/>
  <c r="E63" i="9"/>
  <c r="E23" i="9"/>
  <c r="E2" i="9"/>
  <c r="E12" i="9"/>
  <c r="E24" i="9"/>
  <c r="E34" i="9"/>
  <c r="E44" i="9"/>
  <c r="E56" i="9"/>
  <c r="E66" i="9"/>
  <c r="E76" i="9"/>
  <c r="E73" i="9"/>
  <c r="E53" i="9"/>
  <c r="E29" i="9"/>
  <c r="E9" i="9"/>
  <c r="E75" i="9"/>
  <c r="E19" i="9"/>
  <c r="E55" i="9"/>
  <c r="E15" i="9"/>
  <c r="E4" i="9"/>
  <c r="E16" i="9"/>
  <c r="E26" i="9"/>
  <c r="E36" i="9"/>
  <c r="E48" i="9"/>
  <c r="E58" i="9"/>
  <c r="E68" i="9"/>
  <c r="E80" i="9"/>
  <c r="E69" i="9"/>
  <c r="E45" i="9"/>
  <c r="E25" i="9"/>
  <c r="E5" i="9"/>
  <c r="E59" i="9"/>
  <c r="E47" i="9"/>
  <c r="E8" i="9"/>
  <c r="E18" i="9"/>
  <c r="E28" i="9"/>
  <c r="E40" i="9"/>
  <c r="E50" i="9"/>
  <c r="E60" i="9"/>
  <c r="E72" i="9"/>
  <c r="E82" i="9"/>
  <c r="E61" i="9"/>
  <c r="E41" i="9"/>
  <c r="E21" i="9"/>
  <c r="H2" i="7"/>
  <c r="I2" i="7" s="1"/>
  <c r="C85" i="8" s="1"/>
  <c r="H2" i="6"/>
  <c r="G87" i="9"/>
  <c r="I6" i="10"/>
  <c r="N13" i="1"/>
  <c r="N8" i="1"/>
  <c r="H17" i="1"/>
  <c r="I17" i="1"/>
  <c r="O7" i="1"/>
  <c r="Q7" i="1"/>
  <c r="O11" i="1"/>
  <c r="Q11" i="1"/>
  <c r="P11" i="1"/>
  <c r="P7" i="1"/>
  <c r="O15" i="1"/>
  <c r="Q15" i="1"/>
  <c r="P15" i="1"/>
  <c r="Q10" i="1"/>
  <c r="P10" i="1"/>
  <c r="O10" i="1"/>
  <c r="P12" i="1"/>
  <c r="O12" i="1"/>
  <c r="Q12" i="1"/>
  <c r="Q9" i="1"/>
  <c r="P9" i="1"/>
  <c r="O9" i="1"/>
  <c r="Q14" i="1"/>
  <c r="P14" i="1"/>
  <c r="O14" i="1"/>
  <c r="P16" i="1"/>
  <c r="O16" i="1"/>
  <c r="Q16" i="1"/>
  <c r="D17" i="6" l="1"/>
  <c r="J17" i="6" s="1"/>
  <c r="I4" i="1"/>
  <c r="D69" i="5"/>
  <c r="D33" i="5"/>
  <c r="D9" i="5"/>
  <c r="D80" i="5"/>
  <c r="D76" i="5"/>
  <c r="D72" i="5"/>
  <c r="D68" i="5"/>
  <c r="D64" i="5"/>
  <c r="D60" i="5"/>
  <c r="D56" i="5"/>
  <c r="D52" i="5"/>
  <c r="D48" i="5"/>
  <c r="D44" i="5"/>
  <c r="D40" i="5"/>
  <c r="D36" i="5"/>
  <c r="D32" i="5"/>
  <c r="D28" i="5"/>
  <c r="D24" i="5"/>
  <c r="D20" i="5"/>
  <c r="D16" i="5"/>
  <c r="D12" i="5"/>
  <c r="D8" i="5"/>
  <c r="D4" i="5"/>
  <c r="D53" i="5"/>
  <c r="D65" i="5"/>
  <c r="D41" i="5"/>
  <c r="D17" i="5"/>
  <c r="D79" i="5"/>
  <c r="D75" i="5"/>
  <c r="D71" i="5"/>
  <c r="D67" i="5"/>
  <c r="D63" i="5"/>
  <c r="D59" i="5"/>
  <c r="D55" i="5"/>
  <c r="D51" i="5"/>
  <c r="D47" i="5"/>
  <c r="D43" i="5"/>
  <c r="D39" i="5"/>
  <c r="D35" i="5"/>
  <c r="D31" i="5"/>
  <c r="D27" i="5"/>
  <c r="D23" i="5"/>
  <c r="D19" i="5"/>
  <c r="D15" i="5"/>
  <c r="D11" i="5"/>
  <c r="D7" i="5"/>
  <c r="D3" i="5"/>
  <c r="D81" i="5"/>
  <c r="D61" i="5"/>
  <c r="D37" i="5"/>
  <c r="D25" i="5"/>
  <c r="D5" i="5"/>
  <c r="D77" i="5"/>
  <c r="D57" i="5"/>
  <c r="D49" i="5"/>
  <c r="D29" i="5"/>
  <c r="D21" i="5"/>
  <c r="D82" i="5"/>
  <c r="D78" i="5"/>
  <c r="D74" i="5"/>
  <c r="D70" i="5"/>
  <c r="D66" i="5"/>
  <c r="D62" i="5"/>
  <c r="D58" i="5"/>
  <c r="D54" i="5"/>
  <c r="D50" i="5"/>
  <c r="D46" i="5"/>
  <c r="D42" i="5"/>
  <c r="D38" i="5"/>
  <c r="D34" i="5"/>
  <c r="D30" i="5"/>
  <c r="D26" i="5"/>
  <c r="D22" i="5"/>
  <c r="D18" i="5"/>
  <c r="D14" i="5"/>
  <c r="D10" i="5"/>
  <c r="D6" i="5"/>
  <c r="D2" i="5"/>
  <c r="D73" i="5"/>
  <c r="D45" i="5"/>
  <c r="D13" i="5"/>
  <c r="C81" i="5"/>
  <c r="C77" i="5"/>
  <c r="C73" i="5"/>
  <c r="C69" i="5"/>
  <c r="C65" i="5"/>
  <c r="C61" i="5"/>
  <c r="C57" i="5"/>
  <c r="C53" i="5"/>
  <c r="C49" i="5"/>
  <c r="C45" i="5"/>
  <c r="C41" i="5"/>
  <c r="C37" i="5"/>
  <c r="C33" i="5"/>
  <c r="C29" i="5"/>
  <c r="C25" i="5"/>
  <c r="C21" i="5"/>
  <c r="C17" i="5"/>
  <c r="C13" i="5"/>
  <c r="C9" i="5"/>
  <c r="C5" i="5"/>
  <c r="C66" i="5"/>
  <c r="C10" i="5"/>
  <c r="C62" i="5"/>
  <c r="C80" i="5"/>
  <c r="C76" i="5"/>
  <c r="C72" i="5"/>
  <c r="C68" i="5"/>
  <c r="C64" i="5"/>
  <c r="C60" i="5"/>
  <c r="C56" i="5"/>
  <c r="C52" i="5"/>
  <c r="C48" i="5"/>
  <c r="C44" i="5"/>
  <c r="C40" i="5"/>
  <c r="C36" i="5"/>
  <c r="C32" i="5"/>
  <c r="C28" i="5"/>
  <c r="C24" i="5"/>
  <c r="C20" i="5"/>
  <c r="C16" i="5"/>
  <c r="C12" i="5"/>
  <c r="C8" i="5"/>
  <c r="C4" i="5"/>
  <c r="C70" i="5"/>
  <c r="C38" i="5"/>
  <c r="C34" i="5"/>
  <c r="C22" i="5"/>
  <c r="C74" i="5"/>
  <c r="C46" i="5"/>
  <c r="C26" i="5"/>
  <c r="C2" i="5"/>
  <c r="C79" i="5"/>
  <c r="C75" i="5"/>
  <c r="C71" i="5"/>
  <c r="C67" i="5"/>
  <c r="C63" i="5"/>
  <c r="C59" i="5"/>
  <c r="C55" i="5"/>
  <c r="C51" i="5"/>
  <c r="C47" i="5"/>
  <c r="C43" i="5"/>
  <c r="C39" i="5"/>
  <c r="C35" i="5"/>
  <c r="C31" i="5"/>
  <c r="C27" i="5"/>
  <c r="C23" i="5"/>
  <c r="C19" i="5"/>
  <c r="C15" i="5"/>
  <c r="C11" i="5"/>
  <c r="C7" i="5"/>
  <c r="C3" i="5"/>
  <c r="C82" i="5"/>
  <c r="C50" i="5"/>
  <c r="C18" i="5"/>
  <c r="C78" i="5"/>
  <c r="C54" i="5"/>
  <c r="C42" i="5"/>
  <c r="C30" i="5"/>
  <c r="C14" i="5"/>
  <c r="C6" i="5"/>
  <c r="C17" i="7"/>
  <c r="I85" i="8"/>
  <c r="C8" i="8"/>
  <c r="C16" i="8"/>
  <c r="C24" i="8"/>
  <c r="C32" i="8"/>
  <c r="C40" i="8"/>
  <c r="C48" i="8"/>
  <c r="C56" i="8"/>
  <c r="C64" i="8"/>
  <c r="C72" i="8"/>
  <c r="C80" i="8"/>
  <c r="C7" i="8"/>
  <c r="C15" i="8"/>
  <c r="C23" i="8"/>
  <c r="C31" i="8"/>
  <c r="C39" i="8"/>
  <c r="C47" i="8"/>
  <c r="C55" i="8"/>
  <c r="C63" i="8"/>
  <c r="C71" i="8"/>
  <c r="C79" i="8"/>
  <c r="C81" i="8"/>
  <c r="C2" i="8"/>
  <c r="C12" i="8"/>
  <c r="C22" i="8"/>
  <c r="C34" i="8"/>
  <c r="C44" i="8"/>
  <c r="C54" i="8"/>
  <c r="C66" i="8"/>
  <c r="C76" i="8"/>
  <c r="C5" i="8"/>
  <c r="C17" i="8"/>
  <c r="C27" i="8"/>
  <c r="C37" i="8"/>
  <c r="C49" i="8"/>
  <c r="C59" i="8"/>
  <c r="C69" i="8"/>
  <c r="C83" i="8"/>
  <c r="C4" i="8"/>
  <c r="C14" i="8"/>
  <c r="C26" i="8"/>
  <c r="C36" i="8"/>
  <c r="C46" i="8"/>
  <c r="C58" i="8"/>
  <c r="C68" i="8"/>
  <c r="C78" i="8"/>
  <c r="C9" i="8"/>
  <c r="C19" i="8"/>
  <c r="C29" i="8"/>
  <c r="C41" i="8"/>
  <c r="C51" i="8"/>
  <c r="C61" i="8"/>
  <c r="C73" i="8"/>
  <c r="C6" i="8"/>
  <c r="C18" i="8"/>
  <c r="C28" i="8"/>
  <c r="C38" i="8"/>
  <c r="C50" i="8"/>
  <c r="C60" i="8"/>
  <c r="C70" i="8"/>
  <c r="C82" i="8"/>
  <c r="C11" i="8"/>
  <c r="C21" i="8"/>
  <c r="C33" i="8"/>
  <c r="C43" i="8"/>
  <c r="C53" i="8"/>
  <c r="C65" i="8"/>
  <c r="C75" i="8"/>
  <c r="C10" i="8"/>
  <c r="C20" i="8"/>
  <c r="C30" i="8"/>
  <c r="C42" i="8"/>
  <c r="C52" i="8"/>
  <c r="C62" i="8"/>
  <c r="C74" i="8"/>
  <c r="C3" i="8"/>
  <c r="C13" i="8"/>
  <c r="C25" i="8"/>
  <c r="C35" i="8"/>
  <c r="C45" i="8"/>
  <c r="C57" i="8"/>
  <c r="C67" i="8"/>
  <c r="C77" i="8"/>
  <c r="D90" i="9"/>
  <c r="D91" i="9"/>
  <c r="D92" i="9"/>
  <c r="F90" i="9"/>
  <c r="F92" i="9"/>
  <c r="F91" i="9"/>
  <c r="C92" i="9"/>
  <c r="C91" i="9"/>
  <c r="C90" i="9"/>
  <c r="J87" i="9"/>
  <c r="E91" i="9"/>
  <c r="E90" i="9"/>
  <c r="E92" i="9"/>
  <c r="F2" i="3"/>
  <c r="F10" i="3"/>
  <c r="F18" i="3"/>
  <c r="F26" i="3"/>
  <c r="F34" i="3"/>
  <c r="F42" i="3"/>
  <c r="F50" i="3"/>
  <c r="F58" i="3"/>
  <c r="F66" i="3"/>
  <c r="F13" i="3"/>
  <c r="F29" i="3"/>
  <c r="F45" i="3"/>
  <c r="F61" i="3"/>
  <c r="F11" i="3"/>
  <c r="F27" i="3"/>
  <c r="F43" i="3"/>
  <c r="F59" i="3"/>
  <c r="F4" i="3"/>
  <c r="F12" i="3"/>
  <c r="F20" i="3"/>
  <c r="F28" i="3"/>
  <c r="F36" i="3"/>
  <c r="F44" i="3"/>
  <c r="F52" i="3"/>
  <c r="F60" i="3"/>
  <c r="F68" i="3"/>
  <c r="F17" i="3"/>
  <c r="F33" i="3"/>
  <c r="F49" i="3"/>
  <c r="F65" i="3"/>
  <c r="F15" i="3"/>
  <c r="F31" i="3"/>
  <c r="F47" i="3"/>
  <c r="F63" i="3"/>
  <c r="F6" i="3"/>
  <c r="F14" i="3"/>
  <c r="F22" i="3"/>
  <c r="F30" i="3"/>
  <c r="F38" i="3"/>
  <c r="F46" i="3"/>
  <c r="F54" i="3"/>
  <c r="F62" i="3"/>
  <c r="F5" i="3"/>
  <c r="F21" i="3"/>
  <c r="F37" i="3"/>
  <c r="F53" i="3"/>
  <c r="F3" i="3"/>
  <c r="F19" i="3"/>
  <c r="F35" i="3"/>
  <c r="F51" i="3"/>
  <c r="F67" i="3"/>
  <c r="F8" i="3"/>
  <c r="F16" i="3"/>
  <c r="F24" i="3"/>
  <c r="F32" i="3"/>
  <c r="F40" i="3"/>
  <c r="F48" i="3"/>
  <c r="F56" i="3"/>
  <c r="F64" i="3"/>
  <c r="F9" i="3"/>
  <c r="F25" i="3"/>
  <c r="F41" i="3"/>
  <c r="F57" i="3"/>
  <c r="F7" i="3"/>
  <c r="F23" i="3"/>
  <c r="F39" i="3"/>
  <c r="F55" i="3"/>
  <c r="D3" i="8"/>
  <c r="D11" i="8"/>
  <c r="D19" i="8"/>
  <c r="D27" i="8"/>
  <c r="D35" i="8"/>
  <c r="D43" i="8"/>
  <c r="D51" i="8"/>
  <c r="D59" i="8"/>
  <c r="D67" i="8"/>
  <c r="D75" i="8"/>
  <c r="D12" i="8"/>
  <c r="D28" i="8"/>
  <c r="D44" i="8"/>
  <c r="D60" i="8"/>
  <c r="D76" i="8"/>
  <c r="D2" i="8"/>
  <c r="D18" i="8"/>
  <c r="D34" i="8"/>
  <c r="D50" i="8"/>
  <c r="D66" i="8"/>
  <c r="D80" i="8"/>
  <c r="D9" i="8"/>
  <c r="D21" i="8"/>
  <c r="D31" i="8"/>
  <c r="D41" i="8"/>
  <c r="D53" i="8"/>
  <c r="D63" i="8"/>
  <c r="D73" i="8"/>
  <c r="D16" i="8"/>
  <c r="D36" i="8"/>
  <c r="D56" i="8"/>
  <c r="D79" i="8"/>
  <c r="D10" i="8"/>
  <c r="D30" i="8"/>
  <c r="D54" i="8"/>
  <c r="D74" i="8"/>
  <c r="D13" i="8"/>
  <c r="D23" i="8"/>
  <c r="D33" i="8"/>
  <c r="D45" i="8"/>
  <c r="D55" i="8"/>
  <c r="D65" i="8"/>
  <c r="D77" i="8"/>
  <c r="D20" i="8"/>
  <c r="D40" i="8"/>
  <c r="D64" i="8"/>
  <c r="D81" i="8"/>
  <c r="D14" i="8"/>
  <c r="D38" i="8"/>
  <c r="D58" i="8"/>
  <c r="D78" i="8"/>
  <c r="D7" i="8"/>
  <c r="D29" i="8"/>
  <c r="D49" i="8"/>
  <c r="D71" i="8"/>
  <c r="D32" i="8"/>
  <c r="D72" i="8"/>
  <c r="D26" i="8"/>
  <c r="D70" i="8"/>
  <c r="D15" i="8"/>
  <c r="D37" i="8"/>
  <c r="D57" i="8"/>
  <c r="D4" i="8"/>
  <c r="D48" i="8"/>
  <c r="D83" i="8"/>
  <c r="D42" i="8"/>
  <c r="D82" i="8"/>
  <c r="D17" i="8"/>
  <c r="D39" i="8"/>
  <c r="D61" i="8"/>
  <c r="D8" i="8"/>
  <c r="D52" i="8"/>
  <c r="D6" i="8"/>
  <c r="D46" i="8"/>
  <c r="D5" i="8"/>
  <c r="D25" i="8"/>
  <c r="D47" i="8"/>
  <c r="D69" i="8"/>
  <c r="D24" i="8"/>
  <c r="D68" i="8"/>
  <c r="D22" i="8"/>
  <c r="D62" i="8"/>
  <c r="C6" i="3"/>
  <c r="C14" i="3"/>
  <c r="C22" i="3"/>
  <c r="C30" i="3"/>
  <c r="C38" i="3"/>
  <c r="C46" i="3"/>
  <c r="C54" i="3"/>
  <c r="C62" i="3"/>
  <c r="C3" i="3"/>
  <c r="C11" i="3"/>
  <c r="C19" i="3"/>
  <c r="C27" i="3"/>
  <c r="C35" i="3"/>
  <c r="C43" i="3"/>
  <c r="C51" i="3"/>
  <c r="C59" i="3"/>
  <c r="C67" i="3"/>
  <c r="R70" i="3"/>
  <c r="C8" i="3"/>
  <c r="C16" i="3"/>
  <c r="C24" i="3"/>
  <c r="C32" i="3"/>
  <c r="C40" i="3"/>
  <c r="C48" i="3"/>
  <c r="C56" i="3"/>
  <c r="C64" i="3"/>
  <c r="C5" i="3"/>
  <c r="C13" i="3"/>
  <c r="C21" i="3"/>
  <c r="C29" i="3"/>
  <c r="C37" i="3"/>
  <c r="C45" i="3"/>
  <c r="C53" i="3"/>
  <c r="C61" i="3"/>
  <c r="C2" i="3"/>
  <c r="C10" i="3"/>
  <c r="C18" i="3"/>
  <c r="C26" i="3"/>
  <c r="C34" i="3"/>
  <c r="C42" i="3"/>
  <c r="C50" i="3"/>
  <c r="C58" i="3"/>
  <c r="C66" i="3"/>
  <c r="C7" i="3"/>
  <c r="C15" i="3"/>
  <c r="C23" i="3"/>
  <c r="C31" i="3"/>
  <c r="C39" i="3"/>
  <c r="C47" i="3"/>
  <c r="C55" i="3"/>
  <c r="C63" i="3"/>
  <c r="C4" i="3"/>
  <c r="C12" i="3"/>
  <c r="C20" i="3"/>
  <c r="C28" i="3"/>
  <c r="C36" i="3"/>
  <c r="C44" i="3"/>
  <c r="C52" i="3"/>
  <c r="C60" i="3"/>
  <c r="C68" i="3"/>
  <c r="C9" i="3"/>
  <c r="C17" i="3"/>
  <c r="C25" i="3"/>
  <c r="C33" i="3"/>
  <c r="C41" i="3"/>
  <c r="C49" i="3"/>
  <c r="C57" i="3"/>
  <c r="C65" i="3"/>
  <c r="Q8" i="1"/>
  <c r="C8" i="6"/>
  <c r="G91" i="9"/>
  <c r="G92" i="9"/>
  <c r="G90" i="9"/>
  <c r="E7" i="3"/>
  <c r="E15" i="3"/>
  <c r="E23" i="3"/>
  <c r="E31" i="3"/>
  <c r="E39" i="3"/>
  <c r="E47" i="3"/>
  <c r="E55" i="3"/>
  <c r="E63" i="3"/>
  <c r="E10" i="3"/>
  <c r="E26" i="3"/>
  <c r="E42" i="3"/>
  <c r="E58" i="3"/>
  <c r="E4" i="3"/>
  <c r="E20" i="3"/>
  <c r="E36" i="3"/>
  <c r="E52" i="3"/>
  <c r="E67" i="3"/>
  <c r="E9" i="3"/>
  <c r="E17" i="3"/>
  <c r="E25" i="3"/>
  <c r="E33" i="3"/>
  <c r="E41" i="3"/>
  <c r="E49" i="3"/>
  <c r="E57" i="3"/>
  <c r="E65" i="3"/>
  <c r="E14" i="3"/>
  <c r="E30" i="3"/>
  <c r="E46" i="3"/>
  <c r="E62" i="3"/>
  <c r="E8" i="3"/>
  <c r="E24" i="3"/>
  <c r="E40" i="3"/>
  <c r="E56" i="3"/>
  <c r="E3" i="3"/>
  <c r="E11" i="3"/>
  <c r="E19" i="3"/>
  <c r="E27" i="3"/>
  <c r="E35" i="3"/>
  <c r="E43" i="3"/>
  <c r="E51" i="3"/>
  <c r="E59" i="3"/>
  <c r="E2" i="3"/>
  <c r="E18" i="3"/>
  <c r="E34" i="3"/>
  <c r="E50" i="3"/>
  <c r="E66" i="3"/>
  <c r="E12" i="3"/>
  <c r="E28" i="3"/>
  <c r="E44" i="3"/>
  <c r="E60" i="3"/>
  <c r="E5" i="3"/>
  <c r="E13" i="3"/>
  <c r="E21" i="3"/>
  <c r="E29" i="3"/>
  <c r="E37" i="3"/>
  <c r="E45" i="3"/>
  <c r="E53" i="3"/>
  <c r="E61" i="3"/>
  <c r="E6" i="3"/>
  <c r="E22" i="3"/>
  <c r="E38" i="3"/>
  <c r="E54" i="3"/>
  <c r="E68" i="3"/>
  <c r="E16" i="3"/>
  <c r="E32" i="3"/>
  <c r="E48" i="3"/>
  <c r="E64" i="3"/>
  <c r="G5" i="3"/>
  <c r="G13" i="3"/>
  <c r="G21" i="3"/>
  <c r="G29" i="3"/>
  <c r="G37" i="3"/>
  <c r="G45" i="3"/>
  <c r="G53" i="3"/>
  <c r="G61" i="3"/>
  <c r="G4" i="3"/>
  <c r="G20" i="3"/>
  <c r="G36" i="3"/>
  <c r="G52" i="3"/>
  <c r="G68" i="3"/>
  <c r="G14" i="3"/>
  <c r="G30" i="3"/>
  <c r="G46" i="3"/>
  <c r="G62" i="3"/>
  <c r="G7" i="3"/>
  <c r="G15" i="3"/>
  <c r="G23" i="3"/>
  <c r="G31" i="3"/>
  <c r="G39" i="3"/>
  <c r="G47" i="3"/>
  <c r="G55" i="3"/>
  <c r="G63" i="3"/>
  <c r="G8" i="3"/>
  <c r="G24" i="3"/>
  <c r="G40" i="3"/>
  <c r="G56" i="3"/>
  <c r="G2" i="3"/>
  <c r="G18" i="3"/>
  <c r="G34" i="3"/>
  <c r="G50" i="3"/>
  <c r="G66" i="3"/>
  <c r="G9" i="3"/>
  <c r="G17" i="3"/>
  <c r="G25" i="3"/>
  <c r="G33" i="3"/>
  <c r="G41" i="3"/>
  <c r="G49" i="3"/>
  <c r="G57" i="3"/>
  <c r="G65" i="3"/>
  <c r="G12" i="3"/>
  <c r="G28" i="3"/>
  <c r="G44" i="3"/>
  <c r="G60" i="3"/>
  <c r="G6" i="3"/>
  <c r="G22" i="3"/>
  <c r="G38" i="3"/>
  <c r="G54" i="3"/>
  <c r="G3" i="3"/>
  <c r="G11" i="3"/>
  <c r="G19" i="3"/>
  <c r="G27" i="3"/>
  <c r="G35" i="3"/>
  <c r="G43" i="3"/>
  <c r="G51" i="3"/>
  <c r="G59" i="3"/>
  <c r="G67" i="3"/>
  <c r="G16" i="3"/>
  <c r="G32" i="3"/>
  <c r="G48" i="3"/>
  <c r="G64" i="3"/>
  <c r="G10" i="3"/>
  <c r="G26" i="3"/>
  <c r="G42" i="3"/>
  <c r="G58" i="3"/>
  <c r="F7" i="8"/>
  <c r="F15" i="8"/>
  <c r="F23" i="8"/>
  <c r="F31" i="8"/>
  <c r="F39" i="8"/>
  <c r="F47" i="8"/>
  <c r="F55" i="8"/>
  <c r="F63" i="8"/>
  <c r="F71" i="8"/>
  <c r="F79" i="8"/>
  <c r="F8" i="8"/>
  <c r="F24" i="8"/>
  <c r="F40" i="8"/>
  <c r="F56" i="8"/>
  <c r="F72" i="8"/>
  <c r="F6" i="8"/>
  <c r="F22" i="8"/>
  <c r="F38" i="8"/>
  <c r="F54" i="8"/>
  <c r="F70" i="8"/>
  <c r="F3" i="8"/>
  <c r="F13" i="8"/>
  <c r="F25" i="8"/>
  <c r="F35" i="8"/>
  <c r="F45" i="8"/>
  <c r="F57" i="8"/>
  <c r="F67" i="8"/>
  <c r="F77" i="8"/>
  <c r="F12" i="8"/>
  <c r="F32" i="8"/>
  <c r="F52" i="8"/>
  <c r="F76" i="8"/>
  <c r="F14" i="8"/>
  <c r="F34" i="8"/>
  <c r="F58" i="8"/>
  <c r="F78" i="8"/>
  <c r="F5" i="8"/>
  <c r="F17" i="8"/>
  <c r="F27" i="8"/>
  <c r="F37" i="8"/>
  <c r="F49" i="8"/>
  <c r="F59" i="8"/>
  <c r="F69" i="8"/>
  <c r="F81" i="8"/>
  <c r="F16" i="8"/>
  <c r="F36" i="8"/>
  <c r="F60" i="8"/>
  <c r="F80" i="8"/>
  <c r="F18" i="8"/>
  <c r="F42" i="8"/>
  <c r="F62" i="8"/>
  <c r="F82" i="8"/>
  <c r="F21" i="8"/>
  <c r="F43" i="8"/>
  <c r="F65" i="8"/>
  <c r="F4" i="8"/>
  <c r="F48" i="8"/>
  <c r="F10" i="8"/>
  <c r="F50" i="8"/>
  <c r="F9" i="8"/>
  <c r="F29" i="8"/>
  <c r="F51" i="8"/>
  <c r="F73" i="8"/>
  <c r="F20" i="8"/>
  <c r="F64" i="8"/>
  <c r="F26" i="8"/>
  <c r="F66" i="8"/>
  <c r="F11" i="8"/>
  <c r="F33" i="8"/>
  <c r="F53" i="8"/>
  <c r="F75" i="8"/>
  <c r="F28" i="8"/>
  <c r="F68" i="8"/>
  <c r="F30" i="8"/>
  <c r="F74" i="8"/>
  <c r="F19" i="8"/>
  <c r="F41" i="8"/>
  <c r="F61" i="8"/>
  <c r="F83" i="8"/>
  <c r="F44" i="8"/>
  <c r="F2" i="8"/>
  <c r="F46" i="8"/>
  <c r="F75" i="5"/>
  <c r="F59" i="5"/>
  <c r="F43" i="5"/>
  <c r="F27" i="5"/>
  <c r="F11" i="5"/>
  <c r="F16" i="5"/>
  <c r="F32" i="5"/>
  <c r="F48" i="5"/>
  <c r="F64" i="5"/>
  <c r="F80" i="5"/>
  <c r="F20" i="5"/>
  <c r="F53" i="5"/>
  <c r="F14" i="5"/>
  <c r="F30" i="5"/>
  <c r="F46" i="5"/>
  <c r="F62" i="5"/>
  <c r="F78" i="5"/>
  <c r="F9" i="5"/>
  <c r="F41" i="5"/>
  <c r="F73" i="5"/>
  <c r="F67" i="5"/>
  <c r="F47" i="5"/>
  <c r="F23" i="5"/>
  <c r="F3" i="5"/>
  <c r="F4" i="5"/>
  <c r="F24" i="5"/>
  <c r="F44" i="5"/>
  <c r="F68" i="5"/>
  <c r="F5" i="5"/>
  <c r="F45" i="5"/>
  <c r="F6" i="5"/>
  <c r="F26" i="5"/>
  <c r="F50" i="5"/>
  <c r="F70" i="5"/>
  <c r="F17" i="5"/>
  <c r="F57" i="5"/>
  <c r="F2" i="5"/>
  <c r="F63" i="5"/>
  <c r="F39" i="5"/>
  <c r="F19" i="5"/>
  <c r="F8" i="5"/>
  <c r="F28" i="5"/>
  <c r="F52" i="5"/>
  <c r="F72" i="5"/>
  <c r="F51" i="5"/>
  <c r="F7" i="5"/>
  <c r="F40" i="5"/>
  <c r="F61" i="5"/>
  <c r="F18" i="5"/>
  <c r="F42" i="5"/>
  <c r="F74" i="5"/>
  <c r="F49" i="5"/>
  <c r="F79" i="5"/>
  <c r="F35" i="5"/>
  <c r="F12" i="5"/>
  <c r="F56" i="5"/>
  <c r="F13" i="5"/>
  <c r="F69" i="5"/>
  <c r="F22" i="5"/>
  <c r="F54" i="5"/>
  <c r="F82" i="5"/>
  <c r="F65" i="5"/>
  <c r="F71" i="5"/>
  <c r="F31" i="5"/>
  <c r="F21" i="5"/>
  <c r="F60" i="5"/>
  <c r="F29" i="5"/>
  <c r="F77" i="5"/>
  <c r="F34" i="5"/>
  <c r="F58" i="5"/>
  <c r="F25" i="5"/>
  <c r="F81" i="5"/>
  <c r="F55" i="5"/>
  <c r="F15" i="5"/>
  <c r="F36" i="5"/>
  <c r="F76" i="5"/>
  <c r="F37" i="5"/>
  <c r="F10" i="5"/>
  <c r="F38" i="5"/>
  <c r="F66" i="5"/>
  <c r="F33" i="5"/>
  <c r="E7" i="8"/>
  <c r="E15" i="8"/>
  <c r="E23" i="8"/>
  <c r="E31" i="8"/>
  <c r="E39" i="8"/>
  <c r="E47" i="8"/>
  <c r="E55" i="8"/>
  <c r="E63" i="8"/>
  <c r="E71" i="8"/>
  <c r="E79" i="8"/>
  <c r="E6" i="8"/>
  <c r="E22" i="8"/>
  <c r="E38" i="8"/>
  <c r="E54" i="8"/>
  <c r="E70" i="8"/>
  <c r="E4" i="8"/>
  <c r="E20" i="8"/>
  <c r="E36" i="8"/>
  <c r="E52" i="8"/>
  <c r="E68" i="8"/>
  <c r="E3" i="8"/>
  <c r="E13" i="8"/>
  <c r="E25" i="8"/>
  <c r="E35" i="8"/>
  <c r="E45" i="8"/>
  <c r="E57" i="8"/>
  <c r="E67" i="8"/>
  <c r="E77" i="8"/>
  <c r="E10" i="8"/>
  <c r="E30" i="8"/>
  <c r="E50" i="8"/>
  <c r="E74" i="8"/>
  <c r="E12" i="8"/>
  <c r="E32" i="8"/>
  <c r="E56" i="8"/>
  <c r="E76" i="8"/>
  <c r="E5" i="8"/>
  <c r="E17" i="8"/>
  <c r="E27" i="8"/>
  <c r="E37" i="8"/>
  <c r="E49" i="8"/>
  <c r="E59" i="8"/>
  <c r="E69" i="8"/>
  <c r="E81" i="8"/>
  <c r="E14" i="8"/>
  <c r="E34" i="8"/>
  <c r="E58" i="8"/>
  <c r="E78" i="8"/>
  <c r="E16" i="8"/>
  <c r="E40" i="8"/>
  <c r="E60" i="8"/>
  <c r="E80" i="8"/>
  <c r="E21" i="8"/>
  <c r="E43" i="8"/>
  <c r="E65" i="8"/>
  <c r="E2" i="8"/>
  <c r="E46" i="8"/>
  <c r="E8" i="8"/>
  <c r="E48" i="8"/>
  <c r="E9" i="8"/>
  <c r="E29" i="8"/>
  <c r="E51" i="8"/>
  <c r="E73" i="8"/>
  <c r="E18" i="8"/>
  <c r="E62" i="8"/>
  <c r="E24" i="8"/>
  <c r="E64" i="8"/>
  <c r="E11" i="8"/>
  <c r="E33" i="8"/>
  <c r="E53" i="8"/>
  <c r="E75" i="8"/>
  <c r="E26" i="8"/>
  <c r="E66" i="8"/>
  <c r="E28" i="8"/>
  <c r="E72" i="8"/>
  <c r="E19" i="8"/>
  <c r="E41" i="8"/>
  <c r="E61" i="8"/>
  <c r="E83" i="8"/>
  <c r="E42" i="8"/>
  <c r="E82" i="8"/>
  <c r="E44" i="8"/>
  <c r="R84" i="5"/>
  <c r="Q13" i="1"/>
  <c r="C13" i="6"/>
  <c r="E69" i="5"/>
  <c r="E68" i="5"/>
  <c r="E4" i="5"/>
  <c r="E49" i="5"/>
  <c r="E17" i="5"/>
  <c r="E44" i="5"/>
  <c r="E29" i="5"/>
  <c r="E3" i="5"/>
  <c r="E78" i="5"/>
  <c r="E62" i="5"/>
  <c r="E46" i="5"/>
  <c r="E30" i="5"/>
  <c r="E14" i="5"/>
  <c r="E15" i="5"/>
  <c r="E31" i="5"/>
  <c r="E47" i="5"/>
  <c r="E63" i="5"/>
  <c r="E24" i="5"/>
  <c r="E56" i="5"/>
  <c r="E20" i="5"/>
  <c r="E5" i="5"/>
  <c r="E21" i="5"/>
  <c r="E41" i="5"/>
  <c r="E76" i="5"/>
  <c r="E45" i="5"/>
  <c r="E81" i="5"/>
  <c r="E66" i="5"/>
  <c r="E42" i="5"/>
  <c r="E22" i="5"/>
  <c r="E2" i="5"/>
  <c r="E11" i="5"/>
  <c r="E35" i="5"/>
  <c r="E55" i="5"/>
  <c r="E77" i="5"/>
  <c r="E16" i="5"/>
  <c r="E64" i="5"/>
  <c r="E53" i="5"/>
  <c r="E37" i="5"/>
  <c r="E73" i="5"/>
  <c r="E33" i="5"/>
  <c r="E60" i="5"/>
  <c r="E61" i="5"/>
  <c r="E36" i="5"/>
  <c r="E9" i="5"/>
  <c r="E70" i="5"/>
  <c r="E38" i="5"/>
  <c r="E10" i="5"/>
  <c r="E23" i="5"/>
  <c r="E51" i="5"/>
  <c r="E32" i="5"/>
  <c r="E80" i="5"/>
  <c r="E65" i="5"/>
  <c r="E28" i="5"/>
  <c r="E13" i="5"/>
  <c r="E75" i="5"/>
  <c r="E58" i="5"/>
  <c r="E34" i="5"/>
  <c r="E6" i="5"/>
  <c r="E27" i="5"/>
  <c r="E59" i="5"/>
  <c r="E40" i="5"/>
  <c r="E57" i="5"/>
  <c r="E12" i="5"/>
  <c r="E79" i="5"/>
  <c r="E82" i="5"/>
  <c r="E54" i="5"/>
  <c r="E26" i="5"/>
  <c r="E7" i="5"/>
  <c r="E39" i="5"/>
  <c r="E67" i="5"/>
  <c r="E48" i="5"/>
  <c r="E52" i="5"/>
  <c r="E25" i="5"/>
  <c r="E74" i="5"/>
  <c r="E50" i="5"/>
  <c r="E18" i="5"/>
  <c r="E19" i="5"/>
  <c r="E43" i="5"/>
  <c r="E71" i="5"/>
  <c r="E8" i="5"/>
  <c r="E72" i="5"/>
  <c r="I15" i="10"/>
  <c r="D5" i="3"/>
  <c r="D13" i="3"/>
  <c r="D21" i="3"/>
  <c r="D29" i="3"/>
  <c r="D37" i="3"/>
  <c r="D45" i="3"/>
  <c r="D53" i="3"/>
  <c r="D61" i="3"/>
  <c r="D2" i="3"/>
  <c r="D10" i="3"/>
  <c r="D18" i="3"/>
  <c r="D26" i="3"/>
  <c r="D34" i="3"/>
  <c r="D42" i="3"/>
  <c r="D50" i="3"/>
  <c r="D58" i="3"/>
  <c r="D66" i="3"/>
  <c r="D7" i="3"/>
  <c r="D15" i="3"/>
  <c r="D23" i="3"/>
  <c r="D31" i="3"/>
  <c r="D39" i="3"/>
  <c r="D47" i="3"/>
  <c r="D55" i="3"/>
  <c r="D63" i="3"/>
  <c r="D4" i="3"/>
  <c r="D12" i="3"/>
  <c r="D20" i="3"/>
  <c r="D28" i="3"/>
  <c r="D36" i="3"/>
  <c r="D44" i="3"/>
  <c r="D52" i="3"/>
  <c r="D60" i="3"/>
  <c r="D68" i="3"/>
  <c r="D9" i="3"/>
  <c r="D17" i="3"/>
  <c r="D25" i="3"/>
  <c r="D33" i="3"/>
  <c r="D41" i="3"/>
  <c r="D49" i="3"/>
  <c r="D57" i="3"/>
  <c r="D65" i="3"/>
  <c r="D6" i="3"/>
  <c r="D14" i="3"/>
  <c r="D22" i="3"/>
  <c r="D30" i="3"/>
  <c r="D38" i="3"/>
  <c r="D46" i="3"/>
  <c r="D54" i="3"/>
  <c r="D62" i="3"/>
  <c r="D3" i="3"/>
  <c r="D11" i="3"/>
  <c r="D19" i="3"/>
  <c r="D27" i="3"/>
  <c r="D35" i="3"/>
  <c r="D43" i="3"/>
  <c r="D51" i="3"/>
  <c r="D59" i="3"/>
  <c r="D67" i="3"/>
  <c r="D8" i="3"/>
  <c r="D16" i="3"/>
  <c r="D24" i="3"/>
  <c r="D32" i="3"/>
  <c r="D40" i="3"/>
  <c r="D48" i="3"/>
  <c r="D56" i="3"/>
  <c r="D64" i="3"/>
  <c r="G36" i="5"/>
  <c r="G67" i="5"/>
  <c r="G42" i="5"/>
  <c r="G60" i="5"/>
  <c r="G65" i="5"/>
  <c r="G21" i="5"/>
  <c r="G3" i="5"/>
  <c r="G19" i="5"/>
  <c r="G35" i="5"/>
  <c r="G51" i="5"/>
  <c r="G5" i="5"/>
  <c r="G37" i="5"/>
  <c r="G9" i="5"/>
  <c r="G80" i="5"/>
  <c r="G62" i="5"/>
  <c r="G30" i="5"/>
  <c r="G24" i="5"/>
  <c r="G56" i="5"/>
  <c r="G77" i="5"/>
  <c r="G50" i="5"/>
  <c r="G70" i="5"/>
  <c r="G44" i="5"/>
  <c r="G58" i="5"/>
  <c r="G23" i="5"/>
  <c r="G43" i="5"/>
  <c r="G63" i="5"/>
  <c r="G45" i="5"/>
  <c r="G41" i="5"/>
  <c r="G68" i="5"/>
  <c r="G22" i="5"/>
  <c r="G16" i="5"/>
  <c r="G64" i="5"/>
  <c r="G34" i="5"/>
  <c r="G10" i="5"/>
  <c r="G28" i="5"/>
  <c r="G26" i="5"/>
  <c r="G52" i="5"/>
  <c r="G71" i="5"/>
  <c r="G75" i="5"/>
  <c r="G15" i="5"/>
  <c r="G47" i="5"/>
  <c r="G20" i="5"/>
  <c r="G25" i="5"/>
  <c r="G54" i="5"/>
  <c r="G6" i="5"/>
  <c r="G8" i="5"/>
  <c r="G69" i="5"/>
  <c r="G74" i="5"/>
  <c r="G12" i="5"/>
  <c r="G27" i="5"/>
  <c r="G55" i="5"/>
  <c r="G29" i="5"/>
  <c r="G57" i="5"/>
  <c r="G46" i="5"/>
  <c r="G32" i="5"/>
  <c r="G73" i="5"/>
  <c r="G2" i="5"/>
  <c r="G82" i="5"/>
  <c r="G49" i="5"/>
  <c r="G4" i="5"/>
  <c r="G33" i="5"/>
  <c r="G78" i="5"/>
  <c r="G7" i="5"/>
  <c r="G31" i="5"/>
  <c r="G59" i="5"/>
  <c r="G53" i="5"/>
  <c r="G76" i="5"/>
  <c r="G38" i="5"/>
  <c r="G40" i="5"/>
  <c r="G81" i="5"/>
  <c r="G18" i="5"/>
  <c r="G17" i="5"/>
  <c r="G79" i="5"/>
  <c r="G11" i="5"/>
  <c r="G39" i="5"/>
  <c r="G13" i="5"/>
  <c r="G61" i="5"/>
  <c r="G72" i="5"/>
  <c r="G14" i="5"/>
  <c r="G48" i="5"/>
  <c r="G66" i="5"/>
  <c r="G2" i="8"/>
  <c r="G10" i="8"/>
  <c r="G18" i="8"/>
  <c r="G26" i="8"/>
  <c r="G34" i="8"/>
  <c r="G42" i="8"/>
  <c r="G50" i="8"/>
  <c r="G58" i="8"/>
  <c r="G66" i="8"/>
  <c r="G13" i="8"/>
  <c r="G29" i="8"/>
  <c r="G45" i="8"/>
  <c r="G61" i="8"/>
  <c r="G73" i="8"/>
  <c r="G81" i="8"/>
  <c r="G23" i="8"/>
  <c r="G55" i="8"/>
  <c r="G78" i="8"/>
  <c r="G19" i="8"/>
  <c r="G51" i="8"/>
  <c r="G76" i="8"/>
  <c r="G6" i="8"/>
  <c r="G16" i="8"/>
  <c r="G28" i="8"/>
  <c r="G38" i="8"/>
  <c r="G48" i="8"/>
  <c r="G60" i="8"/>
  <c r="G5" i="8"/>
  <c r="G25" i="8"/>
  <c r="G49" i="8"/>
  <c r="G69" i="8"/>
  <c r="G79" i="8"/>
  <c r="G31" i="8"/>
  <c r="G70" i="8"/>
  <c r="G11" i="8"/>
  <c r="G59" i="8"/>
  <c r="G8" i="8"/>
  <c r="G20" i="8"/>
  <c r="G30" i="8"/>
  <c r="G40" i="8"/>
  <c r="G52" i="8"/>
  <c r="G62" i="8"/>
  <c r="G9" i="8"/>
  <c r="G33" i="8"/>
  <c r="G53" i="8"/>
  <c r="G71" i="8"/>
  <c r="G83" i="8"/>
  <c r="G39" i="8"/>
  <c r="G74" i="8"/>
  <c r="G27" i="8"/>
  <c r="G67" i="8"/>
  <c r="G14" i="8"/>
  <c r="G36" i="8"/>
  <c r="G56" i="8"/>
  <c r="G21" i="8"/>
  <c r="G65" i="8"/>
  <c r="G15" i="8"/>
  <c r="G3" i="8"/>
  <c r="G80" i="8"/>
  <c r="G22" i="8"/>
  <c r="G44" i="8"/>
  <c r="G64" i="8"/>
  <c r="G37" i="8"/>
  <c r="G75" i="8"/>
  <c r="G47" i="8"/>
  <c r="G35" i="8"/>
  <c r="G4" i="8"/>
  <c r="G24" i="8"/>
  <c r="G46" i="8"/>
  <c r="G68" i="8"/>
  <c r="G41" i="8"/>
  <c r="G77" i="8"/>
  <c r="G63" i="8"/>
  <c r="G43" i="8"/>
  <c r="G12" i="8"/>
  <c r="G32" i="8"/>
  <c r="G54" i="8"/>
  <c r="G17" i="8"/>
  <c r="G57" i="8"/>
  <c r="G7" i="8"/>
  <c r="G82" i="8"/>
  <c r="G72" i="8"/>
  <c r="C9" i="9"/>
  <c r="J9" i="9" s="1"/>
  <c r="C69" i="9"/>
  <c r="J69" i="9" s="1"/>
  <c r="C53" i="9"/>
  <c r="J53" i="9" s="1"/>
  <c r="C37" i="9"/>
  <c r="J37" i="9" s="1"/>
  <c r="C21" i="9"/>
  <c r="J21" i="9" s="1"/>
  <c r="C81" i="9"/>
  <c r="J81" i="9" s="1"/>
  <c r="C61" i="9"/>
  <c r="J61" i="9" s="1"/>
  <c r="C41" i="9"/>
  <c r="J41" i="9" s="1"/>
  <c r="C13" i="9"/>
  <c r="J13" i="9" s="1"/>
  <c r="C75" i="9"/>
  <c r="J75" i="9" s="1"/>
  <c r="C59" i="9"/>
  <c r="J59" i="9" s="1"/>
  <c r="C43" i="9"/>
  <c r="J43" i="9" s="1"/>
  <c r="C27" i="9"/>
  <c r="J27" i="9" s="1"/>
  <c r="C2" i="9"/>
  <c r="J2" i="9" s="1"/>
  <c r="C10" i="9"/>
  <c r="J10" i="9" s="1"/>
  <c r="C18" i="9"/>
  <c r="J18" i="9" s="1"/>
  <c r="C82" i="9"/>
  <c r="J82" i="9" s="1"/>
  <c r="C74" i="9"/>
  <c r="J74" i="9" s="1"/>
  <c r="C66" i="9"/>
  <c r="J66" i="9" s="1"/>
  <c r="C58" i="9"/>
  <c r="J58" i="9" s="1"/>
  <c r="C50" i="9"/>
  <c r="J50" i="9" s="1"/>
  <c r="C42" i="9"/>
  <c r="J42" i="9" s="1"/>
  <c r="C34" i="9"/>
  <c r="J34" i="9" s="1"/>
  <c r="C26" i="9"/>
  <c r="J26" i="9" s="1"/>
  <c r="C15" i="9"/>
  <c r="J15" i="9" s="1"/>
  <c r="C77" i="9"/>
  <c r="J77" i="9" s="1"/>
  <c r="C49" i="9"/>
  <c r="J49" i="9" s="1"/>
  <c r="C25" i="9"/>
  <c r="J25" i="9" s="1"/>
  <c r="C79" i="9"/>
  <c r="J79" i="9" s="1"/>
  <c r="C55" i="9"/>
  <c r="J55" i="9" s="1"/>
  <c r="C35" i="9"/>
  <c r="J35" i="9" s="1"/>
  <c r="C8" i="9"/>
  <c r="J8" i="9" s="1"/>
  <c r="C20" i="9"/>
  <c r="J20" i="9" s="1"/>
  <c r="C76" i="9"/>
  <c r="J76" i="9" s="1"/>
  <c r="C64" i="9"/>
  <c r="J64" i="9" s="1"/>
  <c r="C54" i="9"/>
  <c r="J54" i="9" s="1"/>
  <c r="C44" i="9"/>
  <c r="J44" i="9" s="1"/>
  <c r="C32" i="9"/>
  <c r="J32" i="9" s="1"/>
  <c r="C22" i="9"/>
  <c r="J22" i="9" s="1"/>
  <c r="C3" i="9"/>
  <c r="J3" i="9" s="1"/>
  <c r="C73" i="9"/>
  <c r="J73" i="9" s="1"/>
  <c r="C45" i="9"/>
  <c r="J45" i="9" s="1"/>
  <c r="C5" i="9"/>
  <c r="J5" i="9" s="1"/>
  <c r="C71" i="9"/>
  <c r="J71" i="9" s="1"/>
  <c r="C51" i="9"/>
  <c r="J51" i="9" s="1"/>
  <c r="C31" i="9"/>
  <c r="J31" i="9" s="1"/>
  <c r="C12" i="9"/>
  <c r="J12" i="9" s="1"/>
  <c r="C72" i="9"/>
  <c r="J72" i="9" s="1"/>
  <c r="C62" i="9"/>
  <c r="J62" i="9" s="1"/>
  <c r="C52" i="9"/>
  <c r="J52" i="9" s="1"/>
  <c r="C40" i="9"/>
  <c r="J40" i="9" s="1"/>
  <c r="C30" i="9"/>
  <c r="J30" i="9" s="1"/>
  <c r="C19" i="9"/>
  <c r="J19" i="9" s="1"/>
  <c r="C65" i="9"/>
  <c r="J65" i="9" s="1"/>
  <c r="C33" i="9"/>
  <c r="J33" i="9" s="1"/>
  <c r="C67" i="9"/>
  <c r="J67" i="9" s="1"/>
  <c r="C47" i="9"/>
  <c r="J47" i="9" s="1"/>
  <c r="C23" i="9"/>
  <c r="J23" i="9" s="1"/>
  <c r="C4" i="9"/>
  <c r="J4" i="9" s="1"/>
  <c r="C14" i="9"/>
  <c r="J14" i="9" s="1"/>
  <c r="C80" i="9"/>
  <c r="J80" i="9" s="1"/>
  <c r="C70" i="9"/>
  <c r="J70" i="9" s="1"/>
  <c r="C60" i="9"/>
  <c r="J60" i="9" s="1"/>
  <c r="C48" i="9"/>
  <c r="J48" i="9" s="1"/>
  <c r="C38" i="9"/>
  <c r="J38" i="9" s="1"/>
  <c r="C28" i="9"/>
  <c r="J28" i="9" s="1"/>
  <c r="C11" i="9"/>
  <c r="J11" i="9" s="1"/>
  <c r="C57" i="9"/>
  <c r="J57" i="9" s="1"/>
  <c r="C29" i="9"/>
  <c r="J29" i="9" s="1"/>
  <c r="C63" i="9"/>
  <c r="J63" i="9" s="1"/>
  <c r="C39" i="9"/>
  <c r="J39" i="9" s="1"/>
  <c r="C17" i="9"/>
  <c r="J17" i="9" s="1"/>
  <c r="C6" i="9"/>
  <c r="J6" i="9" s="1"/>
  <c r="C16" i="9"/>
  <c r="J16" i="9" s="1"/>
  <c r="C78" i="9"/>
  <c r="J78" i="9" s="1"/>
  <c r="C68" i="9"/>
  <c r="J68" i="9" s="1"/>
  <c r="C56" i="9"/>
  <c r="J56" i="9" s="1"/>
  <c r="C46" i="9"/>
  <c r="J46" i="9" s="1"/>
  <c r="C36" i="9"/>
  <c r="J36" i="9" s="1"/>
  <c r="C24" i="9"/>
  <c r="J24" i="9" s="1"/>
  <c r="C7" i="9"/>
  <c r="J7" i="9" s="1"/>
  <c r="J84" i="9"/>
  <c r="X17" i="1"/>
  <c r="I3" i="1"/>
  <c r="I5" i="1"/>
  <c r="I2" i="1"/>
  <c r="R2" i="1" s="1"/>
  <c r="C2" i="10" s="1"/>
  <c r="I6" i="1"/>
  <c r="P13" i="1"/>
  <c r="T17" i="1"/>
  <c r="O13" i="1"/>
  <c r="R17" i="1"/>
  <c r="N17" i="1"/>
  <c r="P8" i="1"/>
  <c r="O8" i="1"/>
  <c r="Y17" i="1" l="1"/>
  <c r="I12" i="8"/>
  <c r="I56" i="8"/>
  <c r="R58" i="5"/>
  <c r="R18" i="5"/>
  <c r="R72" i="5"/>
  <c r="R64" i="3"/>
  <c r="R80" i="5"/>
  <c r="R39" i="5"/>
  <c r="R22" i="5"/>
  <c r="R75" i="5"/>
  <c r="R11" i="5"/>
  <c r="R7" i="5"/>
  <c r="I3" i="8"/>
  <c r="I70" i="8"/>
  <c r="I61" i="8"/>
  <c r="I71" i="8"/>
  <c r="R20" i="5"/>
  <c r="R24" i="3"/>
  <c r="I49" i="8"/>
  <c r="I44" i="8"/>
  <c r="P17" i="1"/>
  <c r="C17" i="6"/>
  <c r="D2" i="6"/>
  <c r="J2" i="6" s="1"/>
  <c r="C70" i="2" s="1"/>
  <c r="E2" i="10"/>
  <c r="D2" i="10"/>
  <c r="R15" i="5"/>
  <c r="R32" i="5"/>
  <c r="R35" i="5"/>
  <c r="R21" i="5"/>
  <c r="R13" i="5"/>
  <c r="R12" i="5"/>
  <c r="R47" i="5"/>
  <c r="R6" i="5"/>
  <c r="R62" i="5"/>
  <c r="R67" i="5"/>
  <c r="R52" i="5"/>
  <c r="R2" i="5"/>
  <c r="R68" i="5"/>
  <c r="R49" i="3"/>
  <c r="R17" i="3"/>
  <c r="R52" i="3"/>
  <c r="R20" i="3"/>
  <c r="R55" i="3"/>
  <c r="R23" i="3"/>
  <c r="R58" i="3"/>
  <c r="R26" i="3"/>
  <c r="R61" i="3"/>
  <c r="R29" i="3"/>
  <c r="R32" i="3"/>
  <c r="R43" i="3"/>
  <c r="R11" i="3"/>
  <c r="R46" i="3"/>
  <c r="R14" i="3"/>
  <c r="I45" i="8"/>
  <c r="I42" i="8"/>
  <c r="I75" i="8"/>
  <c r="I33" i="8"/>
  <c r="I28" i="8"/>
  <c r="I19" i="8"/>
  <c r="I58" i="8"/>
  <c r="I14" i="8"/>
  <c r="I59" i="8"/>
  <c r="I17" i="8"/>
  <c r="I54" i="8"/>
  <c r="I39" i="8"/>
  <c r="I7" i="8"/>
  <c r="I24" i="8"/>
  <c r="E5" i="10"/>
  <c r="F92" i="4" s="1"/>
  <c r="D5" i="10"/>
  <c r="D5" i="6"/>
  <c r="J5" i="6" s="1"/>
  <c r="F70" i="2" s="1"/>
  <c r="R48" i="5"/>
  <c r="R33" i="5"/>
  <c r="R50" i="5"/>
  <c r="R14" i="5"/>
  <c r="R63" i="5"/>
  <c r="R28" i="5"/>
  <c r="R27" i="5"/>
  <c r="R10" i="5"/>
  <c r="R4" i="5"/>
  <c r="R57" i="5"/>
  <c r="R5" i="5"/>
  <c r="R24" i="5"/>
  <c r="R66" i="5"/>
  <c r="R69" i="5"/>
  <c r="R9" i="5"/>
  <c r="R54" i="5"/>
  <c r="R59" i="5"/>
  <c r="R23" i="5"/>
  <c r="R45" i="5"/>
  <c r="R8" i="5"/>
  <c r="R41" i="3"/>
  <c r="R9" i="3"/>
  <c r="R44" i="3"/>
  <c r="R12" i="3"/>
  <c r="R47" i="3"/>
  <c r="R15" i="3"/>
  <c r="R50" i="3"/>
  <c r="R18" i="3"/>
  <c r="R53" i="3"/>
  <c r="R21" i="3"/>
  <c r="R56" i="3"/>
  <c r="R67" i="3"/>
  <c r="R35" i="3"/>
  <c r="R3" i="3"/>
  <c r="R38" i="3"/>
  <c r="R6" i="3"/>
  <c r="I77" i="8"/>
  <c r="I35" i="8"/>
  <c r="I74" i="8"/>
  <c r="I30" i="8"/>
  <c r="I65" i="8"/>
  <c r="I21" i="8"/>
  <c r="I60" i="8"/>
  <c r="I18" i="8"/>
  <c r="I51" i="8"/>
  <c r="I9" i="8"/>
  <c r="I46" i="8"/>
  <c r="I4" i="8"/>
  <c r="I5" i="8"/>
  <c r="I2" i="8"/>
  <c r="I63" i="8"/>
  <c r="I31" i="8"/>
  <c r="I80" i="8"/>
  <c r="I48" i="8"/>
  <c r="I16" i="8"/>
  <c r="D6" i="6"/>
  <c r="J6" i="6" s="1"/>
  <c r="G70" i="2" s="1"/>
  <c r="E6" i="10"/>
  <c r="G92" i="4" s="1"/>
  <c r="D6" i="10"/>
  <c r="D3" i="10"/>
  <c r="D3" i="6"/>
  <c r="J3" i="6" s="1"/>
  <c r="D70" i="2" s="1"/>
  <c r="E3" i="10"/>
  <c r="D92" i="4" s="1"/>
  <c r="R41" i="5"/>
  <c r="R44" i="5"/>
  <c r="R55" i="5"/>
  <c r="R42" i="5"/>
  <c r="R3" i="5"/>
  <c r="R73" i="5"/>
  <c r="R51" i="5"/>
  <c r="R40" i="5"/>
  <c r="R38" i="5"/>
  <c r="R81" i="5"/>
  <c r="R43" i="5"/>
  <c r="R78" i="5"/>
  <c r="R25" i="5"/>
  <c r="R64" i="5"/>
  <c r="R61" i="5"/>
  <c r="R82" i="5"/>
  <c r="R46" i="5"/>
  <c r="R19" i="5"/>
  <c r="R71" i="5"/>
  <c r="R65" i="3"/>
  <c r="R33" i="3"/>
  <c r="R68" i="3"/>
  <c r="R36" i="3"/>
  <c r="R4" i="3"/>
  <c r="R39" i="3"/>
  <c r="R7" i="3"/>
  <c r="R42" i="3"/>
  <c r="R10" i="3"/>
  <c r="R45" i="3"/>
  <c r="R13" i="3"/>
  <c r="R48" i="3"/>
  <c r="R16" i="3"/>
  <c r="R59" i="3"/>
  <c r="R27" i="3"/>
  <c r="R62" i="3"/>
  <c r="R30" i="3"/>
  <c r="J92" i="9"/>
  <c r="J91" i="9"/>
  <c r="J90" i="9"/>
  <c r="I67" i="8"/>
  <c r="I25" i="8"/>
  <c r="I62" i="8"/>
  <c r="I20" i="8"/>
  <c r="I53" i="8"/>
  <c r="I11" i="8"/>
  <c r="I50" i="8"/>
  <c r="I6" i="8"/>
  <c r="I41" i="8"/>
  <c r="I78" i="8"/>
  <c r="I36" i="8"/>
  <c r="I83" i="8"/>
  <c r="I37" i="8"/>
  <c r="I76" i="8"/>
  <c r="I34" i="8"/>
  <c r="I81" i="8"/>
  <c r="I55" i="8"/>
  <c r="I23" i="8"/>
  <c r="I72" i="8"/>
  <c r="I40" i="8"/>
  <c r="I8" i="8"/>
  <c r="E4" i="10"/>
  <c r="E92" i="4" s="1"/>
  <c r="D4" i="10"/>
  <c r="D4" i="6"/>
  <c r="J4" i="6" s="1"/>
  <c r="E70" i="2" s="1"/>
  <c r="R30" i="5"/>
  <c r="R31" i="5"/>
  <c r="R56" i="5"/>
  <c r="R49" i="5"/>
  <c r="R17" i="5"/>
  <c r="R26" i="5"/>
  <c r="R53" i="5"/>
  <c r="R37" i="5"/>
  <c r="R36" i="5"/>
  <c r="R16" i="5"/>
  <c r="R76" i="5"/>
  <c r="R65" i="5"/>
  <c r="R29" i="5"/>
  <c r="R70" i="5"/>
  <c r="R77" i="5"/>
  <c r="R60" i="5"/>
  <c r="R74" i="5"/>
  <c r="R34" i="5"/>
  <c r="R79" i="5"/>
  <c r="R57" i="3"/>
  <c r="R25" i="3"/>
  <c r="R60" i="3"/>
  <c r="R28" i="3"/>
  <c r="R63" i="3"/>
  <c r="R31" i="3"/>
  <c r="R66" i="3"/>
  <c r="R34" i="3"/>
  <c r="R2" i="3"/>
  <c r="R37" i="3"/>
  <c r="R5" i="3"/>
  <c r="R40" i="3"/>
  <c r="R8" i="3"/>
  <c r="R51" i="3"/>
  <c r="R19" i="3"/>
  <c r="R54" i="3"/>
  <c r="R22" i="3"/>
  <c r="I57" i="8"/>
  <c r="I13" i="8"/>
  <c r="I52" i="8"/>
  <c r="I10" i="8"/>
  <c r="I43" i="8"/>
  <c r="I82" i="8"/>
  <c r="I38" i="8"/>
  <c r="I73" i="8"/>
  <c r="I29" i="8"/>
  <c r="I68" i="8"/>
  <c r="I26" i="8"/>
  <c r="I69" i="8"/>
  <c r="I27" i="8"/>
  <c r="I66" i="8"/>
  <c r="I22" i="8"/>
  <c r="I79" i="8"/>
  <c r="I47" i="8"/>
  <c r="I15" i="8"/>
  <c r="I64" i="8"/>
  <c r="I32" i="8"/>
  <c r="X6" i="1"/>
  <c r="T6" i="1"/>
  <c r="R6" i="1"/>
  <c r="C6" i="10" s="1"/>
  <c r="N6" i="1"/>
  <c r="C6" i="6" s="1"/>
  <c r="X2" i="1"/>
  <c r="T2" i="1"/>
  <c r="T3" i="1"/>
  <c r="X3" i="1"/>
  <c r="R3" i="1"/>
  <c r="C3" i="10" s="1"/>
  <c r="N3" i="1"/>
  <c r="C3" i="6" s="1"/>
  <c r="N2" i="1"/>
  <c r="X4" i="1"/>
  <c r="T4" i="1"/>
  <c r="R4" i="1"/>
  <c r="C4" i="10" s="1"/>
  <c r="N4" i="1"/>
  <c r="C4" i="6" s="1"/>
  <c r="T5" i="1"/>
  <c r="X5" i="1"/>
  <c r="R5" i="1"/>
  <c r="C5" i="10" s="1"/>
  <c r="N5" i="1"/>
  <c r="C5" i="6" s="1"/>
  <c r="Q17" i="1"/>
  <c r="O17" i="1"/>
  <c r="Y4" i="1" l="1"/>
  <c r="C15" i="10"/>
  <c r="D6" i="4"/>
  <c r="D22" i="4"/>
  <c r="D38" i="4"/>
  <c r="D54" i="4"/>
  <c r="D70" i="4"/>
  <c r="D86" i="4"/>
  <c r="D11" i="4"/>
  <c r="D27" i="4"/>
  <c r="D43" i="4"/>
  <c r="D59" i="4"/>
  <c r="D75" i="4"/>
  <c r="D12" i="4"/>
  <c r="D4" i="4"/>
  <c r="D37" i="4"/>
  <c r="D69" i="4"/>
  <c r="D16" i="4"/>
  <c r="D48" i="4"/>
  <c r="D80" i="4"/>
  <c r="D25" i="4"/>
  <c r="D57" i="4"/>
  <c r="D89" i="4"/>
  <c r="D44" i="4"/>
  <c r="D10" i="4"/>
  <c r="D26" i="4"/>
  <c r="D42" i="4"/>
  <c r="D58" i="4"/>
  <c r="D74" i="4"/>
  <c r="D90" i="4"/>
  <c r="D15" i="4"/>
  <c r="D31" i="4"/>
  <c r="D47" i="4"/>
  <c r="D63" i="4"/>
  <c r="D79" i="4"/>
  <c r="D36" i="4"/>
  <c r="D13" i="4"/>
  <c r="D45" i="4"/>
  <c r="D77" i="4"/>
  <c r="D24" i="4"/>
  <c r="D56" i="4"/>
  <c r="D88" i="4"/>
  <c r="D33" i="4"/>
  <c r="D65" i="4"/>
  <c r="D3" i="4"/>
  <c r="D60" i="4"/>
  <c r="D14" i="4"/>
  <c r="D30" i="4"/>
  <c r="D46" i="4"/>
  <c r="D62" i="4"/>
  <c r="D78" i="4"/>
  <c r="D2" i="4"/>
  <c r="D19" i="4"/>
  <c r="D35" i="4"/>
  <c r="D51" i="4"/>
  <c r="D67" i="4"/>
  <c r="D83" i="4"/>
  <c r="D52" i="4"/>
  <c r="D21" i="4"/>
  <c r="D53" i="4"/>
  <c r="D85" i="4"/>
  <c r="D32" i="4"/>
  <c r="D64" i="4"/>
  <c r="D9" i="4"/>
  <c r="D41" i="4"/>
  <c r="D73" i="4"/>
  <c r="D20" i="4"/>
  <c r="D68" i="4"/>
  <c r="D5" i="4"/>
  <c r="D18" i="4"/>
  <c r="D34" i="4"/>
  <c r="D50" i="4"/>
  <c r="D66" i="4"/>
  <c r="D82" i="4"/>
  <c r="D7" i="4"/>
  <c r="D23" i="4"/>
  <c r="D39" i="4"/>
  <c r="D55" i="4"/>
  <c r="D71" i="4"/>
  <c r="D87" i="4"/>
  <c r="D76" i="4"/>
  <c r="D29" i="4"/>
  <c r="D61" i="4"/>
  <c r="D8" i="4"/>
  <c r="D40" i="4"/>
  <c r="D72" i="4"/>
  <c r="D17" i="4"/>
  <c r="D49" i="4"/>
  <c r="D81" i="4"/>
  <c r="D28" i="4"/>
  <c r="D84" i="4"/>
  <c r="G8" i="4"/>
  <c r="G24" i="4"/>
  <c r="G40" i="4"/>
  <c r="G56" i="4"/>
  <c r="G72" i="4"/>
  <c r="G88" i="4"/>
  <c r="G22" i="4"/>
  <c r="G43" i="4"/>
  <c r="G65" i="4"/>
  <c r="G86" i="4"/>
  <c r="G35" i="4"/>
  <c r="G78" i="4"/>
  <c r="G13" i="4"/>
  <c r="G34" i="4"/>
  <c r="G55" i="4"/>
  <c r="G77" i="4"/>
  <c r="G19" i="4"/>
  <c r="G62" i="4"/>
  <c r="G26" i="4"/>
  <c r="G10" i="4"/>
  <c r="G15" i="4"/>
  <c r="G21" i="4"/>
  <c r="G12" i="4"/>
  <c r="G28" i="4"/>
  <c r="G44" i="4"/>
  <c r="G60" i="4"/>
  <c r="G76" i="4"/>
  <c r="G6" i="4"/>
  <c r="G27" i="4"/>
  <c r="G49" i="4"/>
  <c r="G70" i="4"/>
  <c r="G3" i="4"/>
  <c r="G46" i="4"/>
  <c r="G89" i="4"/>
  <c r="G18" i="4"/>
  <c r="G39" i="4"/>
  <c r="G61" i="4"/>
  <c r="G82" i="4"/>
  <c r="G30" i="4"/>
  <c r="G73" i="4"/>
  <c r="G47" i="4"/>
  <c r="G31" i="4"/>
  <c r="G37" i="4"/>
  <c r="G42" i="4"/>
  <c r="G16" i="4"/>
  <c r="G32" i="4"/>
  <c r="G48" i="4"/>
  <c r="G64" i="4"/>
  <c r="G80" i="4"/>
  <c r="G11" i="4"/>
  <c r="G33" i="4"/>
  <c r="G54" i="4"/>
  <c r="G75" i="4"/>
  <c r="G14" i="4"/>
  <c r="G57" i="4"/>
  <c r="G2" i="4"/>
  <c r="G23" i="4"/>
  <c r="G45" i="4"/>
  <c r="G66" i="4"/>
  <c r="G87" i="4"/>
  <c r="G41" i="4"/>
  <c r="G83" i="4"/>
  <c r="G69" i="4"/>
  <c r="G53" i="4"/>
  <c r="G58" i="4"/>
  <c r="G63" i="4"/>
  <c r="G4" i="4"/>
  <c r="G20" i="4"/>
  <c r="G36" i="4"/>
  <c r="G52" i="4"/>
  <c r="G68" i="4"/>
  <c r="G84" i="4"/>
  <c r="G17" i="4"/>
  <c r="G38" i="4"/>
  <c r="G59" i="4"/>
  <c r="G81" i="4"/>
  <c r="G25" i="4"/>
  <c r="G67" i="4"/>
  <c r="G7" i="4"/>
  <c r="G29" i="4"/>
  <c r="G50" i="4"/>
  <c r="G71" i="4"/>
  <c r="G9" i="4"/>
  <c r="G51" i="4"/>
  <c r="G5" i="4"/>
  <c r="G90" i="4"/>
  <c r="G74" i="4"/>
  <c r="G79" i="4"/>
  <c r="G85" i="4"/>
  <c r="P70" i="2"/>
  <c r="C9" i="2"/>
  <c r="C17" i="2"/>
  <c r="C25" i="2"/>
  <c r="C33" i="2"/>
  <c r="C41" i="2"/>
  <c r="C49" i="2"/>
  <c r="C57" i="2"/>
  <c r="C65" i="2"/>
  <c r="C14" i="2"/>
  <c r="C30" i="2"/>
  <c r="C46" i="2"/>
  <c r="C62" i="2"/>
  <c r="C8" i="2"/>
  <c r="C24" i="2"/>
  <c r="C40" i="2"/>
  <c r="C56" i="2"/>
  <c r="C3" i="2"/>
  <c r="C11" i="2"/>
  <c r="C19" i="2"/>
  <c r="C27" i="2"/>
  <c r="C35" i="2"/>
  <c r="C43" i="2"/>
  <c r="C51" i="2"/>
  <c r="C59" i="2"/>
  <c r="C2" i="2"/>
  <c r="C18" i="2"/>
  <c r="C34" i="2"/>
  <c r="C50" i="2"/>
  <c r="C66" i="2"/>
  <c r="C12" i="2"/>
  <c r="C28" i="2"/>
  <c r="C44" i="2"/>
  <c r="C60" i="2"/>
  <c r="C5" i="2"/>
  <c r="C13" i="2"/>
  <c r="C21" i="2"/>
  <c r="C29" i="2"/>
  <c r="C37" i="2"/>
  <c r="C45" i="2"/>
  <c r="C53" i="2"/>
  <c r="C61" i="2"/>
  <c r="C6" i="2"/>
  <c r="C22" i="2"/>
  <c r="C38" i="2"/>
  <c r="C54" i="2"/>
  <c r="C68" i="2"/>
  <c r="C16" i="2"/>
  <c r="C32" i="2"/>
  <c r="C48" i="2"/>
  <c r="C64" i="2"/>
  <c r="C7" i="2"/>
  <c r="C15" i="2"/>
  <c r="C23" i="2"/>
  <c r="C31" i="2"/>
  <c r="C39" i="2"/>
  <c r="C47" i="2"/>
  <c r="C55" i="2"/>
  <c r="C63" i="2"/>
  <c r="C10" i="2"/>
  <c r="C26" i="2"/>
  <c r="C42" i="2"/>
  <c r="C58" i="2"/>
  <c r="C4" i="2"/>
  <c r="C20" i="2"/>
  <c r="C36" i="2"/>
  <c r="C52" i="2"/>
  <c r="C67" i="2"/>
  <c r="Y5" i="1"/>
  <c r="E5" i="2"/>
  <c r="E13" i="2"/>
  <c r="E21" i="2"/>
  <c r="E29" i="2"/>
  <c r="E37" i="2"/>
  <c r="E45" i="2"/>
  <c r="E53" i="2"/>
  <c r="E61" i="2"/>
  <c r="E54" i="2"/>
  <c r="E38" i="2"/>
  <c r="E22" i="2"/>
  <c r="E6" i="2"/>
  <c r="E56" i="2"/>
  <c r="E40" i="2"/>
  <c r="E24" i="2"/>
  <c r="E8" i="2"/>
  <c r="E7" i="2"/>
  <c r="E15" i="2"/>
  <c r="E23" i="2"/>
  <c r="E31" i="2"/>
  <c r="E39" i="2"/>
  <c r="E47" i="2"/>
  <c r="E55" i="2"/>
  <c r="E63" i="2"/>
  <c r="E66" i="2"/>
  <c r="E50" i="2"/>
  <c r="E34" i="2"/>
  <c r="E18" i="2"/>
  <c r="E2" i="2"/>
  <c r="E68" i="2"/>
  <c r="E52" i="2"/>
  <c r="E36" i="2"/>
  <c r="E20" i="2"/>
  <c r="E4" i="2"/>
  <c r="E9" i="2"/>
  <c r="E17" i="2"/>
  <c r="E25" i="2"/>
  <c r="E33" i="2"/>
  <c r="E41" i="2"/>
  <c r="E49" i="2"/>
  <c r="E57" i="2"/>
  <c r="E65" i="2"/>
  <c r="E62" i="2"/>
  <c r="E46" i="2"/>
  <c r="E30" i="2"/>
  <c r="E14" i="2"/>
  <c r="E64" i="2"/>
  <c r="E48" i="2"/>
  <c r="E32" i="2"/>
  <c r="E16" i="2"/>
  <c r="E3" i="2"/>
  <c r="E11" i="2"/>
  <c r="E19" i="2"/>
  <c r="E27" i="2"/>
  <c r="E35" i="2"/>
  <c r="E43" i="2"/>
  <c r="E51" i="2"/>
  <c r="E59" i="2"/>
  <c r="E67" i="2"/>
  <c r="E58" i="2"/>
  <c r="E42" i="2"/>
  <c r="E26" i="2"/>
  <c r="E10" i="2"/>
  <c r="E60" i="2"/>
  <c r="E44" i="2"/>
  <c r="E28" i="2"/>
  <c r="E12" i="2"/>
  <c r="D6" i="2"/>
  <c r="D14" i="2"/>
  <c r="D22" i="2"/>
  <c r="D30" i="2"/>
  <c r="D38" i="2"/>
  <c r="D46" i="2"/>
  <c r="D54" i="2"/>
  <c r="D62" i="2"/>
  <c r="D5" i="2"/>
  <c r="D21" i="2"/>
  <c r="D37" i="2"/>
  <c r="D53" i="2"/>
  <c r="D3" i="2"/>
  <c r="D19" i="2"/>
  <c r="D35" i="2"/>
  <c r="D51" i="2"/>
  <c r="D67" i="2"/>
  <c r="D8" i="2"/>
  <c r="D16" i="2"/>
  <c r="D24" i="2"/>
  <c r="D32" i="2"/>
  <c r="D40" i="2"/>
  <c r="D48" i="2"/>
  <c r="D56" i="2"/>
  <c r="D64" i="2"/>
  <c r="D9" i="2"/>
  <c r="D25" i="2"/>
  <c r="D41" i="2"/>
  <c r="D57" i="2"/>
  <c r="D7" i="2"/>
  <c r="D23" i="2"/>
  <c r="D39" i="2"/>
  <c r="D55" i="2"/>
  <c r="D2" i="2"/>
  <c r="D10" i="2"/>
  <c r="D18" i="2"/>
  <c r="D26" i="2"/>
  <c r="D34" i="2"/>
  <c r="D42" i="2"/>
  <c r="D50" i="2"/>
  <c r="D58" i="2"/>
  <c r="D66" i="2"/>
  <c r="D13" i="2"/>
  <c r="D29" i="2"/>
  <c r="D45" i="2"/>
  <c r="D61" i="2"/>
  <c r="D11" i="2"/>
  <c r="D27" i="2"/>
  <c r="D43" i="2"/>
  <c r="D59" i="2"/>
  <c r="D4" i="2"/>
  <c r="D12" i="2"/>
  <c r="D20" i="2"/>
  <c r="D28" i="2"/>
  <c r="D36" i="2"/>
  <c r="D44" i="2"/>
  <c r="D52" i="2"/>
  <c r="D60" i="2"/>
  <c r="D68" i="2"/>
  <c r="D17" i="2"/>
  <c r="D33" i="2"/>
  <c r="D49" i="2"/>
  <c r="D65" i="2"/>
  <c r="D15" i="2"/>
  <c r="D31" i="2"/>
  <c r="D47" i="2"/>
  <c r="D63" i="2"/>
  <c r="G5" i="2"/>
  <c r="G13" i="2"/>
  <c r="G21" i="2"/>
  <c r="G29" i="2"/>
  <c r="G37" i="2"/>
  <c r="G45" i="2"/>
  <c r="G53" i="2"/>
  <c r="G61" i="2"/>
  <c r="G2" i="2"/>
  <c r="G18" i="2"/>
  <c r="G34" i="2"/>
  <c r="G50" i="2"/>
  <c r="G66" i="2"/>
  <c r="G16" i="2"/>
  <c r="G32" i="2"/>
  <c r="G48" i="2"/>
  <c r="G64" i="2"/>
  <c r="G7" i="2"/>
  <c r="G15" i="2"/>
  <c r="G23" i="2"/>
  <c r="G31" i="2"/>
  <c r="G39" i="2"/>
  <c r="G47" i="2"/>
  <c r="G55" i="2"/>
  <c r="G63" i="2"/>
  <c r="G6" i="2"/>
  <c r="G22" i="2"/>
  <c r="G38" i="2"/>
  <c r="G54" i="2"/>
  <c r="G4" i="2"/>
  <c r="G20" i="2"/>
  <c r="G36" i="2"/>
  <c r="G52" i="2"/>
  <c r="G68" i="2"/>
  <c r="G9" i="2"/>
  <c r="G17" i="2"/>
  <c r="G25" i="2"/>
  <c r="G33" i="2"/>
  <c r="G41" i="2"/>
  <c r="G49" i="2"/>
  <c r="G57" i="2"/>
  <c r="G65" i="2"/>
  <c r="G10" i="2"/>
  <c r="G26" i="2"/>
  <c r="G42" i="2"/>
  <c r="G58" i="2"/>
  <c r="G8" i="2"/>
  <c r="G24" i="2"/>
  <c r="G40" i="2"/>
  <c r="G56" i="2"/>
  <c r="G3" i="2"/>
  <c r="G11" i="2"/>
  <c r="G19" i="2"/>
  <c r="G27" i="2"/>
  <c r="G35" i="2"/>
  <c r="G43" i="2"/>
  <c r="G51" i="2"/>
  <c r="G59" i="2"/>
  <c r="G67" i="2"/>
  <c r="G14" i="2"/>
  <c r="G30" i="2"/>
  <c r="G46" i="2"/>
  <c r="G62" i="2"/>
  <c r="G12" i="2"/>
  <c r="G28" i="2"/>
  <c r="G44" i="2"/>
  <c r="G60" i="2"/>
  <c r="F2" i="2"/>
  <c r="F10" i="2"/>
  <c r="F18" i="2"/>
  <c r="F26" i="2"/>
  <c r="F34" i="2"/>
  <c r="F42" i="2"/>
  <c r="F50" i="2"/>
  <c r="F58" i="2"/>
  <c r="F66" i="2"/>
  <c r="F11" i="2"/>
  <c r="F27" i="2"/>
  <c r="F43" i="2"/>
  <c r="F59" i="2"/>
  <c r="F9" i="2"/>
  <c r="F25" i="2"/>
  <c r="F41" i="2"/>
  <c r="F57" i="2"/>
  <c r="F4" i="2"/>
  <c r="F12" i="2"/>
  <c r="F20" i="2"/>
  <c r="F28" i="2"/>
  <c r="F36" i="2"/>
  <c r="F44" i="2"/>
  <c r="F52" i="2"/>
  <c r="F60" i="2"/>
  <c r="F68" i="2"/>
  <c r="F15" i="2"/>
  <c r="F31" i="2"/>
  <c r="F47" i="2"/>
  <c r="F63" i="2"/>
  <c r="F13" i="2"/>
  <c r="F29" i="2"/>
  <c r="F45" i="2"/>
  <c r="F61" i="2"/>
  <c r="F6" i="2"/>
  <c r="F14" i="2"/>
  <c r="F22" i="2"/>
  <c r="F30" i="2"/>
  <c r="F38" i="2"/>
  <c r="F46" i="2"/>
  <c r="F54" i="2"/>
  <c r="F62" i="2"/>
  <c r="F3" i="2"/>
  <c r="F19" i="2"/>
  <c r="F35" i="2"/>
  <c r="F51" i="2"/>
  <c r="F67" i="2"/>
  <c r="F17" i="2"/>
  <c r="F33" i="2"/>
  <c r="F49" i="2"/>
  <c r="F65" i="2"/>
  <c r="F8" i="2"/>
  <c r="F16" i="2"/>
  <c r="F24" i="2"/>
  <c r="F32" i="2"/>
  <c r="F40" i="2"/>
  <c r="F48" i="2"/>
  <c r="F56" i="2"/>
  <c r="F64" i="2"/>
  <c r="F7" i="2"/>
  <c r="F23" i="2"/>
  <c r="F39" i="2"/>
  <c r="F55" i="2"/>
  <c r="F5" i="2"/>
  <c r="F21" i="2"/>
  <c r="F37" i="2"/>
  <c r="F53" i="2"/>
  <c r="Y3" i="1"/>
  <c r="E99" i="4"/>
  <c r="F4" i="10"/>
  <c r="D99" i="4"/>
  <c r="F3" i="10"/>
  <c r="F99" i="4"/>
  <c r="F5" i="10"/>
  <c r="F2" i="10"/>
  <c r="D15" i="10"/>
  <c r="C99" i="4"/>
  <c r="Y2" i="1"/>
  <c r="Y6" i="1"/>
  <c r="E2" i="4"/>
  <c r="E18" i="4"/>
  <c r="E34" i="4"/>
  <c r="E50" i="4"/>
  <c r="E66" i="4"/>
  <c r="E82" i="4"/>
  <c r="E9" i="4"/>
  <c r="E31" i="4"/>
  <c r="E52" i="4"/>
  <c r="E73" i="4"/>
  <c r="E5" i="4"/>
  <c r="E27" i="4"/>
  <c r="E48" i="4"/>
  <c r="E69" i="4"/>
  <c r="E7" i="4"/>
  <c r="E19" i="4"/>
  <c r="E61" i="4"/>
  <c r="E23" i="4"/>
  <c r="E65" i="4"/>
  <c r="E13" i="4"/>
  <c r="E56" i="4"/>
  <c r="E17" i="4"/>
  <c r="E81" i="4"/>
  <c r="E6" i="4"/>
  <c r="E22" i="4"/>
  <c r="E38" i="4"/>
  <c r="E54" i="4"/>
  <c r="E70" i="4"/>
  <c r="E86" i="4"/>
  <c r="E15" i="4"/>
  <c r="E36" i="4"/>
  <c r="E57" i="4"/>
  <c r="E79" i="4"/>
  <c r="E11" i="4"/>
  <c r="E32" i="4"/>
  <c r="E53" i="4"/>
  <c r="E75" i="4"/>
  <c r="E28" i="4"/>
  <c r="E29" i="4"/>
  <c r="E72" i="4"/>
  <c r="E33" i="4"/>
  <c r="E76" i="4"/>
  <c r="E24" i="4"/>
  <c r="E67" i="4"/>
  <c r="E39" i="4"/>
  <c r="E10" i="4"/>
  <c r="E26" i="4"/>
  <c r="E42" i="4"/>
  <c r="E58" i="4"/>
  <c r="E74" i="4"/>
  <c r="E90" i="4"/>
  <c r="E20" i="4"/>
  <c r="E41" i="4"/>
  <c r="E63" i="4"/>
  <c r="E84" i="4"/>
  <c r="E16" i="4"/>
  <c r="E37" i="4"/>
  <c r="E59" i="4"/>
  <c r="E80" i="4"/>
  <c r="E71" i="4"/>
  <c r="E40" i="4"/>
  <c r="E83" i="4"/>
  <c r="E44" i="4"/>
  <c r="E87" i="4"/>
  <c r="E35" i="4"/>
  <c r="E77" i="4"/>
  <c r="E49" i="4"/>
  <c r="E14" i="4"/>
  <c r="E30" i="4"/>
  <c r="E46" i="4"/>
  <c r="E62" i="4"/>
  <c r="E78" i="4"/>
  <c r="E4" i="4"/>
  <c r="E25" i="4"/>
  <c r="E47" i="4"/>
  <c r="E68" i="4"/>
  <c r="E89" i="4"/>
  <c r="E21" i="4"/>
  <c r="E43" i="4"/>
  <c r="E64" i="4"/>
  <c r="E85" i="4"/>
  <c r="E8" i="4"/>
  <c r="E51" i="4"/>
  <c r="E12" i="4"/>
  <c r="E55" i="4"/>
  <c r="E3" i="4"/>
  <c r="E45" i="4"/>
  <c r="E88" i="4"/>
  <c r="E60" i="4"/>
  <c r="G99" i="4"/>
  <c r="F6" i="10"/>
  <c r="F3" i="4"/>
  <c r="F19" i="4"/>
  <c r="F35" i="4"/>
  <c r="F51" i="4"/>
  <c r="F67" i="4"/>
  <c r="F83" i="4"/>
  <c r="F13" i="4"/>
  <c r="F34" i="4"/>
  <c r="F56" i="4"/>
  <c r="F77" i="4"/>
  <c r="F4" i="4"/>
  <c r="F25" i="4"/>
  <c r="F46" i="4"/>
  <c r="F68" i="4"/>
  <c r="F89" i="4"/>
  <c r="F32" i="4"/>
  <c r="F85" i="4"/>
  <c r="F44" i="4"/>
  <c r="F86" i="4"/>
  <c r="F48" i="4"/>
  <c r="F90" i="4"/>
  <c r="F49" i="4"/>
  <c r="F74" i="4"/>
  <c r="F7" i="4"/>
  <c r="F23" i="4"/>
  <c r="F39" i="4"/>
  <c r="F55" i="4"/>
  <c r="F71" i="4"/>
  <c r="F87" i="4"/>
  <c r="F18" i="4"/>
  <c r="F40" i="4"/>
  <c r="F61" i="4"/>
  <c r="F82" i="4"/>
  <c r="F9" i="4"/>
  <c r="F30" i="4"/>
  <c r="F52" i="4"/>
  <c r="F73" i="4"/>
  <c r="F5" i="4"/>
  <c r="F42" i="4"/>
  <c r="F6" i="4"/>
  <c r="F54" i="4"/>
  <c r="F12" i="4"/>
  <c r="F58" i="4"/>
  <c r="F17" i="4"/>
  <c r="F60" i="4"/>
  <c r="F11" i="4"/>
  <c r="F27" i="4"/>
  <c r="F43" i="4"/>
  <c r="F59" i="4"/>
  <c r="F75" i="4"/>
  <c r="F2" i="4"/>
  <c r="F24" i="4"/>
  <c r="F45" i="4"/>
  <c r="F66" i="4"/>
  <c r="F88" i="4"/>
  <c r="F14" i="4"/>
  <c r="F36" i="4"/>
  <c r="F57" i="4"/>
  <c r="F78" i="4"/>
  <c r="F16" i="4"/>
  <c r="F53" i="4"/>
  <c r="F22" i="4"/>
  <c r="F65" i="4"/>
  <c r="F26" i="4"/>
  <c r="F69" i="4"/>
  <c r="F28" i="4"/>
  <c r="F70" i="4"/>
  <c r="F15" i="4"/>
  <c r="F31" i="4"/>
  <c r="F47" i="4"/>
  <c r="F63" i="4"/>
  <c r="F79" i="4"/>
  <c r="F8" i="4"/>
  <c r="F29" i="4"/>
  <c r="F50" i="4"/>
  <c r="F72" i="4"/>
  <c r="F10" i="4"/>
  <c r="F20" i="4"/>
  <c r="F41" i="4"/>
  <c r="F62" i="4"/>
  <c r="F84" i="4"/>
  <c r="F21" i="4"/>
  <c r="F64" i="4"/>
  <c r="F33" i="4"/>
  <c r="F76" i="4"/>
  <c r="F37" i="4"/>
  <c r="F80" i="4"/>
  <c r="F38" i="4"/>
  <c r="F81" i="4"/>
  <c r="E15" i="10"/>
  <c r="C92" i="4"/>
  <c r="P2" i="1"/>
  <c r="C2" i="6"/>
  <c r="O2" i="1"/>
  <c r="Q2" i="1"/>
  <c r="Q3" i="1"/>
  <c r="O3" i="1"/>
  <c r="P3" i="1"/>
  <c r="P6" i="1"/>
  <c r="O6" i="1"/>
  <c r="Q6" i="1"/>
  <c r="P5" i="1"/>
  <c r="Q5" i="1"/>
  <c r="O5" i="1"/>
  <c r="O4" i="1"/>
  <c r="P4" i="1"/>
  <c r="Q4" i="1"/>
  <c r="P36" i="2" l="1"/>
  <c r="P55" i="2"/>
  <c r="P48" i="2"/>
  <c r="P23" i="2"/>
  <c r="P42" i="2"/>
  <c r="P54" i="2"/>
  <c r="P61" i="2"/>
  <c r="P29" i="2"/>
  <c r="P60" i="2"/>
  <c r="P66" i="2"/>
  <c r="P2" i="2"/>
  <c r="P35" i="2"/>
  <c r="P3" i="2"/>
  <c r="P8" i="2"/>
  <c r="P14" i="2"/>
  <c r="P41" i="2"/>
  <c r="P9" i="2"/>
  <c r="F15" i="10"/>
  <c r="D96" i="4"/>
  <c r="D97" i="4"/>
  <c r="D95" i="4"/>
  <c r="P20" i="2"/>
  <c r="P26" i="2"/>
  <c r="P47" i="2"/>
  <c r="P15" i="2"/>
  <c r="P32" i="2"/>
  <c r="P38" i="2"/>
  <c r="P53" i="2"/>
  <c r="P21" i="2"/>
  <c r="P44" i="2"/>
  <c r="P50" i="2"/>
  <c r="P59" i="2"/>
  <c r="P27" i="2"/>
  <c r="P56" i="2"/>
  <c r="P62" i="2"/>
  <c r="P65" i="2"/>
  <c r="P33" i="2"/>
  <c r="P67" i="2"/>
  <c r="P4" i="2"/>
  <c r="P10" i="2"/>
  <c r="P39" i="2"/>
  <c r="P7" i="2"/>
  <c r="P16" i="2"/>
  <c r="P22" i="2"/>
  <c r="P45" i="2"/>
  <c r="P13" i="2"/>
  <c r="P28" i="2"/>
  <c r="P34" i="2"/>
  <c r="P51" i="2"/>
  <c r="P19" i="2"/>
  <c r="P40" i="2"/>
  <c r="P46" i="2"/>
  <c r="P57" i="2"/>
  <c r="P25" i="2"/>
  <c r="P92" i="4"/>
  <c r="C15" i="4"/>
  <c r="P15" i="4" s="1"/>
  <c r="C31" i="4"/>
  <c r="P31" i="4" s="1"/>
  <c r="C47" i="4"/>
  <c r="P47" i="4" s="1"/>
  <c r="C63" i="4"/>
  <c r="P63" i="4" s="1"/>
  <c r="C79" i="4"/>
  <c r="P79" i="4" s="1"/>
  <c r="C8" i="4"/>
  <c r="P8" i="4" s="1"/>
  <c r="C24" i="4"/>
  <c r="P24" i="4" s="1"/>
  <c r="C40" i="4"/>
  <c r="P40" i="4" s="1"/>
  <c r="C56" i="4"/>
  <c r="P56" i="4" s="1"/>
  <c r="C72" i="4"/>
  <c r="P72" i="4" s="1"/>
  <c r="C88" i="4"/>
  <c r="P88" i="4" s="1"/>
  <c r="C17" i="4"/>
  <c r="P17" i="4" s="1"/>
  <c r="C33" i="4"/>
  <c r="P33" i="4" s="1"/>
  <c r="C49" i="4"/>
  <c r="P49" i="4" s="1"/>
  <c r="C65" i="4"/>
  <c r="P65" i="4" s="1"/>
  <c r="C81" i="4"/>
  <c r="P81" i="4" s="1"/>
  <c r="C6" i="4"/>
  <c r="P6" i="4" s="1"/>
  <c r="C22" i="4"/>
  <c r="P22" i="4" s="1"/>
  <c r="C38" i="4"/>
  <c r="P38" i="4" s="1"/>
  <c r="C54" i="4"/>
  <c r="P54" i="4" s="1"/>
  <c r="C70" i="4"/>
  <c r="P70" i="4" s="1"/>
  <c r="C86" i="4"/>
  <c r="P86" i="4" s="1"/>
  <c r="C3" i="4"/>
  <c r="P3" i="4" s="1"/>
  <c r="C19" i="4"/>
  <c r="P19" i="4" s="1"/>
  <c r="C35" i="4"/>
  <c r="P35" i="4" s="1"/>
  <c r="C51" i="4"/>
  <c r="P51" i="4" s="1"/>
  <c r="C67" i="4"/>
  <c r="P67" i="4" s="1"/>
  <c r="C83" i="4"/>
  <c r="P83" i="4" s="1"/>
  <c r="C12" i="4"/>
  <c r="P12" i="4" s="1"/>
  <c r="C28" i="4"/>
  <c r="P28" i="4" s="1"/>
  <c r="C44" i="4"/>
  <c r="P44" i="4" s="1"/>
  <c r="C60" i="4"/>
  <c r="P60" i="4" s="1"/>
  <c r="C76" i="4"/>
  <c r="P76" i="4" s="1"/>
  <c r="C5" i="4"/>
  <c r="P5" i="4" s="1"/>
  <c r="C21" i="4"/>
  <c r="P21" i="4" s="1"/>
  <c r="C37" i="4"/>
  <c r="P37" i="4" s="1"/>
  <c r="C53" i="4"/>
  <c r="P53" i="4" s="1"/>
  <c r="C69" i="4"/>
  <c r="P69" i="4" s="1"/>
  <c r="C85" i="4"/>
  <c r="P85" i="4" s="1"/>
  <c r="C10" i="4"/>
  <c r="P10" i="4" s="1"/>
  <c r="C26" i="4"/>
  <c r="P26" i="4" s="1"/>
  <c r="C42" i="4"/>
  <c r="P42" i="4" s="1"/>
  <c r="C58" i="4"/>
  <c r="P58" i="4" s="1"/>
  <c r="C74" i="4"/>
  <c r="P74" i="4" s="1"/>
  <c r="C90" i="4"/>
  <c r="P90" i="4" s="1"/>
  <c r="C7" i="4"/>
  <c r="P7" i="4" s="1"/>
  <c r="C23" i="4"/>
  <c r="P23" i="4" s="1"/>
  <c r="C39" i="4"/>
  <c r="P39" i="4" s="1"/>
  <c r="C55" i="4"/>
  <c r="P55" i="4" s="1"/>
  <c r="C71" i="4"/>
  <c r="P71" i="4" s="1"/>
  <c r="C87" i="4"/>
  <c r="P87" i="4" s="1"/>
  <c r="C16" i="4"/>
  <c r="P16" i="4" s="1"/>
  <c r="C32" i="4"/>
  <c r="P32" i="4" s="1"/>
  <c r="C48" i="4"/>
  <c r="P48" i="4" s="1"/>
  <c r="C64" i="4"/>
  <c r="P64" i="4" s="1"/>
  <c r="C80" i="4"/>
  <c r="P80" i="4" s="1"/>
  <c r="C9" i="4"/>
  <c r="P9" i="4" s="1"/>
  <c r="C25" i="4"/>
  <c r="P25" i="4" s="1"/>
  <c r="C41" i="4"/>
  <c r="P41" i="4" s="1"/>
  <c r="C57" i="4"/>
  <c r="P57" i="4" s="1"/>
  <c r="C73" i="4"/>
  <c r="P73" i="4" s="1"/>
  <c r="C89" i="4"/>
  <c r="P89" i="4" s="1"/>
  <c r="C14" i="4"/>
  <c r="P14" i="4" s="1"/>
  <c r="C30" i="4"/>
  <c r="P30" i="4" s="1"/>
  <c r="C46" i="4"/>
  <c r="P46" i="4" s="1"/>
  <c r="C62" i="4"/>
  <c r="P62" i="4" s="1"/>
  <c r="C78" i="4"/>
  <c r="P78" i="4" s="1"/>
  <c r="C11" i="4"/>
  <c r="P11" i="4" s="1"/>
  <c r="C27" i="4"/>
  <c r="P27" i="4" s="1"/>
  <c r="C43" i="4"/>
  <c r="P43" i="4" s="1"/>
  <c r="C59" i="4"/>
  <c r="P59" i="4" s="1"/>
  <c r="C75" i="4"/>
  <c r="P75" i="4" s="1"/>
  <c r="C4" i="4"/>
  <c r="P4" i="4" s="1"/>
  <c r="C20" i="4"/>
  <c r="P20" i="4" s="1"/>
  <c r="C36" i="4"/>
  <c r="P36" i="4" s="1"/>
  <c r="C52" i="4"/>
  <c r="P52" i="4" s="1"/>
  <c r="C68" i="4"/>
  <c r="P68" i="4" s="1"/>
  <c r="C84" i="4"/>
  <c r="P84" i="4" s="1"/>
  <c r="C13" i="4"/>
  <c r="P13" i="4" s="1"/>
  <c r="C29" i="4"/>
  <c r="P29" i="4" s="1"/>
  <c r="C45" i="4"/>
  <c r="P45" i="4" s="1"/>
  <c r="C61" i="4"/>
  <c r="P61" i="4" s="1"/>
  <c r="C77" i="4"/>
  <c r="P77" i="4" s="1"/>
  <c r="C2" i="4"/>
  <c r="P2" i="4" s="1"/>
  <c r="C18" i="4"/>
  <c r="P18" i="4" s="1"/>
  <c r="C34" i="4"/>
  <c r="P34" i="4" s="1"/>
  <c r="C50" i="4"/>
  <c r="P50" i="4" s="1"/>
  <c r="C66" i="4"/>
  <c r="P66" i="4" s="1"/>
  <c r="C82" i="4"/>
  <c r="P82" i="4" s="1"/>
  <c r="G95" i="4"/>
  <c r="G96" i="4"/>
  <c r="G97" i="4"/>
  <c r="C97" i="4"/>
  <c r="C95" i="4"/>
  <c r="P99" i="4"/>
  <c r="C96" i="4"/>
  <c r="F96" i="4"/>
  <c r="F97" i="4"/>
  <c r="F95" i="4"/>
  <c r="E95" i="4"/>
  <c r="E97" i="4"/>
  <c r="E96" i="4"/>
  <c r="P52" i="2"/>
  <c r="P58" i="2"/>
  <c r="P63" i="2"/>
  <c r="P31" i="2"/>
  <c r="P64" i="2"/>
  <c r="P68" i="2"/>
  <c r="P6" i="2"/>
  <c r="P37" i="2"/>
  <c r="P5" i="2"/>
  <c r="P12" i="2"/>
  <c r="P18" i="2"/>
  <c r="P43" i="2"/>
  <c r="P11" i="2"/>
  <c r="P24" i="2"/>
  <c r="P30" i="2"/>
  <c r="P49" i="2"/>
  <c r="P17" i="2"/>
  <c r="P97" i="4" l="1"/>
  <c r="P96" i="4"/>
  <c r="P95" i="4"/>
</calcChain>
</file>

<file path=xl/sharedStrings.xml><?xml version="1.0" encoding="utf-8"?>
<sst xmlns="http://schemas.openxmlformats.org/spreadsheetml/2006/main" count="2487" uniqueCount="509">
  <si>
    <t>Payment #</t>
  </si>
  <si>
    <t>Approx Date</t>
  </si>
  <si>
    <t>Total Less Fees</t>
  </si>
  <si>
    <t>Commonwealth</t>
  </si>
  <si>
    <t>County</t>
  </si>
  <si>
    <t>Litigating</t>
  </si>
  <si>
    <t>Total</t>
  </si>
  <si>
    <t>Teva Attorney Fees</t>
  </si>
  <si>
    <t xml:space="preserve">Allergan Attorney Fees </t>
  </si>
  <si>
    <t>Walgreens Attorney Fees</t>
  </si>
  <si>
    <t>CVS Attorney Fees</t>
  </si>
  <si>
    <t>Walmart Attorney Fees</t>
  </si>
  <si>
    <t>Teva</t>
  </si>
  <si>
    <t>Allergan</t>
  </si>
  <si>
    <t>Walgreens</t>
  </si>
  <si>
    <t>CVS</t>
  </si>
  <si>
    <t>Walmart</t>
  </si>
  <si>
    <t>Pre Fee Total</t>
  </si>
  <si>
    <t>Teva/Allergan Litigating</t>
  </si>
  <si>
    <t>Pharmacies Litigating</t>
  </si>
  <si>
    <t>Commonwealth Escrow Amount</t>
  </si>
  <si>
    <t>Subdivision Escrow Amount</t>
  </si>
  <si>
    <t>Fee Escrow Amount</t>
  </si>
  <si>
    <t>Total Escrow</t>
  </si>
  <si>
    <t>Adjusted % (W/Floors)</t>
  </si>
  <si>
    <t>Payment Total</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</si>
  <si>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</si>
  <si>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</si>
  <si>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</si>
  <si>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</si>
  <si>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</si>
  <si>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</si>
  <si>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</si>
  <si>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</si>
  <si>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</si>
  <si>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</si>
  <si>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</si>
  <si>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</si>
  <si>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</si>
  <si>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</si>
  <si>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</si>
  <si>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</si>
  <si>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</si>
  <si>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</si>
  <si>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</si>
  <si>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</si>
  <si>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</si>
  <si>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</si>
  <si>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</si>
  <si>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</si>
  <si>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</si>
  <si>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</si>
  <si>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</si>
  <si>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</si>
  <si>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</si>
  <si>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</si>
  <si>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</si>
  <si>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</si>
  <si>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</si>
  <si>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</si>
  <si>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</si>
  <si>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</si>
  <si>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</si>
  <si>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</si>
  <si>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</si>
  <si>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</si>
  <si>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</si>
  <si>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</si>
  <si>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</si>
  <si>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</si>
  <si>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</si>
  <si>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</si>
  <si>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</si>
  <si>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</si>
  <si>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</si>
  <si>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</si>
  <si>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</si>
  <si>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</si>
  <si>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</si>
  <si>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</si>
  <si>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</si>
  <si>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</si>
  <si>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</si>
  <si>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</si>
  <si>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</si>
  <si>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</si>
  <si>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</si>
  <si>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</si>
  <si>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</si>
  <si>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</si>
  <si>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</si>
  <si>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</si>
  <si>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</si>
  <si>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Payment 1</t>
  </si>
  <si>
    <t>Payment 2</t>
  </si>
  <si>
    <t xml:space="preserve">Payment 3 </t>
  </si>
  <si>
    <t>Payment 4</t>
  </si>
  <si>
    <t>Payment 5</t>
  </si>
  <si>
    <t>Payment 6</t>
  </si>
  <si>
    <t>Payment 7</t>
  </si>
  <si>
    <t>Payment 8</t>
  </si>
  <si>
    <t>Payment 9</t>
  </si>
  <si>
    <t>Payment 10</t>
  </si>
  <si>
    <t>Payment 11</t>
  </si>
  <si>
    <t>Payment 12</t>
  </si>
  <si>
    <t>Payment 13</t>
  </si>
  <si>
    <t>Teva County Amount</t>
  </si>
  <si>
    <t>Allergan County Amount</t>
  </si>
  <si>
    <t>Walgreens County Amount</t>
  </si>
  <si>
    <t>CVS County Amount</t>
  </si>
  <si>
    <t>Walmart County Amount</t>
  </si>
  <si>
    <t>Walmart Escrow Amount</t>
  </si>
  <si>
    <t xml:space="preserve">Total Teva/Allergan/Walmart </t>
  </si>
  <si>
    <t>Total Walgreens/CVS</t>
  </si>
  <si>
    <t>Floor % w/ No Philadelphia</t>
  </si>
  <si>
    <t>Payment 14</t>
  </si>
  <si>
    <t>Payment 15</t>
  </si>
  <si>
    <t>Litigant</t>
  </si>
  <si>
    <t>Teva Adjusted %</t>
  </si>
  <si>
    <t>Adams County</t>
  </si>
  <si>
    <t>Aliquippa city</t>
  </si>
  <si>
    <t>Allegheny County</t>
  </si>
  <si>
    <t>Allentown city</t>
  </si>
  <si>
    <t>Armstrong County</t>
  </si>
  <si>
    <t>Beaver County</t>
  </si>
  <si>
    <t>Bedford County</t>
  </si>
  <si>
    <t>BENSALEM TOWNSHIP</t>
  </si>
  <si>
    <t>Bradford County</t>
  </si>
  <si>
    <t>BRISTOL TOWNSHIP</t>
  </si>
  <si>
    <t>Bucks County</t>
  </si>
  <si>
    <t>Cambria County</t>
  </si>
  <si>
    <t>Carbon County</t>
  </si>
  <si>
    <t>Chester County</t>
  </si>
  <si>
    <t>Clarion County</t>
  </si>
  <si>
    <t>Clearfield County</t>
  </si>
  <si>
    <t>Clinton County</t>
  </si>
  <si>
    <t>Coatesville city</t>
  </si>
  <si>
    <t>Columbia County</t>
  </si>
  <si>
    <t>Cumberland County</t>
  </si>
  <si>
    <t>Dauphin County</t>
  </si>
  <si>
    <t>Delaware County</t>
  </si>
  <si>
    <t>District Attorney of Allegheny County</t>
  </si>
  <si>
    <t>District Attorney of Berks County</t>
  </si>
  <si>
    <t>District Attorney of Bucks County</t>
  </si>
  <si>
    <t>District Attorney of Chester County</t>
  </si>
  <si>
    <t>District Attorney of Clearfield County</t>
  </si>
  <si>
    <t>District Attorney of Dauphin County</t>
  </si>
  <si>
    <t>District Attorney of Delaware County</t>
  </si>
  <si>
    <t>District Attorney of Erie County</t>
  </si>
  <si>
    <t>District Attorney of Lehigh County</t>
  </si>
  <si>
    <t>District Attorney of Northampton County</t>
  </si>
  <si>
    <t>District Attorney of Philadelphia</t>
  </si>
  <si>
    <t>District Attorney of Westmoreland County</t>
  </si>
  <si>
    <t>District Attorney of Wyoming County</t>
  </si>
  <si>
    <t>Edwardsville borough</t>
  </si>
  <si>
    <t>Erie County</t>
  </si>
  <si>
    <t>Exeter borough</t>
  </si>
  <si>
    <t>FAIRVIEW TOWNSHIP</t>
  </si>
  <si>
    <t>Fayette County</t>
  </si>
  <si>
    <t>Forty Fort borough</t>
  </si>
  <si>
    <t>Franklin County</t>
  </si>
  <si>
    <t>Greene County</t>
  </si>
  <si>
    <t>HANOVER TOWNSHIP</t>
  </si>
  <si>
    <t>Hazleton city</t>
  </si>
  <si>
    <t>Huntingdon County</t>
  </si>
  <si>
    <t>Indiana County</t>
  </si>
  <si>
    <t>Kingston borough</t>
  </si>
  <si>
    <t>Lackawanna County</t>
  </si>
  <si>
    <t>Lawrence County</t>
  </si>
  <si>
    <t>Lehigh County</t>
  </si>
  <si>
    <t>Lock Haven city</t>
  </si>
  <si>
    <t>LOWER MAKEFIELD TOWNSHIP</t>
  </si>
  <si>
    <t>LOWER SOUTHAMPTON TOWNSHIP</t>
  </si>
  <si>
    <t>Luzerne County</t>
  </si>
  <si>
    <t>Lycoming County</t>
  </si>
  <si>
    <t>Mahoning township</t>
  </si>
  <si>
    <t>Mercer County</t>
  </si>
  <si>
    <t>MIDDLETOWN TOWNSHIP</t>
  </si>
  <si>
    <t>Monroe County</t>
  </si>
  <si>
    <t>Morrisville borough</t>
  </si>
  <si>
    <t>Nanticoke city</t>
  </si>
  <si>
    <t>New Castle city</t>
  </si>
  <si>
    <t>NEWTOWN TOWNSHIP</t>
  </si>
  <si>
    <t>Norristown borough</t>
  </si>
  <si>
    <t>Northampton County</t>
  </si>
  <si>
    <t>Northumberland County</t>
  </si>
  <si>
    <t xml:space="preserve">Philadelphia </t>
  </si>
  <si>
    <t>Pike County</t>
  </si>
  <si>
    <t>Pittsburgh city</t>
  </si>
  <si>
    <t>PLAINS TOWNSHIP</t>
  </si>
  <si>
    <t>Schuylkill County</t>
  </si>
  <si>
    <t>Southeastern Pennsylvania Transportation Authority</t>
  </si>
  <si>
    <t>Sugar Notch borough</t>
  </si>
  <si>
    <t>Tioga County</t>
  </si>
  <si>
    <t>UNION TOWNSHIP</t>
  </si>
  <si>
    <t>Wampum borough</t>
  </si>
  <si>
    <t>WARMINSTER TOWNSHIP</t>
  </si>
  <si>
    <t>WARRINGTON TOWNSHIP</t>
  </si>
  <si>
    <t>Washington County</t>
  </si>
  <si>
    <t>WEST NORRITON TOWNSHIP</t>
  </si>
  <si>
    <t>West Pittston borough</t>
  </si>
  <si>
    <t>Westmoreland County</t>
  </si>
  <si>
    <t>WILKES BARRE TOWNSHIP</t>
  </si>
  <si>
    <t>Wilkes-Barre city</t>
  </si>
  <si>
    <t>WRIGHT TOWNSHIP</t>
  </si>
  <si>
    <t>Wyoming borough</t>
  </si>
  <si>
    <t>Wyoming County</t>
  </si>
  <si>
    <t>York County</t>
  </si>
  <si>
    <t>Teva Bellwether</t>
  </si>
  <si>
    <t>Teva Litigating Total Less Fees and Bellwether</t>
  </si>
  <si>
    <t>Teva Total Litigating</t>
  </si>
  <si>
    <t>Allergan Bellwether</t>
  </si>
  <si>
    <t>Total Allergan Litigating</t>
  </si>
  <si>
    <t>Allergan Litigating Less Fees and Bellwether</t>
  </si>
  <si>
    <t>Bellwethers</t>
  </si>
  <si>
    <t>Bellwether Percent</t>
  </si>
  <si>
    <t>Allergan Adjusted %</t>
  </si>
  <si>
    <t>Walmart Escrow</t>
  </si>
  <si>
    <t>Adjusted %</t>
  </si>
  <si>
    <t>District Attorney of Beaver County</t>
  </si>
  <si>
    <t>District Attorney of Butler County</t>
  </si>
  <si>
    <t>District Attorney of Lawrence County</t>
  </si>
  <si>
    <t>Philadelphia County-Philadelphia City</t>
  </si>
  <si>
    <t>Adjusted Walmart %</t>
  </si>
  <si>
    <t>Payment 3</t>
  </si>
  <si>
    <t>Allergan Allocation Adjustment</t>
  </si>
  <si>
    <t>Subdivision</t>
  </si>
  <si>
    <t>Allergan Modified Allocation</t>
  </si>
  <si>
    <t>County Escrow</t>
  </si>
  <si>
    <t>Litigating Sub Escrow</t>
  </si>
  <si>
    <t xml:space="preserve">Explanatory Note - This sheet shows the breakdown of each settlements' allocation to the 70% County bucket. </t>
  </si>
  <si>
    <t xml:space="preserve">Explanatory Note - Philadelphia is not participating in the Walgreens and CVS Settlements. </t>
  </si>
  <si>
    <t xml:space="preserve">Explanatory Note - This sheet shows Teva and Allergan's allocations to the Litigating Subdivisions bucket.  </t>
  </si>
  <si>
    <t xml:space="preserve">Explanatory Note - Pursuant to Exhibit 7 of the proposed Amended Trust Order, eight subdivisions who sued Teva but did not sue Allergan will receive an Allergan Allocation Adjustment.  The Allergan Allocation Adjustment is funded by the Pennsylvania Opioid Fee Fund and the Commonwealth's Additional Remediation. </t>
  </si>
  <si>
    <t xml:space="preserve">Explantory Note - This sheet shows the breakdown of the Walgreens, CVS, and Walmart Settlements' allocations to the Litigating Subdivision buckets.  </t>
  </si>
  <si>
    <t>Walmart Litigating Subs</t>
  </si>
  <si>
    <t>Pharmacies Litigating Subdivisions Total</t>
  </si>
  <si>
    <t xml:space="preserve">Explanatory Note - This sheet shows the breakdown of each Wave 2 Settlement's estimated annual distribution.  The Escrow amount was negotiated with settling defendants via OAG Side Letters.  </t>
  </si>
  <si>
    <t>Walgreens Litigating</t>
  </si>
  <si>
    <t>CVS Litigating</t>
  </si>
  <si>
    <t>Walgreens/CVS Litigating</t>
  </si>
  <si>
    <t>Net Walmart Litigating Subdivisions</t>
  </si>
  <si>
    <t>TEVA</t>
  </si>
  <si>
    <t>TEVA ALLERGAN</t>
  </si>
  <si>
    <t>WALMART COUNTY</t>
  </si>
  <si>
    <t>WALGREENS</t>
  </si>
  <si>
    <t>CVS COUNTY</t>
  </si>
  <si>
    <t>* items on this page are pasted as values/ not linked.</t>
  </si>
  <si>
    <t>BUCKS COUNTY DA</t>
  </si>
  <si>
    <t>DELAWARE COUNTY DA</t>
  </si>
  <si>
    <t>LEHIGH COUNTY DA</t>
  </si>
  <si>
    <t>WESTMORELAND COUNTY DA</t>
  </si>
  <si>
    <t>CHESTER COUNTY DA</t>
  </si>
  <si>
    <t>NORTHAMPTON COUNTY DA</t>
  </si>
  <si>
    <t>DAUPHIN COUNTY DA</t>
  </si>
  <si>
    <t>BERKS COUNTY DA</t>
  </si>
  <si>
    <t>CLEARFIELD COUNTY DA</t>
  </si>
  <si>
    <t>Lower Makefield township, Bucks County, Pennsylvania</t>
  </si>
  <si>
    <t>Lower Southampton township, Bucks County, Pennsylvania</t>
  </si>
  <si>
    <t xml:space="preserve">Mahoning Township, Lawrence County, Pennsylvania </t>
  </si>
  <si>
    <t>Middletown township, Bucks County, Pennsylvania</t>
  </si>
  <si>
    <t>Morrisville borough, Bucks County, Pennsylvania</t>
  </si>
  <si>
    <t>Nanticoke city, Luzerne County, Pennsylvania</t>
  </si>
  <si>
    <t>New Castle city, Lawrence County, Pennsylvania</t>
  </si>
  <si>
    <t>Newtown township, Bucks County, Pennsylvania</t>
  </si>
  <si>
    <t>Norristown borough, Montgomery County, Pennsylvania</t>
  </si>
  <si>
    <t>Pittsburgh city, Allegheny County, Pennsylvania</t>
  </si>
  <si>
    <t>Plains Township, Luzerne County, Pennsylvania</t>
  </si>
  <si>
    <t>SEPTA</t>
  </si>
  <si>
    <t xml:space="preserve">Sugar Notch Borough, Luzerne County, Pennsylvania </t>
  </si>
  <si>
    <t>Union township, Lawrence County, Pennsylvania</t>
  </si>
  <si>
    <t xml:space="preserve">Wampum Borough, Lawrence County, Pennsylvania </t>
  </si>
  <si>
    <t>Warminster township, Bucks County, Pennsylvania</t>
  </si>
  <si>
    <t>Warrington township, Bucks County, Pennsylvania</t>
  </si>
  <si>
    <t>West Norriton township, Montgomery County, Pennsylvania</t>
  </si>
  <si>
    <t xml:space="preserve">West Pittston Borough, Luzerne County, Pennsylvania </t>
  </si>
  <si>
    <t xml:space="preserve">Wright Township, Luzerne County, Pennsylvania </t>
  </si>
  <si>
    <t xml:space="preserve">Wyoming Borough, Luzerenre County, Pennsylvania </t>
  </si>
  <si>
    <t>Fee Fund</t>
  </si>
  <si>
    <t>Walgreen's / CVS</t>
  </si>
  <si>
    <t>TEVA LITIGATING</t>
  </si>
  <si>
    <t>ALLERGAN LITIGATING</t>
  </si>
  <si>
    <t>WALGREEN'S/CVS LITIGATING</t>
  </si>
  <si>
    <t>WALMART LITIGATING</t>
  </si>
  <si>
    <t>COUNTY/ LITIGANT</t>
  </si>
  <si>
    <t>BELLWETHERS</t>
  </si>
  <si>
    <t>ALLERGAN</t>
  </si>
  <si>
    <t>Subtotal</t>
  </si>
  <si>
    <t>GRAND TOTAL</t>
  </si>
  <si>
    <t>Litigating Subtotal</t>
  </si>
  <si>
    <t>Wilkes-Barre city, Township</t>
  </si>
  <si>
    <t xml:space="preserve">Wilkes-Barre, City </t>
  </si>
  <si>
    <t>PAYMENT SUMMARY</t>
  </si>
  <si>
    <t>Endo Payment</t>
  </si>
  <si>
    <t>Wampum Borough</t>
  </si>
  <si>
    <t>Mahoning Township</t>
  </si>
  <si>
    <t>New Castle City</t>
  </si>
  <si>
    <t>Warrington Township</t>
  </si>
  <si>
    <t>Lower Makefield Township</t>
  </si>
  <si>
    <t>Warminster Township</t>
  </si>
  <si>
    <t>Clearfield County DA</t>
  </si>
  <si>
    <t>Bensalem Township</t>
  </si>
  <si>
    <t>Westmoreland County DA</t>
  </si>
  <si>
    <t>Lehigh County DA</t>
  </si>
  <si>
    <t>Berks County DA</t>
  </si>
  <si>
    <t>Delaware County DA</t>
  </si>
  <si>
    <t>Bucks County DA</t>
  </si>
  <si>
    <t>Allegheny County DA</t>
  </si>
  <si>
    <t>Philadelphia County DA</t>
  </si>
  <si>
    <t>Endo Total</t>
  </si>
  <si>
    <t>Litigating Subs w/ Floor</t>
  </si>
  <si>
    <t>County w/ Floor</t>
  </si>
  <si>
    <t>* State Cost Fund should be directed to the Commonwealth, as it is Additional Restitution to compensate legal work performed by internal staff of State Attorneys General - Exhibit 2 of the Endo Trust Agreement</t>
  </si>
  <si>
    <t>State Cost Fund</t>
  </si>
  <si>
    <t>Final Payment</t>
  </si>
  <si>
    <t>PA Endo</t>
  </si>
  <si>
    <t>Final - 12/1/2025</t>
  </si>
  <si>
    <t>Final  - 12/1/2025</t>
  </si>
  <si>
    <r>
      <t>Adjusted % (</t>
    </r>
    <r>
      <rPr>
        <sz val="11"/>
        <color theme="1"/>
        <rFont val="Calibri"/>
        <family val="2"/>
        <scheme val="minor"/>
      </rPr>
      <t>W/</t>
    </r>
    <r>
      <rPr>
        <b/>
        <sz val="12"/>
        <color theme="1"/>
        <rFont val="Calibri"/>
        <family val="2"/>
        <scheme val="minor"/>
      </rPr>
      <t>Floors)</t>
    </r>
  </si>
  <si>
    <t>Pop not receiving floor</t>
  </si>
  <si>
    <t xml:space="preserve">Allegheny County </t>
  </si>
  <si>
    <t>Philadelphia County</t>
  </si>
  <si>
    <t>Percent of Floor Lost</t>
  </si>
  <si>
    <t>Final Payment w/ Floors</t>
  </si>
  <si>
    <t>Gross % w/ Floors</t>
  </si>
  <si>
    <t>Unbalanced with Floors</t>
  </si>
  <si>
    <t>Minimum Payment</t>
  </si>
  <si>
    <t>Payment w/ no floors</t>
  </si>
  <si>
    <t xml:space="preserve">No Floor % </t>
  </si>
  <si>
    <t>Population 2020</t>
  </si>
  <si>
    <t>Unbalanced</t>
  </si>
  <si>
    <t>Check</t>
  </si>
  <si>
    <t>Final</t>
  </si>
  <si>
    <t>*No Bellwethers identified for Endo</t>
  </si>
  <si>
    <t>Final Payment - 12/1/25</t>
  </si>
  <si>
    <t>Bellwether</t>
  </si>
  <si>
    <t>Ratio</t>
  </si>
  <si>
    <t>Endo Litigating</t>
  </si>
  <si>
    <t>Total W1 Litigating</t>
  </si>
  <si>
    <t>Endo Exact Ratio</t>
  </si>
  <si>
    <t>W1 Amounts</t>
  </si>
  <si>
    <t>Over 100k</t>
  </si>
  <si>
    <t>50k-100k</t>
  </si>
  <si>
    <t>10k to 50k</t>
  </si>
  <si>
    <t>Smaller than 10k</t>
  </si>
  <si>
    <t xml:space="preserve">Comparison </t>
  </si>
  <si>
    <t xml:space="preserve">Ratio for Litigating Subdivisions Minimum Amount </t>
  </si>
  <si>
    <t>Total Payment 5 Distributions</t>
  </si>
  <si>
    <t>Total Payment 5 to Payees</t>
  </si>
  <si>
    <t>Total Costs</t>
  </si>
  <si>
    <t>Trust Administrative Fund</t>
  </si>
  <si>
    <t>Total Payment 5 (Attorney/Admin, Dist Atty Fees, JJ Atty Fees)</t>
  </si>
  <si>
    <t>JJ Atty Fees</t>
  </si>
  <si>
    <t>Dist Atty Fees</t>
  </si>
  <si>
    <t>Attorney/Admin Costs</t>
  </si>
  <si>
    <t>Unique ID</t>
  </si>
  <si>
    <t>Cost/Fees</t>
  </si>
  <si>
    <t>COPA</t>
  </si>
  <si>
    <t xml:space="preserve">Total Payment 4 </t>
  </si>
  <si>
    <t>JJ Payment</t>
  </si>
  <si>
    <t>Dist Payment</t>
  </si>
  <si>
    <t>Payee (COPA)</t>
  </si>
  <si>
    <t>Totals</t>
  </si>
  <si>
    <t>Wilkes-Barre township, Luzerne County, Pennsylvania</t>
  </si>
  <si>
    <t>Wilkes-Barre city, Luzerne County, Pennsylvania</t>
  </si>
  <si>
    <t>Kingston borough, Luzerne County, Pennsylvania</t>
  </si>
  <si>
    <t>Hazleton city, Luzerne County, Pennsylvania</t>
  </si>
  <si>
    <t>Hanover township, Luzerne County, Pennsylvania</t>
  </si>
  <si>
    <t xml:space="preserve">Forty Fort Borough, Luzerne County, Pennsylvania </t>
  </si>
  <si>
    <t>Fairview township, Luzerne County, Pennsylvania</t>
  </si>
  <si>
    <t>Exeter Borough, Luzerne County, Pennsylvania</t>
  </si>
  <si>
    <t xml:space="preserve">Edwardsville Borough, Luzerne County, Pennsylvania </t>
  </si>
  <si>
    <t>Coatesville city, Chester County, Pennsylvania</t>
  </si>
  <si>
    <t xml:space="preserve">City of Lock Haven, Clinton County, Pennsylvania </t>
  </si>
  <si>
    <t>Bristol township, Bucks County, Pennsylvania</t>
  </si>
  <si>
    <t>Bensalem township, Bucks County, Pennsylvania</t>
  </si>
  <si>
    <t>Allentown city, Lehigh County, Pennsylvania</t>
  </si>
  <si>
    <t>Aliquippa city, Beaver County, Pennsylvania</t>
  </si>
  <si>
    <t>Total Payment 5</t>
  </si>
  <si>
    <t>JJ Litigating</t>
  </si>
  <si>
    <t>Dist Litigating</t>
  </si>
  <si>
    <t>Payee (Subdivisions)</t>
  </si>
  <si>
    <t>ERIE COUNTY DA</t>
  </si>
  <si>
    <t>Total Payment 4</t>
  </si>
  <si>
    <t>MNK Bellwether</t>
  </si>
  <si>
    <t>JJ Bellwether</t>
  </si>
  <si>
    <t>Total Litigation ( Dist, JJ)</t>
  </si>
  <si>
    <t>Payee (DAs)</t>
  </si>
  <si>
    <t>Reductions/COPA Bonus</t>
  </si>
  <si>
    <t xml:space="preserve">MNK Bellwether </t>
  </si>
  <si>
    <t>Dist Bellwether</t>
  </si>
  <si>
    <t xml:space="preserve">Total Litigating </t>
  </si>
  <si>
    <t>Bellwether JJ</t>
  </si>
  <si>
    <t>Bellwether Dist</t>
  </si>
  <si>
    <t xml:space="preserve">Total County Payment </t>
  </si>
  <si>
    <t>County Payment</t>
  </si>
  <si>
    <t>Payee (Counties)</t>
  </si>
  <si>
    <t>(Litigating J&amp;J)</t>
  </si>
  <si>
    <t>(Litigating Ds</t>
  </si>
  <si>
    <t>Admin Costs</t>
  </si>
  <si>
    <t>Attorney's Costs</t>
  </si>
  <si>
    <t>J&amp;J Attorneys Fees</t>
  </si>
  <si>
    <t>Distributors Atty Fees</t>
  </si>
  <si>
    <t>PA J&amp;J</t>
  </si>
  <si>
    <t xml:space="preserve">PA Distributors </t>
  </si>
  <si>
    <t xml:space="preserve">J&amp;J Payment 3 </t>
  </si>
  <si>
    <t>Distributors Payment 3</t>
  </si>
  <si>
    <t>Attorney Fee Adjustment</t>
  </si>
  <si>
    <t>Difference</t>
  </si>
  <si>
    <t>The Distributor and J&amp;J's Payment 3 to the Trust was higher than estimated.  An adjustment to the Attorney fees was applied.</t>
  </si>
  <si>
    <t>Yearly Fee Payment</t>
  </si>
  <si>
    <t>Updated Fee Total</t>
  </si>
  <si>
    <t>Fee Reduction</t>
  </si>
  <si>
    <t>Percentage Reduction for non-joiners</t>
  </si>
  <si>
    <t>Total Fees</t>
  </si>
  <si>
    <t>Total Dollars</t>
  </si>
  <si>
    <t>J&amp;J</t>
  </si>
  <si>
    <t>Distributors</t>
  </si>
  <si>
    <t>Payment 18 -2038</t>
  </si>
  <si>
    <t>Payment 17 - 2037</t>
  </si>
  <si>
    <t>Payment 16 - 2036</t>
  </si>
  <si>
    <t>Payment 15 - 2035</t>
  </si>
  <si>
    <t>Payment 14 - 2034</t>
  </si>
  <si>
    <t>Payment 13 - 2033</t>
  </si>
  <si>
    <t>Payment 12 - 2032</t>
  </si>
  <si>
    <t>Payment 11 - 2031</t>
  </si>
  <si>
    <t>Payment 10 -2030</t>
  </si>
  <si>
    <t>Payment 9 -2029</t>
  </si>
  <si>
    <t>Payment 8 - 2028</t>
  </si>
  <si>
    <t>Payment 7 - 2027</t>
  </si>
  <si>
    <t>Payment 6 - 2026</t>
  </si>
  <si>
    <t>Payment 5 - 2025</t>
  </si>
  <si>
    <t>Payment 4 - 2024</t>
  </si>
  <si>
    <t>Payment 3 - 2023</t>
  </si>
  <si>
    <t>Payment 2 - 12/1/22</t>
  </si>
  <si>
    <t>Payment 1 - 9/1/22</t>
  </si>
  <si>
    <t>Fairview township, York County, Pennsylvania</t>
  </si>
  <si>
    <t>YORK COUNTY</t>
  </si>
  <si>
    <t>WYOMING COUNTY</t>
  </si>
  <si>
    <t>WESTMORELAND COUNTY</t>
  </si>
  <si>
    <t>WASHINGTON COUNTY</t>
  </si>
  <si>
    <t>TIOGA COUNTY</t>
  </si>
  <si>
    <t>SCHUYLKILL COUNTY</t>
  </si>
  <si>
    <t>PIKE COUNTY</t>
  </si>
  <si>
    <t>PHILADELPHIA  COUNTY</t>
  </si>
  <si>
    <t>NORTHUMBERLAND COUNTY</t>
  </si>
  <si>
    <t>MONROE COUNTY</t>
  </si>
  <si>
    <t>MERCER COUNTY</t>
  </si>
  <si>
    <t>LYCOMING COUNTY</t>
  </si>
  <si>
    <t>LUZERNE COUNTY</t>
  </si>
  <si>
    <t>LEHIGH COUNTY</t>
  </si>
  <si>
    <t>LAWRENCE COUNTY</t>
  </si>
  <si>
    <t>LACKAWANNA COUNTY</t>
  </si>
  <si>
    <t>INDIANA COUNTY</t>
  </si>
  <si>
    <t>HUNTINGDON COUNTY</t>
  </si>
  <si>
    <t>GREENE COUNTY</t>
  </si>
  <si>
    <t>FRANKLIN COUNTY</t>
  </si>
  <si>
    <t>FAYETTE COUNTY</t>
  </si>
  <si>
    <t>ERIE COUNTY</t>
  </si>
  <si>
    <t>DELAWARE COUNTY</t>
  </si>
  <si>
    <t>CUMBERLAND COUNTY</t>
  </si>
  <si>
    <t>COLUMBIA COUNTY</t>
  </si>
  <si>
    <t>CLINTON COUNTY</t>
  </si>
  <si>
    <t>CLEARFIELD COUNTY</t>
  </si>
  <si>
    <t>CLARION COUNTY</t>
  </si>
  <si>
    <t>CHESTER COUNTY</t>
  </si>
  <si>
    <t>CARBON COUNTY</t>
  </si>
  <si>
    <t>CAMBRIA COUNTY</t>
  </si>
  <si>
    <t>BUCKS COUNTY</t>
  </si>
  <si>
    <t>BRADFORD COUNTY</t>
  </si>
  <si>
    <t>BEDFORD COUNTY</t>
  </si>
  <si>
    <t>BEAVER COUNTY</t>
  </si>
  <si>
    <t>ARMSTRONG COUNTY</t>
  </si>
  <si>
    <t>ALLEGHENY COUNTY</t>
  </si>
  <si>
    <t>ADAMS COUNTY</t>
  </si>
  <si>
    <t>total</t>
  </si>
  <si>
    <t>Unique Id</t>
  </si>
  <si>
    <t xml:space="preserve">Mahoning Township, Carbon County, Pennsylvania </t>
  </si>
  <si>
    <t>NORTHAMPTON COUNTY</t>
  </si>
  <si>
    <t>DAUPHIN COUNTY</t>
  </si>
  <si>
    <t>Payment 11 -2031</t>
  </si>
  <si>
    <t>Payment 10 - 2030</t>
  </si>
  <si>
    <t>Payment 9 - 2029</t>
  </si>
  <si>
    <t>Payment 2 - 12/15/22</t>
  </si>
  <si>
    <t>Payment 1 (D's Only) -9/1/22</t>
  </si>
  <si>
    <t xml:space="preserve">Unique ID </t>
  </si>
  <si>
    <t>Total Payment 5                (Dist, JJ)</t>
  </si>
  <si>
    <t>Dist Bellweather</t>
  </si>
  <si>
    <t>Total  Payment 5</t>
  </si>
  <si>
    <t>Endo Total Payment</t>
  </si>
  <si>
    <t>PAYMENT 3</t>
  </si>
  <si>
    <t>Payment  3</t>
  </si>
  <si>
    <t>None</t>
  </si>
  <si>
    <t>Wave 2*</t>
  </si>
  <si>
    <t>* Second distribution, 3rd payment on attached schedules</t>
  </si>
  <si>
    <t>Partial Distrib</t>
  </si>
  <si>
    <t xml:space="preserve">Distributors </t>
  </si>
  <si>
    <t xml:space="preserve">Less  Distributors </t>
  </si>
  <si>
    <t>Distributor Lit</t>
  </si>
  <si>
    <t>Sub Payment</t>
  </si>
  <si>
    <t>Payment</t>
  </si>
  <si>
    <t>Litigating subs</t>
  </si>
  <si>
    <t>Commonwealth *</t>
  </si>
  <si>
    <t>*  Distributor payment  received  less reduced fees ( 37,328,685.19 - $7,291,901.03 = $30,223,784 *.15))</t>
  </si>
  <si>
    <t>Total expected</t>
  </si>
  <si>
    <t>Amount held in escrow</t>
  </si>
  <si>
    <t>Deposit</t>
  </si>
  <si>
    <t>Percent Received</t>
  </si>
  <si>
    <t>Distributors 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</si>
</sst>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quot;$&quot;#,##0"/>
    <numFmt numFmtId="167" formatCode="_(* #,##0_);_(* \(#,##0\);_(* &quot;-&quot;??_);_(@_)"/>
    <numFmt numFmtId="168" formatCode="0.0000000000"/>
    <numFmt numFmtId="169" formatCode="0.000000000"/>
  </numFmts>
  <fonts count="40"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4" tint="-0.249977111117893"/>
      <name val="Calibri"/>
      <family val="2"/>
      <scheme val="minor"/>
    </font>
    <font>
      <sz val="12"/>
      <color theme="4" tint="-0.249977111117893"/>
      <name val="Calibri"/>
      <family val="2"/>
      <scheme val="minor"/>
    </font>
    <font>
      <b/>
      <sz val="12"/>
      <color theme="1"/>
      <name val="Calibri"/>
      <family val="2"/>
      <scheme val="minor"/>
    </font>
    <font>
      <sz val="12"/>
      <color theme="1"/>
      <name val="Calibri"/>
      <family val="2"/>
      <scheme val="minor"/>
    </font>
    <font>
      <b/>
      <sz val="12"/>
      <color theme="4" tint="-0.249977111117893"/>
      <name val="Calibri"/>
      <family val="2"/>
      <scheme val="minor"/>
    </font>
    <font>
      <sz val="12"/>
      <color theme="4" tint="-0.249977111117893"/>
      <name val="Calibri"/>
      <family val="2"/>
      <scheme val="minor"/>
    </font>
    <font>
      <sz val="11"/>
      <color theme="4" tint="-0.249977111117893"/>
      <name val="Calibri"/>
      <family val="2"/>
      <scheme val="minor"/>
    </font>
    <font>
      <sz val="11"/>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sz val="10"/>
      <name val="Calibri"/>
      <family val="2"/>
      <scheme val="minor"/>
    </font>
    <font>
      <b/>
      <sz val="16"/>
      <color theme="1"/>
      <name val="Calibri"/>
      <family val="2"/>
      <scheme val="minor"/>
    </font>
    <font>
      <sz val="12"/>
      <color rgb="FF000000"/>
      <name val="Times New Roman"/>
      <family val="1"/>
    </font>
    <font>
      <sz val="12"/>
      <name val="Calibri"/>
      <family val="2"/>
      <scheme val="minor"/>
    </font>
    <font>
      <sz val="12"/>
      <name val="Times New Roman"/>
      <family val="1"/>
    </font>
    <font>
      <sz val="12"/>
      <color theme="0"/>
      <name val="Times New Roman"/>
      <family val="1"/>
    </font>
    <font>
      <b/>
      <sz val="12"/>
      <color rgb="FF000000"/>
      <name val="Calibri"/>
      <family val="2"/>
      <scheme val="minor"/>
    </font>
    <font>
      <sz val="11"/>
      <color rgb="FF9C5700"/>
      <name val="Calibri"/>
      <family val="2"/>
      <scheme val="minor"/>
    </font>
    <font>
      <b/>
      <sz val="12"/>
      <color theme="0"/>
      <name val="Calibri"/>
      <family val="2"/>
      <scheme val="minor"/>
    </font>
    <font>
      <b/>
      <sz val="11"/>
      <color theme="4"/>
      <name val="Calibri"/>
      <family val="2"/>
      <scheme val="minor"/>
    </font>
    <font>
      <b/>
      <sz val="11"/>
      <color theme="4" tint="-0.249977111117893"/>
      <name val="Calibri"/>
      <family val="2"/>
      <scheme val="minor"/>
    </font>
    <font>
      <sz val="11"/>
      <color rgb="FF2F75B5"/>
      <name val="Calibri"/>
      <family val="2"/>
    </font>
    <font>
      <sz val="11"/>
      <color rgb="FF9C6500"/>
      <name val="Calibri"/>
      <family val="2"/>
      <scheme val="minor"/>
    </font>
    <font>
      <sz val="12"/>
      <color theme="1"/>
      <name val="Times New Roman"/>
      <family val="2"/>
    </font>
    <font>
      <sz val="12"/>
      <color theme="1"/>
      <name val="Times New Roman"/>
      <family val="1"/>
    </font>
    <font>
      <sz val="12"/>
      <color rgb="FF305496"/>
      <name val="Calibri"/>
      <family val="2"/>
      <scheme val="minor"/>
    </font>
    <font>
      <sz val="11"/>
      <name val="Calibri"/>
      <family val="2"/>
    </font>
    <font>
      <sz val="11"/>
      <color theme="1"/>
      <name val="Aptos Narrow"/>
      <family val="2"/>
    </font>
    <font>
      <b/>
      <sz val="11"/>
      <color rgb="FF000000"/>
      <name val="Aptos Narrow"/>
      <family val="2"/>
    </font>
    <font>
      <b/>
      <u/>
      <sz val="11"/>
      <color rgb="FF000000"/>
      <name val="Aptos Narrow"/>
      <family val="2"/>
    </font>
    <font>
      <u/>
      <sz val="11"/>
      <color rgb="FF000000"/>
      <name val="Aptos Narrow"/>
      <family val="2"/>
    </font>
    <font>
      <sz val="11"/>
      <color rgb="FF000000"/>
      <name val="Aptos Narrow"/>
      <family val="2"/>
    </font>
    <font>
      <sz val="12"/>
      <color rgb="FF000000"/>
      <name val="Aptos Narrow"/>
      <family val="2"/>
    </font>
    <font>
      <u val="singleAccounting"/>
      <sz val="11"/>
      <color rgb="FF000000"/>
      <name val="Aptos Narrow"/>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rgb="FFFFEB9C"/>
      </patternFill>
    </fill>
    <fill>
      <patternFill patternType="solid">
        <fgColor rgb="FFFFFF00"/>
        <bgColor rgb="FF000000"/>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C0E6F5"/>
      </patternFill>
    </fill>
    <fill>
      <patternFill patternType="solid">
        <fgColor rgb="FFFFFFFF"/>
        <bgColor rgb="FF000000"/>
      </patternFill>
    </fill>
  </fills>
  <borders count="13">
    <border>
      <left/>
      <right/>
      <top/>
      <bottom/>
      <diagonal/>
    </border>
    <border>
      <left/>
      <right/>
      <top style="thin">
        <color theme="4"/>
      </top>
      <bottom style="thin">
        <color theme="4"/>
      </bottom>
      <diagonal/>
    </border>
    <border>
      <left/>
      <right/>
      <top/>
      <bottom style="thin">
        <color theme="4"/>
      </bottom>
      <diagonal/>
    </border>
    <border>
      <left/>
      <right/>
      <top style="thin">
        <color theme="4" tint="0.39997558519241921"/>
      </top>
      <bottom style="thin">
        <color theme="4" tint="0.39997558519241921"/>
      </bottom>
      <diagonal/>
    </border>
    <border>
      <left/>
      <right/>
      <top/>
      <bottom style="thin">
        <color auto="1"/>
      </bottom>
      <diagonal/>
    </border>
    <border>
      <left/>
      <right/>
      <top style="thin">
        <color auto="1"/>
      </top>
      <bottom style="thin">
        <color auto="1"/>
      </bottom>
      <diagonal/>
    </border>
    <border>
      <left/>
      <right/>
      <top/>
      <bottom style="double">
        <color auto="1"/>
      </bottom>
      <diagonal/>
    </border>
    <border>
      <left/>
      <right/>
      <top style="thin">
        <color theme="4" tint="0.3999755851924192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ashed">
        <color auto="1"/>
      </bottom>
      <diagonal/>
    </border>
    <border>
      <left/>
      <right/>
      <top style="thin">
        <color rgb="FF44B3E1"/>
      </top>
      <bottom style="thin">
        <color rgb="FF44B3E1"/>
      </bottom>
      <diagonal/>
    </border>
  </borders>
  <cellStyleXfs count="9">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23" fillId="5" borderId="0" applyNumberFormat="0" applyBorder="0" applyAlignment="0" applyProtection="0"/>
    <xf numFmtId="0" fontId="29" fillId="0" borderId="0"/>
  </cellStyleXfs>
  <cellXfs count="196">
    <xf numFmtId="0" fontId="0" fillId="0" borderId="0" xfId="0"/>
    <xf numFmtId="0" fontId="1" fillId="0" borderId="0" xfId="1"/>
    <xf numFmtId="14" fontId="1" fillId="0" borderId="0" xfId="1" applyNumberFormat="1"/>
    <xf numFmtId="0" fontId="1" fillId="0" borderId="0" xfId="0" applyFont="1"/>
    <xf numFmtId="44" fontId="1" fillId="0" borderId="0" xfId="3" applyFont="1"/>
    <xf numFmtId="44" fontId="6" fillId="2" borderId="0" xfId="3" applyFont="1" applyFill="1"/>
    <xf numFmtId="44" fontId="6" fillId="0" borderId="0" xfId="3" applyFont="1"/>
    <xf numFmtId="44" fontId="0" fillId="0" borderId="0" xfId="0" applyNumberFormat="1"/>
    <xf numFmtId="44" fontId="1" fillId="0" borderId="0" xfId="1" applyNumberFormat="1"/>
    <xf numFmtId="44" fontId="1" fillId="0" borderId="0" xfId="0" applyNumberFormat="1" applyFont="1"/>
    <xf numFmtId="44" fontId="1" fillId="0" borderId="0" xfId="2" applyFont="1"/>
    <xf numFmtId="165" fontId="1" fillId="0" borderId="0" xfId="0" applyNumberFormat="1" applyFont="1"/>
    <xf numFmtId="0" fontId="6" fillId="2" borderId="0" xfId="0" applyFont="1" applyFill="1"/>
    <xf numFmtId="0" fontId="3" fillId="3" borderId="3" xfId="0" applyFont="1" applyFill="1" applyBorder="1"/>
    <xf numFmtId="0" fontId="0" fillId="2" borderId="3" xfId="0" applyFill="1" applyBorder="1"/>
    <xf numFmtId="0" fontId="0" fillId="0" borderId="3" xfId="0" applyBorder="1"/>
    <xf numFmtId="0" fontId="4" fillId="0" borderId="0" xfId="0" applyFont="1"/>
    <xf numFmtId="164" fontId="4" fillId="0" borderId="0" xfId="0" applyNumberFormat="1" applyFont="1"/>
    <xf numFmtId="44" fontId="0" fillId="0" borderId="0" xfId="3" applyFont="1"/>
    <xf numFmtId="0" fontId="5" fillId="0" borderId="1" xfId="1" applyFont="1" applyBorder="1"/>
    <xf numFmtId="0" fontId="6" fillId="0" borderId="0" xfId="1" applyFont="1"/>
    <xf numFmtId="14" fontId="6" fillId="0" borderId="0" xfId="1" applyNumberFormat="1" applyFont="1"/>
    <xf numFmtId="0" fontId="6" fillId="2" borderId="0" xfId="1" applyFont="1" applyFill="1"/>
    <xf numFmtId="14" fontId="6" fillId="2" borderId="0" xfId="1" applyNumberFormat="1" applyFont="1" applyFill="1"/>
    <xf numFmtId="44" fontId="6" fillId="2" borderId="0" xfId="1" applyNumberFormat="1" applyFont="1" applyFill="1"/>
    <xf numFmtId="44" fontId="6" fillId="0" borderId="0" xfId="1" applyNumberFormat="1" applyFont="1"/>
    <xf numFmtId="44" fontId="6" fillId="0" borderId="2" xfId="1" applyNumberFormat="1" applyFont="1" applyBorder="1"/>
    <xf numFmtId="0" fontId="5" fillId="0" borderId="0" xfId="1" applyFont="1"/>
    <xf numFmtId="0" fontId="7" fillId="0" borderId="0" xfId="0" applyFont="1"/>
    <xf numFmtId="44" fontId="8" fillId="0" borderId="0" xfId="3" applyFont="1"/>
    <xf numFmtId="0" fontId="9" fillId="0" borderId="0" xfId="1" applyFont="1"/>
    <xf numFmtId="0" fontId="5" fillId="0" borderId="2" xfId="1" applyFont="1" applyBorder="1"/>
    <xf numFmtId="44" fontId="10" fillId="0" borderId="0" xfId="1" applyNumberFormat="1" applyFont="1"/>
    <xf numFmtId="0" fontId="9" fillId="0" borderId="2" xfId="1" applyFont="1" applyBorder="1"/>
    <xf numFmtId="44" fontId="4" fillId="0" borderId="0" xfId="0" applyNumberFormat="1" applyFont="1"/>
    <xf numFmtId="0" fontId="11" fillId="0" borderId="0" xfId="0" applyFont="1"/>
    <xf numFmtId="44" fontId="12" fillId="0" borderId="0" xfId="3" applyFont="1"/>
    <xf numFmtId="0" fontId="12" fillId="0" borderId="0" xfId="0" applyFont="1"/>
    <xf numFmtId="44" fontId="12" fillId="0" borderId="0" xfId="0" applyNumberFormat="1" applyFont="1"/>
    <xf numFmtId="0" fontId="3" fillId="0" borderId="0" xfId="0" applyFont="1"/>
    <xf numFmtId="44" fontId="0" fillId="0" borderId="0" xfId="3" applyFont="1" applyFill="1" applyBorder="1"/>
    <xf numFmtId="44" fontId="12" fillId="0" borderId="0" xfId="3" applyFont="1" applyFill="1" applyBorder="1"/>
    <xf numFmtId="44" fontId="13" fillId="0" borderId="0" xfId="0" applyNumberFormat="1" applyFont="1"/>
    <xf numFmtId="0" fontId="4" fillId="0" borderId="4" xfId="0" applyFont="1" applyBorder="1"/>
    <xf numFmtId="0" fontId="4" fillId="0" borderId="4" xfId="0" applyFont="1" applyBorder="1" applyAlignment="1">
      <alignment horizontal="center"/>
    </xf>
    <xf numFmtId="164" fontId="0" fillId="0" borderId="0" xfId="0" applyNumberFormat="1"/>
    <xf numFmtId="0" fontId="4" fillId="0" borderId="0" xfId="0" applyFont="1" applyAlignment="1">
      <alignment horizontal="center"/>
    </xf>
    <xf numFmtId="0" fontId="4" fillId="0" borderId="5" xfId="0" applyFont="1" applyBorder="1" applyAlignment="1">
      <alignment horizontal="center"/>
    </xf>
    <xf numFmtId="0" fontId="4" fillId="0" borderId="4" xfId="0" applyFont="1" applyBorder="1" applyAlignment="1">
      <alignment horizontal="left"/>
    </xf>
    <xf numFmtId="44" fontId="0" fillId="0" borderId="0" xfId="3" applyFont="1" applyFill="1"/>
    <xf numFmtId="44" fontId="0" fillId="0" borderId="3" xfId="0" applyNumberFormat="1" applyBorder="1"/>
    <xf numFmtId="44" fontId="0" fillId="0" borderId="4" xfId="0" applyNumberFormat="1" applyBorder="1"/>
    <xf numFmtId="44" fontId="16" fillId="0" borderId="0" xfId="0" applyNumberFormat="1" applyFont="1"/>
    <xf numFmtId="44" fontId="4" fillId="0" borderId="0" xfId="3" applyFont="1" applyFill="1"/>
    <xf numFmtId="0" fontId="0" fillId="0" borderId="0" xfId="0" applyAlignment="1">
      <alignment horizontal="center"/>
    </xf>
    <xf numFmtId="44" fontId="4" fillId="0" borderId="0" xfId="3" applyFont="1" applyFill="1" applyAlignment="1">
      <alignment horizontal="center"/>
    </xf>
    <xf numFmtId="0" fontId="0" fillId="0" borderId="4" xfId="0" applyBorder="1" applyAlignment="1">
      <alignment horizontal="center"/>
    </xf>
    <xf numFmtId="0" fontId="4" fillId="0" borderId="0" xfId="0" applyFont="1" applyAlignment="1">
      <alignment horizontal="left"/>
    </xf>
    <xf numFmtId="44" fontId="12" fillId="0" borderId="0" xfId="3" applyFont="1" applyFill="1"/>
    <xf numFmtId="44" fontId="0" fillId="0" borderId="4" xfId="3" applyFont="1" applyFill="1" applyBorder="1"/>
    <xf numFmtId="44" fontId="15" fillId="0" borderId="0" xfId="3" applyFont="1" applyFill="1"/>
    <xf numFmtId="44" fontId="13" fillId="0" borderId="0" xfId="3" applyFont="1" applyFill="1"/>
    <xf numFmtId="44" fontId="12" fillId="0" borderId="4" xfId="3" applyFont="1" applyFill="1" applyBorder="1"/>
    <xf numFmtId="164" fontId="13" fillId="0" borderId="0" xfId="0" applyNumberFormat="1" applyFont="1"/>
    <xf numFmtId="0" fontId="15" fillId="0" borderId="0" xfId="0" applyFont="1"/>
    <xf numFmtId="0" fontId="14" fillId="0" borderId="0" xfId="0" applyFont="1"/>
    <xf numFmtId="44" fontId="0" fillId="0" borderId="7" xfId="3" applyFont="1" applyFill="1" applyBorder="1"/>
    <xf numFmtId="44" fontId="4" fillId="0" borderId="6" xfId="3" applyFont="1" applyFill="1" applyBorder="1"/>
    <xf numFmtId="0" fontId="15" fillId="0" borderId="0" xfId="0" applyFont="1" applyAlignment="1">
      <alignment horizontal="right"/>
    </xf>
    <xf numFmtId="44" fontId="4" fillId="0" borderId="4" xfId="3" applyFont="1" applyFill="1" applyBorder="1"/>
    <xf numFmtId="43" fontId="0" fillId="0" borderId="0" xfId="4" applyFont="1" applyFill="1"/>
    <xf numFmtId="43" fontId="0" fillId="0" borderId="0" xfId="4" applyFont="1"/>
    <xf numFmtId="43" fontId="0" fillId="0" borderId="4" xfId="4" applyFont="1" applyFill="1" applyBorder="1"/>
    <xf numFmtId="43" fontId="0" fillId="0" borderId="4" xfId="4" applyFont="1" applyBorder="1"/>
    <xf numFmtId="43" fontId="0" fillId="0" borderId="0" xfId="4" applyFont="1" applyBorder="1"/>
    <xf numFmtId="44" fontId="0" fillId="0" borderId="0" xfId="3" applyFont="1" applyBorder="1"/>
    <xf numFmtId="43" fontId="0" fillId="0" borderId="4" xfId="5" applyFont="1" applyBorder="1"/>
    <xf numFmtId="43" fontId="0" fillId="0" borderId="0" xfId="5" applyFont="1"/>
    <xf numFmtId="0" fontId="7" fillId="0" borderId="4" xfId="1" applyFont="1" applyBorder="1" applyAlignment="1">
      <alignment horizontal="center" vertical="center"/>
    </xf>
    <xf numFmtId="166" fontId="1" fillId="0" borderId="0" xfId="1" applyNumberFormat="1"/>
    <xf numFmtId="164" fontId="1" fillId="0" borderId="0" xfId="1" applyNumberFormat="1"/>
    <xf numFmtId="166" fontId="6" fillId="0" borderId="0" xfId="1" applyNumberFormat="1" applyFont="1"/>
    <xf numFmtId="0" fontId="18" fillId="0" borderId="0" xfId="1" applyFont="1" applyAlignment="1">
      <alignment vertical="center"/>
    </xf>
    <xf numFmtId="164" fontId="19" fillId="0" borderId="0" xfId="1" applyNumberFormat="1" applyFont="1"/>
    <xf numFmtId="0" fontId="19" fillId="0" borderId="0" xfId="1" applyFont="1"/>
    <xf numFmtId="0" fontId="20" fillId="0" borderId="0" xfId="1" applyFont="1" applyAlignment="1">
      <alignment vertical="center"/>
    </xf>
    <xf numFmtId="0" fontId="21" fillId="0" borderId="0" xfId="1" applyFont="1" applyAlignment="1">
      <alignment vertical="center"/>
    </xf>
    <xf numFmtId="0" fontId="7" fillId="0" borderId="0" xfId="1" applyFont="1"/>
    <xf numFmtId="167" fontId="0" fillId="0" borderId="0" xfId="5" applyNumberFormat="1" applyFont="1"/>
    <xf numFmtId="44" fontId="0" fillId="0" borderId="0" xfId="2" applyFont="1"/>
    <xf numFmtId="164" fontId="0" fillId="0" borderId="0" xfId="2" applyNumberFormat="1" applyFont="1"/>
    <xf numFmtId="9" fontId="1" fillId="0" borderId="0" xfId="1" applyNumberFormat="1"/>
    <xf numFmtId="168" fontId="1" fillId="0" borderId="0" xfId="1" applyNumberFormat="1"/>
    <xf numFmtId="169" fontId="1" fillId="0" borderId="0" xfId="1" applyNumberFormat="1"/>
    <xf numFmtId="0" fontId="22" fillId="0" borderId="0" xfId="1" applyFont="1"/>
    <xf numFmtId="164" fontId="0" fillId="0" borderId="0" xfId="0" applyNumberFormat="1" applyAlignment="1">
      <alignment horizontal="center" wrapText="1"/>
    </xf>
    <xf numFmtId="0" fontId="26" fillId="0" borderId="0" xfId="0" applyFont="1"/>
    <xf numFmtId="164" fontId="11" fillId="0" borderId="0" xfId="0" applyNumberFormat="1" applyFont="1"/>
    <xf numFmtId="164" fontId="11" fillId="2" borderId="0" xfId="0" applyNumberFormat="1" applyFont="1" applyFill="1"/>
    <xf numFmtId="0" fontId="11" fillId="2" borderId="0" xfId="0" applyFont="1" applyFill="1"/>
    <xf numFmtId="0" fontId="26" fillId="0" borderId="1" xfId="0" applyFont="1" applyBorder="1"/>
    <xf numFmtId="164" fontId="27" fillId="0" borderId="0" xfId="0" applyNumberFormat="1" applyFont="1"/>
    <xf numFmtId="164" fontId="11" fillId="2" borderId="0" xfId="0" applyNumberFormat="1" applyFont="1" applyFill="1" applyAlignment="1">
      <alignment wrapText="1"/>
    </xf>
    <xf numFmtId="0" fontId="26" fillId="4" borderId="1" xfId="0" applyFont="1" applyFill="1" applyBorder="1"/>
    <xf numFmtId="164" fontId="28" fillId="0" borderId="0" xfId="7" applyNumberFormat="1" applyFont="1" applyFill="1"/>
    <xf numFmtId="0" fontId="26" fillId="0" borderId="1" xfId="0" applyFont="1" applyBorder="1" applyAlignment="1">
      <alignment horizontal="center" wrapText="1"/>
    </xf>
    <xf numFmtId="44" fontId="6" fillId="0" borderId="0" xfId="2" applyFont="1"/>
    <xf numFmtId="44" fontId="18" fillId="0" borderId="0" xfId="2" applyFont="1"/>
    <xf numFmtId="5" fontId="1" fillId="0" borderId="0" xfId="1" applyNumberFormat="1"/>
    <xf numFmtId="164" fontId="30" fillId="0" borderId="0" xfId="8" applyNumberFormat="1" applyFont="1" applyAlignment="1">
      <alignment horizontal="center" vertical="center" shrinkToFit="1"/>
    </xf>
    <xf numFmtId="14" fontId="31" fillId="0" borderId="0" xfId="1" applyNumberFormat="1" applyFont="1"/>
    <xf numFmtId="166" fontId="31" fillId="0" borderId="0" xfId="1" applyNumberFormat="1" applyFont="1"/>
    <xf numFmtId="0" fontId="1" fillId="0" borderId="0" xfId="1" applyAlignment="1">
      <alignment wrapText="1"/>
    </xf>
    <xf numFmtId="10" fontId="1" fillId="0" borderId="0" xfId="1" applyNumberFormat="1"/>
    <xf numFmtId="8" fontId="1" fillId="0" borderId="0" xfId="1" applyNumberFormat="1"/>
    <xf numFmtId="6" fontId="1" fillId="0" borderId="0" xfId="1" applyNumberFormat="1"/>
    <xf numFmtId="0" fontId="18" fillId="0" borderId="8" xfId="1" applyFont="1" applyBorder="1" applyAlignment="1">
      <alignment vertical="center"/>
    </xf>
    <xf numFmtId="0" fontId="18" fillId="0" borderId="9" xfId="1" applyFont="1" applyBorder="1" applyAlignment="1">
      <alignment vertical="center"/>
    </xf>
    <xf numFmtId="0" fontId="20" fillId="0" borderId="9" xfId="1" applyFont="1" applyBorder="1" applyAlignment="1">
      <alignment vertical="center"/>
    </xf>
    <xf numFmtId="0" fontId="1" fillId="7" borderId="0" xfId="1" applyFill="1"/>
    <xf numFmtId="0" fontId="18" fillId="0" borderId="10" xfId="1" applyFont="1" applyBorder="1" applyAlignment="1">
      <alignment vertical="center"/>
    </xf>
    <xf numFmtId="0" fontId="24" fillId="0" borderId="0" xfId="1" applyFont="1"/>
    <xf numFmtId="168" fontId="0" fillId="0" borderId="0" xfId="0" applyNumberFormat="1"/>
    <xf numFmtId="9" fontId="4" fillId="0" borderId="0" xfId="6" applyFont="1" applyFill="1"/>
    <xf numFmtId="164" fontId="15" fillId="0" borderId="0" xfId="0" applyNumberFormat="1" applyFont="1"/>
    <xf numFmtId="0" fontId="0" fillId="0" borderId="0" xfId="0" applyAlignment="1">
      <alignment horizontal="center" wrapText="1"/>
    </xf>
    <xf numFmtId="164" fontId="0" fillId="0" borderId="0" xfId="3" applyNumberFormat="1" applyFont="1" applyFill="1" applyBorder="1" applyAlignment="1">
      <alignment horizontal="center" wrapText="1"/>
    </xf>
    <xf numFmtId="0" fontId="25" fillId="0" borderId="0" xfId="0" applyFont="1" applyAlignment="1">
      <alignment horizontal="right"/>
    </xf>
    <xf numFmtId="0" fontId="25" fillId="0" borderId="0" xfId="0" applyFont="1"/>
    <xf numFmtId="164" fontId="25" fillId="0" borderId="0" xfId="0" applyNumberFormat="1" applyFont="1"/>
    <xf numFmtId="0" fontId="4" fillId="0" borderId="5" xfId="0" applyFont="1" applyBorder="1" applyAlignment="1">
      <alignment horizontal="left"/>
    </xf>
    <xf numFmtId="0" fontId="13" fillId="0" borderId="1" xfId="0" applyFont="1" applyBorder="1"/>
    <xf numFmtId="0" fontId="13" fillId="0" borderId="1" xfId="0"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wrapText="1"/>
    </xf>
    <xf numFmtId="0" fontId="13" fillId="4" borderId="1" xfId="0" applyFont="1" applyFill="1" applyBorder="1"/>
    <xf numFmtId="164" fontId="12" fillId="0" borderId="0" xfId="0" applyNumberFormat="1" applyFont="1"/>
    <xf numFmtId="164" fontId="12" fillId="2" borderId="0" xfId="0" applyNumberFormat="1" applyFont="1" applyFill="1"/>
    <xf numFmtId="164" fontId="12" fillId="0" borderId="0" xfId="7" applyNumberFormat="1" applyFont="1" applyFill="1"/>
    <xf numFmtId="0" fontId="13" fillId="0" borderId="0" xfId="0" applyFont="1"/>
    <xf numFmtId="164" fontId="32" fillId="6" borderId="0" xfId="0" applyNumberFormat="1" applyFont="1" applyFill="1"/>
    <xf numFmtId="164" fontId="12" fillId="0" borderId="0" xfId="0" applyNumberFormat="1" applyFont="1" applyAlignment="1">
      <alignment wrapText="1"/>
    </xf>
    <xf numFmtId="164" fontId="32" fillId="0" borderId="0" xfId="0" applyNumberFormat="1" applyFont="1"/>
    <xf numFmtId="0" fontId="12" fillId="0" borderId="0" xfId="0" applyFont="1" applyAlignment="1">
      <alignment horizontal="center" wrapText="1"/>
    </xf>
    <xf numFmtId="164" fontId="12" fillId="0" borderId="0" xfId="0" applyNumberFormat="1" applyFont="1" applyAlignment="1">
      <alignment horizontal="left" indent="1"/>
    </xf>
    <xf numFmtId="164" fontId="12" fillId="0" borderId="0" xfId="0" applyNumberFormat="1" applyFont="1" applyAlignment="1">
      <alignment horizontal="center" wrapText="1"/>
    </xf>
    <xf numFmtId="164" fontId="12" fillId="0" borderId="0" xfId="3" applyNumberFormat="1" applyFont="1" applyFill="1" applyBorder="1" applyAlignment="1">
      <alignment horizontal="center" wrapText="1"/>
    </xf>
    <xf numFmtId="0" fontId="13" fillId="0" borderId="0" xfId="0" applyFont="1" applyAlignment="1">
      <alignment horizontal="right"/>
    </xf>
    <xf numFmtId="44" fontId="0" fillId="0" borderId="3" xfId="3" applyFont="1" applyFill="1" applyBorder="1"/>
    <xf numFmtId="44" fontId="0" fillId="0" borderId="0" xfId="2" applyFont="1" applyFill="1"/>
    <xf numFmtId="164" fontId="1" fillId="0" borderId="0" xfId="2" applyNumberFormat="1" applyFont="1" applyFill="1"/>
    <xf numFmtId="44" fontId="0" fillId="0" borderId="7" xfId="0" applyNumberFormat="1" applyBorder="1"/>
    <xf numFmtId="2" fontId="12" fillId="0" borderId="3" xfId="3" applyNumberFormat="1" applyFont="1" applyFill="1" applyBorder="1"/>
    <xf numFmtId="2" fontId="12" fillId="0" borderId="3" xfId="2" applyNumberFormat="1" applyFont="1" applyFill="1" applyBorder="1"/>
    <xf numFmtId="0" fontId="0" fillId="8" borderId="0" xfId="0" applyFill="1"/>
    <xf numFmtId="44" fontId="12" fillId="8" borderId="0" xfId="3" applyFont="1" applyFill="1"/>
    <xf numFmtId="44" fontId="0" fillId="8" borderId="0" xfId="0" applyNumberFormat="1" applyFill="1"/>
    <xf numFmtId="44" fontId="0" fillId="8" borderId="0" xfId="3" applyFont="1" applyFill="1" applyBorder="1"/>
    <xf numFmtId="44" fontId="12" fillId="8" borderId="0" xfId="3" applyFont="1" applyFill="1" applyBorder="1"/>
    <xf numFmtId="0" fontId="4" fillId="8" borderId="0" xfId="0" applyFont="1" applyFill="1"/>
    <xf numFmtId="8" fontId="0" fillId="8" borderId="0" xfId="0" applyNumberFormat="1" applyFill="1"/>
    <xf numFmtId="4" fontId="0" fillId="8" borderId="0" xfId="0" applyNumberFormat="1" applyFill="1"/>
    <xf numFmtId="44" fontId="0" fillId="8" borderId="0" xfId="3" applyFont="1" applyFill="1" applyBorder="1" applyAlignment="1">
      <alignment horizontal="right"/>
    </xf>
    <xf numFmtId="0" fontId="0" fillId="8" borderId="0" xfId="0" applyFill="1" applyAlignment="1">
      <alignment wrapText="1"/>
    </xf>
    <xf numFmtId="44" fontId="12" fillId="9" borderId="0" xfId="3" applyFont="1" applyFill="1"/>
    <xf numFmtId="164" fontId="0" fillId="0" borderId="0" xfId="3" applyNumberFormat="1" applyFont="1"/>
    <xf numFmtId="0" fontId="4" fillId="0" borderId="11" xfId="0" applyFont="1" applyBorder="1" applyAlignment="1">
      <alignment horizontal="center"/>
    </xf>
    <xf numFmtId="44" fontId="1" fillId="0" borderId="0" xfId="2" applyFont="1" applyFill="1"/>
    <xf numFmtId="44" fontId="1" fillId="0" borderId="4" xfId="2" applyFont="1" applyFill="1" applyBorder="1"/>
    <xf numFmtId="44" fontId="1" fillId="0" borderId="4" xfId="1" applyNumberFormat="1" applyBorder="1"/>
    <xf numFmtId="0" fontId="33" fillId="0" borderId="0" xfId="0" applyFont="1"/>
    <xf numFmtId="0" fontId="34" fillId="0" borderId="0" xfId="0" applyFont="1" applyAlignment="1">
      <alignment horizontal="center"/>
    </xf>
    <xf numFmtId="0" fontId="35" fillId="0" borderId="0" xfId="0" applyFont="1" applyAlignment="1">
      <alignment horizontal="center"/>
    </xf>
    <xf numFmtId="0" fontId="35" fillId="0" borderId="0" xfId="0" applyFont="1"/>
    <xf numFmtId="0" fontId="36" fillId="0" borderId="0" xfId="0" applyFont="1"/>
    <xf numFmtId="2" fontId="33" fillId="0" borderId="0" xfId="3" applyNumberFormat="1" applyFont="1" applyFill="1" applyBorder="1" applyAlignment="1">
      <alignment horizontal="center"/>
    </xf>
    <xf numFmtId="0" fontId="33" fillId="0" borderId="0" xfId="0" applyFont="1" applyAlignment="1">
      <alignment horizontal="center"/>
    </xf>
    <xf numFmtId="44" fontId="33" fillId="0" borderId="0" xfId="3" applyFont="1" applyFill="1" applyBorder="1"/>
    <xf numFmtId="44" fontId="33" fillId="0" borderId="0" xfId="0" applyNumberFormat="1" applyFont="1"/>
    <xf numFmtId="44" fontId="33" fillId="10" borderId="12" xfId="2" applyFont="1" applyFill="1" applyBorder="1"/>
    <xf numFmtId="44" fontId="33" fillId="11" borderId="12" xfId="2" applyFont="1" applyFill="1" applyBorder="1"/>
    <xf numFmtId="0" fontId="33" fillId="11" borderId="0" xfId="0" applyFont="1" applyFill="1"/>
    <xf numFmtId="44" fontId="39" fillId="0" borderId="0" xfId="3" applyFont="1" applyFill="1" applyBorder="1"/>
    <xf numFmtId="44" fontId="39" fillId="0" borderId="0" xfId="0" applyNumberFormat="1" applyFont="1"/>
    <xf numFmtId="44" fontId="33" fillId="11" borderId="0" xfId="0" applyNumberFormat="1" applyFont="1" applyFill="1"/>
    <xf numFmtId="0" fontId="38" fillId="0" borderId="0" xfId="1" applyFont="1"/>
    <xf numFmtId="4" fontId="33" fillId="0" borderId="0" xfId="0" applyNumberFormat="1" applyFont="1"/>
    <xf numFmtId="8" fontId="33" fillId="0" borderId="0" xfId="3" applyNumberFormat="1" applyFont="1" applyFill="1" applyBorder="1"/>
    <xf numFmtId="0" fontId="37" fillId="11" borderId="4" xfId="0" applyFont="1" applyFill="1" applyBorder="1"/>
    <xf numFmtId="44" fontId="37" fillId="0" borderId="4" xfId="3" applyFont="1" applyFill="1" applyBorder="1"/>
    <xf numFmtId="0" fontId="37" fillId="0" borderId="4" xfId="0" applyFont="1" applyBorder="1"/>
    <xf numFmtId="44" fontId="37" fillId="0" borderId="4" xfId="0" applyNumberFormat="1" applyFont="1" applyBorder="1"/>
    <xf numFmtId="0" fontId="33" fillId="11" borderId="4" xfId="0" applyFont="1" applyFill="1" applyBorder="1"/>
    <xf numFmtId="44" fontId="33" fillId="0" borderId="4" xfId="0" applyNumberFormat="1" applyFont="1" applyBorder="1"/>
    <xf numFmtId="0" fontId="33" fillId="11" borderId="5" xfId="0" applyFont="1" applyFill="1" applyBorder="1"/>
    <xf numFmtId="0" fontId="17" fillId="0" borderId="0" xfId="0" applyFont="1" applyAlignment="1">
      <alignment horizontal="center"/>
    </xf>
  </cellXfs>
  <cellStyles count="9">
    <cellStyle name="Comma" xfId="4" builtinId="3"/>
    <cellStyle name="Comma 2" xfId="5" xr:uid="{51045104-5B3B-4145-93EC-BA26C01088A6}"/>
    <cellStyle name="Currency" xfId="3" builtinId="4"/>
    <cellStyle name="Currency 2" xfId="2" xr:uid="{00000000-0005-0000-0000-000001000000}"/>
    <cellStyle name="Neutral" xfId="7" builtinId="28"/>
    <cellStyle name="Normal" xfId="0" builtinId="0"/>
    <cellStyle name="Normal 2" xfId="1" xr:uid="{00000000-0005-0000-0000-000003000000}"/>
    <cellStyle name="Normal 2 2" xfId="8" xr:uid="{9AB0B936-4D09-4756-8A74-08FECA0C7389}"/>
    <cellStyle name="Percent" xfId="6" builtinId="5"/>
  </cellStyles>
  <dxfs count="283">
    <dxf>
      <numFmt numFmtId="166" formatCode="&quot;$&quot;#,##0"/>
    </dxf>
    <dxf>
      <numFmt numFmtId="166" formatCode="&quot;$&quot;#,##0"/>
    </dxf>
    <dxf>
      <numFmt numFmtId="166" formatCode="&quot;$&quot;#,##0"/>
    </dxf>
    <dxf>
      <numFmt numFmtId="164" formatCode="&quot;$&quot;#,##0.00"/>
    </dxf>
    <dxf>
      <numFmt numFmtId="164" formatCode="&quot;$&quot;#,##0.00"/>
    </dxf>
    <dxf>
      <numFmt numFmtId="0" formatCode="General"/>
    </dxf>
    <dxf>
      <numFmt numFmtId="0" formatCode="General"/>
    </dxf>
    <dxf>
      <numFmt numFmtId="164" formatCode="&quot;$&quot;#,##0.00"/>
    </dxf>
    <dxf>
      <numFmt numFmtId="164" formatCode="&quot;$&quot;#,##0.00"/>
    </dxf>
    <dxf>
      <numFmt numFmtId="164" formatCode="&quot;$&quot;#,##0.00"/>
    </dxf>
    <dxf>
      <numFmt numFmtId="0" formatCode="General"/>
    </dxf>
    <dxf>
      <numFmt numFmtId="167" formatCode="_(* #,##0_);_(* \(#,##0\);_(* &quot;-&quot;??_);_(@_)"/>
    </dxf>
    <dxf>
      <numFmt numFmtId="166" formatCode="&quot;$&quot;#,##0"/>
    </dxf>
    <dxf>
      <numFmt numFmtId="164" formatCode="&quot;$&quot;#,##0.00"/>
    </dxf>
    <dxf>
      <font>
        <b val="0"/>
        <i val="0"/>
        <strike val="0"/>
        <condense val="0"/>
        <extend val="0"/>
        <outline val="0"/>
        <shadow val="0"/>
        <u val="none"/>
        <vertAlign val="baseline"/>
        <sz val="12"/>
        <color rgb="FF000000"/>
        <name val="Times New Roman"/>
        <scheme val="none"/>
      </font>
      <alignment horizontal="general" vertical="center" textRotation="0" wrapText="0" indent="0" justifyLastLine="0" shrinkToFit="0" readingOrder="0"/>
    </dxf>
    <dxf>
      <border outline="0">
        <left style="medium">
          <color indexed="64"/>
        </left>
      </border>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2"/>
        <color theme="1"/>
        <name val="Calibri"/>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border outline="0">
        <top style="thin">
          <color theme="4"/>
        </top>
        <bottom style="thin">
          <color theme="4"/>
        </bottom>
      </border>
    </dxf>
    <dxf>
      <font>
        <b val="0"/>
        <i val="0"/>
        <strike val="0"/>
        <condense val="0"/>
        <extend val="0"/>
        <outline val="0"/>
        <shadow val="0"/>
        <u val="none"/>
        <vertAlign val="baseline"/>
        <sz val="12"/>
        <color theme="4" tint="-0.249977111117893"/>
        <name val="Calibri"/>
        <scheme val="minor"/>
      </font>
      <alignment horizontal="general" vertical="bottom" textRotation="0" wrapText="0" indent="0" justifyLastLine="0" shrinkToFit="0" readingOrder="0"/>
    </dxf>
    <dxf>
      <border outline="0">
        <bottom style="thin">
          <color theme="4"/>
        </bottom>
      </border>
    </dxf>
    <dxf>
      <font>
        <b/>
        <i val="0"/>
        <strike val="0"/>
        <condense val="0"/>
        <extend val="0"/>
        <outline val="0"/>
        <shadow val="0"/>
        <u val="none"/>
        <vertAlign val="baseline"/>
        <sz val="12"/>
        <color theme="4" tint="-0.249977111117893"/>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1"/>
        <color auto="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border outline="0">
        <left style="thin">
          <color theme="4" tint="0.39997558519241921"/>
        </left>
      </border>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none">
          <fgColor indexed="64"/>
          <bgColor indexed="65"/>
        </patternFill>
      </fill>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fill>
        <patternFill patternType="none">
          <fgColor indexed="64"/>
          <bgColor auto="1"/>
        </patternFill>
      </fill>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fill>
        <patternFill patternType="none">
          <fgColor indexed="64"/>
          <bgColor auto="1"/>
        </patternFill>
      </fill>
    </dxf>
    <dxf>
      <numFmt numFmtId="164" formatCode="&quot;$&quot;#,##0.00"/>
    </dxf>
    <dxf>
      <numFmt numFmtId="164" formatCode="&quot;$&quot;#,##0.00"/>
    </dxf>
    <dxf>
      <numFmt numFmtId="164" formatCode="&quot;$&quot;#,##0.00"/>
    </dxf>
    <dxf>
      <numFmt numFmtId="164" formatCode="&quot;$&quot;#,##0.00"/>
    </dxf>
    <dxf>
      <fill>
        <patternFill patternType="none">
          <fgColor indexed="64"/>
          <bgColor auto="1"/>
        </patternFill>
      </fill>
    </dxf>
    <dxf>
      <numFmt numFmtId="166" formatCode="&quot;$&quot;#,##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fill>
        <patternFill patternType="solid">
          <fgColor indexed="64"/>
          <bgColor rgb="FFFFFF00"/>
        </patternFill>
      </fill>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66" formatCode="&quot;$&quot;#,##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2"/>
        <color rgb="FF000000"/>
        <name val="Times New Roman"/>
        <scheme val="none"/>
      </font>
      <alignment horizontal="general" vertical="center" textRotation="0" wrapText="0"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2"/>
        <color rgb="FF000000"/>
        <name val="Calibri"/>
        <scheme val="minor"/>
      </font>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outline val="0"/>
        <shadow val="0"/>
        <u val="none"/>
        <vertAlign val="baseline"/>
        <sz val="12"/>
        <color theme="1"/>
        <name val="Calibri"/>
        <scheme val="minor"/>
      </font>
      <numFmt numFmtId="164" formatCode="&quot;$&quot;#,##0.00"/>
    </dxf>
    <dxf>
      <font>
        <b val="0"/>
        <i val="0"/>
        <strike val="0"/>
        <outline val="0"/>
        <shadow val="0"/>
        <u val="none"/>
        <vertAlign val="baseline"/>
        <sz val="12"/>
        <color theme="1"/>
        <name val="Calibri"/>
        <scheme val="minor"/>
      </font>
      <numFmt numFmtId="164" formatCode="&quot;$&quot;#,##0.00"/>
    </dxf>
    <dxf>
      <font>
        <b val="0"/>
        <i val="0"/>
        <strike val="0"/>
        <condense val="0"/>
        <extend val="0"/>
        <outline val="0"/>
        <shadow val="0"/>
        <u val="none"/>
        <vertAlign val="baseline"/>
        <sz val="12"/>
        <color theme="1"/>
        <name val="Calibri"/>
        <scheme val="minor"/>
      </font>
      <numFmt numFmtId="164" formatCode="&quot;$&quot;#,##0.00"/>
      <fill>
        <patternFill patternType="none">
          <fgColor indexed="64"/>
          <bgColor indexed="65"/>
        </patternFill>
      </fill>
    </dxf>
    <dxf>
      <font>
        <strike val="0"/>
        <outline val="0"/>
        <shadow val="0"/>
        <u val="none"/>
        <vertAlign val="baseline"/>
        <sz val="11"/>
        <color auto="1"/>
        <name val="Calibri"/>
        <family val="2"/>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64" formatCode="&quot;$&quot;#,##0.00"/>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64" formatCode="&quot;$&quot;#,##0.00"/>
    </dxf>
    <dxf>
      <numFmt numFmtId="164" formatCode="&quot;$&quot;#,##0.00"/>
    </dxf>
    <dxf>
      <numFmt numFmtId="164" formatCode="&quot;$&quot;#,##0.0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2EDA81F-F9CB-4CDD-95BC-3DBC63802D33}" name="Table7182546" displayName="Table7182546" ref="A126:C129" totalsRowCount="1">
  <autoFilter ref="A126:C128" xr:uid="{F07ECFEF-2B3D-4229-8F80-0E95C5DED6F0}"/>
  <tableColumns count="3">
    <tableColumn id="1" xr3:uid="{8CC376E5-340E-4352-AF5B-2025B9FCA219}" name="Payee (COPA)"/>
    <tableColumn id="2" xr3:uid="{C270A597-3D93-4E91-A03E-38447886CABC}" name="Unique ID"/>
    <tableColumn id="7" xr3:uid="{0150950B-0854-4755-B3A4-C85A3CFED90B}" name="Total Payment 5                (Dist, JJ)" dataDxfId="282" totalsRowDxfId="281"/>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E07784-CD1E-437B-8BD3-D81364956DB3}" name="Table427" displayName="Table427" ref="A5:O8" totalsRowShown="0" headerRowDxfId="185">
  <autoFilter ref="A5:O8" xr:uid="{00000000-0009-0000-0100-00000B000000}"/>
  <tableColumns count="15">
    <tableColumn id="1" xr3:uid="{00000000-0010-0000-0B00-000001000000}" name="Litigant"/>
    <tableColumn id="2" xr3:uid="{00000000-0010-0000-0B00-000002000000}" name="Adjusted % (W/Floors)"/>
    <tableColumn id="15" xr3:uid="{00000000-0010-0000-0B00-00000F000000}" name="Unique ID "/>
    <tableColumn id="3" xr3:uid="{00000000-0010-0000-0B00-000003000000}" name="Payment 1 (D's Only) -9/1/22"/>
    <tableColumn id="4" xr3:uid="{00000000-0010-0000-0B00-000004000000}" name="Payment 2 - 12/15/22" dataDxfId="184"/>
    <tableColumn id="5" xr3:uid="{00000000-0010-0000-0B00-000005000000}" name="Payment 3 - 2023" dataDxfId="183"/>
    <tableColumn id="6" xr3:uid="{00000000-0010-0000-0B00-000006000000}" name="Payment 4 - 2024" dataDxfId="182"/>
    <tableColumn id="7" xr3:uid="{00000000-0010-0000-0B00-000007000000}" name="Payment 5 - 2025" dataDxfId="181"/>
    <tableColumn id="8" xr3:uid="{00000000-0010-0000-0B00-000008000000}" name="Payment 6 - 2026" dataDxfId="180"/>
    <tableColumn id="9" xr3:uid="{00000000-0010-0000-0B00-000009000000}" name="Payment 7 - 2027" dataDxfId="179"/>
    <tableColumn id="10" xr3:uid="{00000000-0010-0000-0B00-00000A000000}" name="Payment 8 - 2028" dataDxfId="178"/>
    <tableColumn id="11" xr3:uid="{00000000-0010-0000-0B00-00000B000000}" name="Payment 9 - 2029" dataDxfId="177"/>
    <tableColumn id="12" xr3:uid="{00000000-0010-0000-0B00-00000C000000}" name="Payment 10 - 2030" dataDxfId="176"/>
    <tableColumn id="13" xr3:uid="{00000000-0010-0000-0B00-00000D000000}" name="Payment 11 -2031" dataDxfId="175"/>
    <tableColumn id="14" xr3:uid="{00000000-0010-0000-0B00-00000E000000}" name="Total" dataDxfId="174">
      <calculatedColumnFormula>SUM(Table427[[#This Row],[Payment 2 - 12/15/22]:[Payment 11 -2031]])</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Y17" totalsRowShown="0" dataDxfId="173">
  <autoFilter ref="A1:Y17" xr:uid="{00000000-0009-0000-0100-000002000000}"/>
  <tableColumns count="25">
    <tableColumn id="1" xr3:uid="{00000000-0010-0000-0000-000001000000}" name="Payment #" dataDxfId="172"/>
    <tableColumn id="12" xr3:uid="{00000000-0010-0000-0000-00000C000000}" name="Approx Date" dataDxfId="171"/>
    <tableColumn id="2" xr3:uid="{00000000-0010-0000-0000-000002000000}" name="Teva" dataDxfId="170"/>
    <tableColumn id="3" xr3:uid="{00000000-0010-0000-0000-000003000000}" name="Allergan" dataDxfId="169"/>
    <tableColumn id="16" xr3:uid="{00000000-0010-0000-0000-000010000000}" name="Walgreens" dataDxfId="168" dataCellStyle="Normal 2"/>
    <tableColumn id="17" xr3:uid="{00000000-0010-0000-0000-000011000000}" name="CVS" dataDxfId="167" dataCellStyle="Normal 2"/>
    <tableColumn id="18" xr3:uid="{00000000-0010-0000-0000-000012000000}" name="Walmart" dataDxfId="166" dataCellStyle="Normal 2"/>
    <tableColumn id="4" xr3:uid="{00000000-0010-0000-0000-000004000000}" name="Pre Fee Total" dataDxfId="165">
      <calculatedColumnFormula>SUM(Table14[[#This Row],[Teva]:[Walmart]])</calculatedColumnFormula>
    </tableColumn>
    <tableColumn id="14" xr3:uid="{00000000-0010-0000-0000-00000E000000}" name="Teva Attorney Fees" dataDxfId="164"/>
    <tableColumn id="13" xr3:uid="{00000000-0010-0000-0000-00000D000000}" name="Allergan Attorney Fees " dataDxfId="163"/>
    <tableColumn id="21" xr3:uid="{00000000-0010-0000-0000-000015000000}" name="Walgreens Attorney Fees" dataDxfId="162" dataCellStyle="Normal 2"/>
    <tableColumn id="22" xr3:uid="{00000000-0010-0000-0000-000016000000}" name="CVS Attorney Fees" dataDxfId="161" dataCellStyle="Normal 2"/>
    <tableColumn id="23" xr3:uid="{00000000-0010-0000-0000-000017000000}" name="Walmart Attorney Fees" dataDxfId="160" dataCellStyle="Normal 2"/>
    <tableColumn id="6" xr3:uid="{00000000-0010-0000-0000-000006000000}" name="Total Less Fees" dataDxfId="159">
      <calculatedColumnFormula>Table14[[#This Row],[Pre Fee Total]]-Table14[[#This Row],[Teva Attorney Fees]]-Table14[[#This Row],[Allergan Attorney Fees ]]-Table14[[#This Row],[Walgreens Attorney Fees]]-Table14[[#This Row],[CVS Attorney Fees]]-Table14[[#This Row],[Walmart Attorney Fees]]</calculatedColumnFormula>
    </tableColumn>
    <tableColumn id="7" xr3:uid="{00000000-0010-0000-0000-000007000000}" name="Commonwealth" dataDxfId="158">
      <calculatedColumnFormula>Table14[[#This Row],[Total Less Fees]]*0.15</calculatedColumnFormula>
    </tableColumn>
    <tableColumn id="8" xr3:uid="{00000000-0010-0000-0000-000008000000}" name="County" dataDxfId="157">
      <calculatedColumnFormula>Table14[[#This Row],[Total Less Fees]]*0.7</calculatedColumnFormula>
    </tableColumn>
    <tableColumn id="9" xr3:uid="{00000000-0010-0000-0000-000009000000}" name="Litigating" dataDxfId="156">
      <calculatedColumnFormula>Table14[[#This Row],[Total Less Fees]]*0.15</calculatedColumnFormula>
    </tableColumn>
    <tableColumn id="10" xr3:uid="{00000000-0010-0000-0000-00000A000000}" name="Teva/Allergan Litigating" dataDxfId="155">
      <calculatedColumnFormula>((Table14[[#This Row],[Teva]]+Table14[[#This Row],[Allergan]])-(Table14[[#This Row],[Teva Attorney Fees]]+Table14[[#This Row],[Allergan Attorney Fees ]]))*0.15</calculatedColumnFormula>
    </tableColumn>
    <tableColumn id="11" xr3:uid="{00000000-0010-0000-0000-00000B000000}" name="Pharmacies Litigating" dataDxfId="154">
      <calculatedColumnFormula>((Table14[[#This Row],[Walgreens]]+Table14[[#This Row],[CVS]]+Table14[[#This Row],[Walmart]])-(Table14[[#This Row],[Walgreens Attorney Fees]]+Table14[[#This Row],[CVS Attorney Fees]]+Table14[[#This Row],[Walmart Attorney Fees]]))*0.15</calculatedColumnFormula>
    </tableColumn>
    <tableColumn id="24" xr3:uid="{00000000-0010-0000-0000-000018000000}" name="Commonwealth Escrow Amount" dataDxfId="153">
      <calculatedColumnFormula>((C17-I17)*0.15)+((D17-J17)*0.15)+((G17-M17)*0.15)</calculatedColumnFormula>
    </tableColumn>
    <tableColumn id="25" xr3:uid="{00000000-0010-0000-0000-000019000000}" name="Subdivision Escrow Amount" dataDxfId="152"/>
    <tableColumn id="5" xr3:uid="{00000000-0010-0000-0000-000005000000}" name="County Escrow" dataDxfId="151">
      <calculatedColumnFormula>Table14[[#This Row],[Subdivision Escrow Amount]]-W2</calculatedColumnFormula>
    </tableColumn>
    <tableColumn id="15" xr3:uid="{00000000-0010-0000-0000-00000F000000}" name="Litigating Sub Escrow" dataDxfId="150">
      <calculatedColumnFormula>Table14[[#This Row],[Subdivision Escrow Amount]]/5.67</calculatedColumnFormula>
    </tableColumn>
    <tableColumn id="26" xr3:uid="{00000000-0010-0000-0000-00001A000000}" name="Fee Escrow Amount" dataDxfId="149">
      <calculatedColumnFormula>(Table14[[#This Row],[Teva Attorney Fees]]*0.15)+(Table14[[#This Row],[Allergan Attorney Fees ]]*0.15)+(Table14[[#This Row],[Walmart Attorney Fees]]*0.15)+(6000000*0.0138)</calculatedColumnFormula>
    </tableColumn>
    <tableColumn id="27" xr3:uid="{00000000-0010-0000-0000-00001B000000}" name="Total Escrow" dataDxfId="148">
      <calculatedColumnFormula>SUM(T2,U2,X2)</calculatedColumnFormula>
    </tableColumn>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45" displayName="Table145" ref="A1:K17" totalsRowShown="0" dataDxfId="147">
  <autoFilter ref="A1:K17" xr:uid="{00000000-0009-0000-0100-000004000000}"/>
  <tableColumns count="11">
    <tableColumn id="1" xr3:uid="{00000000-0010-0000-0100-000001000000}" name="Payment #" dataDxfId="146"/>
    <tableColumn id="12" xr3:uid="{00000000-0010-0000-0100-00000C000000}" name="Approx Date" dataDxfId="145"/>
    <tableColumn id="8" xr3:uid="{00000000-0010-0000-0100-000008000000}" name="County" dataDxfId="144">
      <calculatedColumnFormula>Table14[[#This Row],[Total Less Fees]]*0.7</calculatedColumnFormula>
    </tableColumn>
    <tableColumn id="33" xr3:uid="{00000000-0010-0000-0100-000021000000}" name="Teva County Amount" dataDxfId="143" dataCellStyle="Normal 2">
      <calculatedColumnFormula>(Table14[[#This Row],[Teva]]-Table14[[#This Row],[Teva Attorney Fees]])*0.7</calculatedColumnFormula>
    </tableColumn>
    <tableColumn id="34" xr3:uid="{00000000-0010-0000-0100-000022000000}" name="Allergan County Amount" dataDxfId="142" dataCellStyle="Normal 2">
      <calculatedColumnFormula>(Table14[[#This Row],[Allergan]]-Table14[[#This Row],[Allergan Attorney Fees ]])*0.7</calculatedColumnFormula>
    </tableColumn>
    <tableColumn id="35" xr3:uid="{00000000-0010-0000-0100-000023000000}" name="Walgreens County Amount" dataDxfId="141" dataCellStyle="Normal 2">
      <calculatedColumnFormula>(Table14[[#This Row],[Walgreens]]-Table14[[#This Row],[Walgreens Attorney Fees]])*0.7</calculatedColumnFormula>
    </tableColumn>
    <tableColumn id="36" xr3:uid="{00000000-0010-0000-0100-000024000000}" name="CVS County Amount" dataDxfId="140" dataCellStyle="Normal 2">
      <calculatedColumnFormula>(Table14[[#This Row],[CVS]]-Table14[[#This Row],[CVS Attorney Fees]])*0.7</calculatedColumnFormula>
    </tableColumn>
    <tableColumn id="37" xr3:uid="{00000000-0010-0000-0100-000025000000}" name="Walmart County Amount" dataDxfId="139" dataCellStyle="Normal 2">
      <calculatedColumnFormula>(Table14[[#This Row],[Walmart]]-Table14[[#This Row],[Walmart Attorney Fees]])*0.7</calculatedColumnFormula>
    </tableColumn>
    <tableColumn id="24" xr3:uid="{00000000-0010-0000-0100-000018000000}" name="Walmart Escrow Amount" dataDxfId="138">
      <calculatedColumnFormula>((#REF!-#REF!)*0.15)+((#REF!-#REF!)*0.15)+((#REF!-#REF!)*0.15)</calculatedColumnFormula>
    </tableColumn>
    <tableColumn id="27" xr3:uid="{00000000-0010-0000-0100-00001B000000}" name="Total Teva/Allergan/Walmart " dataDxfId="137">
      <calculatedColumnFormula>(SUM(D2,E2,H2))-Table145[[#This Row],[Walmart Escrow Amount]]</calculatedColumnFormula>
    </tableColumn>
    <tableColumn id="38" xr3:uid="{00000000-0010-0000-0100-000026000000}" name="Total Walgreens/CVS" dataDxfId="136" dataCellStyle="Normal 2">
      <calculatedColumnFormula>SUM(Table145[[#This Row],[Walgreens County Amount]:[CVS County Amount]])</calculatedColumnFormula>
    </tableColumn>
  </tableColumns>
  <tableStyleInfo name="TableStyleLight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1:P68" totalsRowShown="0">
  <autoFilter ref="A1:P68" xr:uid="{00000000-0009-0000-0100-000001000000}"/>
  <tableColumns count="16">
    <tableColumn id="1" xr3:uid="{00000000-0010-0000-0200-000001000000}" name="County"/>
    <tableColumn id="2" xr3:uid="{00000000-0010-0000-0200-000002000000}" name="Adjusted % (W/Floors)"/>
    <tableColumn id="3" xr3:uid="{00000000-0010-0000-0200-000003000000}" name="Payment 1" dataCellStyle="Currency">
      <calculatedColumnFormula>Table1[[#This Row],[Adjusted % (W/Floors)]]*$C$70</calculatedColumnFormula>
    </tableColumn>
    <tableColumn id="4" xr3:uid="{00000000-0010-0000-0200-000004000000}" name="Payment 2" dataDxfId="135" dataCellStyle="Currency">
      <calculatedColumnFormula>Table1[[#This Row],[Adjusted % (W/Floors)]]*$D$70</calculatedColumnFormula>
    </tableColumn>
    <tableColumn id="5" xr3:uid="{00000000-0010-0000-0200-000005000000}" name="Payment 3 " dataDxfId="134" dataCellStyle="Currency">
      <calculatedColumnFormula>Table1[[#This Row],[Adjusted % (W/Floors)]]*$E$70</calculatedColumnFormula>
    </tableColumn>
    <tableColumn id="6" xr3:uid="{00000000-0010-0000-0200-000006000000}" name="Payment 4" dataDxfId="133" dataCellStyle="Currency">
      <calculatedColumnFormula>Table1[[#This Row],[Adjusted % (W/Floors)]]*$F$70</calculatedColumnFormula>
    </tableColumn>
    <tableColumn id="7" xr3:uid="{00000000-0010-0000-0200-000007000000}" name="Payment 5" dataDxfId="132" dataCellStyle="Currency">
      <calculatedColumnFormula>Table1[[#This Row],[Adjusted % (W/Floors)]]*$G$70</calculatedColumnFormula>
    </tableColumn>
    <tableColumn id="8" xr3:uid="{00000000-0010-0000-0200-000008000000}" name="Payment 6" dataDxfId="131" dataCellStyle="Currency">
      <calculatedColumnFormula>Table1[[#This Row],[Adjusted % (W/Floors)]]*$H$70</calculatedColumnFormula>
    </tableColumn>
    <tableColumn id="9" xr3:uid="{00000000-0010-0000-0200-000009000000}" name="Payment 7" dataDxfId="130" dataCellStyle="Currency">
      <calculatedColumnFormula>Table1[[#This Row],[Adjusted % (W/Floors)]]*$I$70</calculatedColumnFormula>
    </tableColumn>
    <tableColumn id="10" xr3:uid="{00000000-0010-0000-0200-00000A000000}" name="Payment 8" dataDxfId="129" dataCellStyle="Currency">
      <calculatedColumnFormula>Table1[[#This Row],[Adjusted % (W/Floors)]]*$J$70</calculatedColumnFormula>
    </tableColumn>
    <tableColumn id="11" xr3:uid="{00000000-0010-0000-0200-00000B000000}" name="Payment 9" dataDxfId="128" dataCellStyle="Currency">
      <calculatedColumnFormula>Table1[[#This Row],[Adjusted % (W/Floors)]]*$K$70</calculatedColumnFormula>
    </tableColumn>
    <tableColumn id="12" xr3:uid="{00000000-0010-0000-0200-00000C000000}" name="Payment 10" dataDxfId="127" dataCellStyle="Currency">
      <calculatedColumnFormula>Table1[[#This Row],[Adjusted % (W/Floors)]]*$L$70</calculatedColumnFormula>
    </tableColumn>
    <tableColumn id="13" xr3:uid="{00000000-0010-0000-0200-00000D000000}" name="Payment 11" dataDxfId="126" dataCellStyle="Currency">
      <calculatedColumnFormula>Table1[[#This Row],[Adjusted % (W/Floors)]]*$M$70</calculatedColumnFormula>
    </tableColumn>
    <tableColumn id="14" xr3:uid="{00000000-0010-0000-0200-00000E000000}" name="Payment 12" dataDxfId="125" dataCellStyle="Currency">
      <calculatedColumnFormula>Table1[[#This Row],[Adjusted % (W/Floors)]]*$N$70</calculatedColumnFormula>
    </tableColumn>
    <tableColumn id="15" xr3:uid="{00000000-0010-0000-0200-00000F000000}" name="Payment 13" dataDxfId="124" dataCellStyle="Currency">
      <calculatedColumnFormula>Table1[[#This Row],[Adjusted % (W/Floors)]]*$O$70</calculatedColumnFormula>
    </tableColumn>
    <tableColumn id="16" xr3:uid="{00000000-0010-0000-0200-000010000000}" name="Total" dataDxfId="123" dataCellStyle="Currency">
      <calculatedColumnFormula>SUM(Table1[[#This Row],[Payment 1]:[Payment 13]])</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1:R68" totalsRowShown="0">
  <autoFilter ref="A1:R68" xr:uid="{00000000-0009-0000-0100-000005000000}"/>
  <tableColumns count="18">
    <tableColumn id="1" xr3:uid="{00000000-0010-0000-0300-000001000000}" name="County"/>
    <tableColumn id="2" xr3:uid="{00000000-0010-0000-0300-000002000000}" name="Floor % w/ No Philadelphia"/>
    <tableColumn id="3" xr3:uid="{00000000-0010-0000-0300-000003000000}" name="Payment 1" dataDxfId="122">
      <calculatedColumnFormula>Table5[[#This Row],[Floor % w/ No Philadelphia]]*$C$70</calculatedColumnFormula>
    </tableColumn>
    <tableColumn id="4" xr3:uid="{00000000-0010-0000-0300-000004000000}" name="Payment 2" dataDxfId="121">
      <calculatedColumnFormula>Table5[[#This Row],[Floor % w/ No Philadelphia]]*$D$70</calculatedColumnFormula>
    </tableColumn>
    <tableColumn id="5" xr3:uid="{00000000-0010-0000-0300-000005000000}" name="Payment 3 " dataDxfId="120">
      <calculatedColumnFormula>Table5[[#This Row],[Floor % w/ No Philadelphia]]*$E$70</calculatedColumnFormula>
    </tableColumn>
    <tableColumn id="6" xr3:uid="{00000000-0010-0000-0300-000006000000}" name="Payment 4" dataDxfId="119">
      <calculatedColumnFormula>Table5[[#This Row],[Floor % w/ No Philadelphia]]*$F$70</calculatedColumnFormula>
    </tableColumn>
    <tableColumn id="7" xr3:uid="{00000000-0010-0000-0300-000007000000}" name="Payment 5" dataDxfId="118">
      <calculatedColumnFormula>Table5[[#This Row],[Floor % w/ No Philadelphia]]*$G$70</calculatedColumnFormula>
    </tableColumn>
    <tableColumn id="8" xr3:uid="{00000000-0010-0000-0300-000008000000}" name="Payment 6" dataDxfId="117">
      <calculatedColumnFormula>Table5[[#This Row],[Floor % w/ No Philadelphia]]*$H$70</calculatedColumnFormula>
    </tableColumn>
    <tableColumn id="9" xr3:uid="{00000000-0010-0000-0300-000009000000}" name="Payment 7" dataDxfId="116">
      <calculatedColumnFormula>Table5[[#This Row],[Floor % w/ No Philadelphia]]*$I$70</calculatedColumnFormula>
    </tableColumn>
    <tableColumn id="10" xr3:uid="{00000000-0010-0000-0300-00000A000000}" name="Payment 8" dataDxfId="115">
      <calculatedColumnFormula>Table5[[#This Row],[Floor % w/ No Philadelphia]]*$J$70</calculatedColumnFormula>
    </tableColumn>
    <tableColumn id="11" xr3:uid="{00000000-0010-0000-0300-00000B000000}" name="Payment 9" dataDxfId="114">
      <calculatedColumnFormula>Table5[[#This Row],[Floor % w/ No Philadelphia]]*$K$70</calculatedColumnFormula>
    </tableColumn>
    <tableColumn id="12" xr3:uid="{00000000-0010-0000-0300-00000C000000}" name="Payment 10" dataDxfId="113">
      <calculatedColumnFormula>Table5[[#This Row],[Floor % w/ No Philadelphia]]*$L$70</calculatedColumnFormula>
    </tableColumn>
    <tableColumn id="13" xr3:uid="{00000000-0010-0000-0300-00000D000000}" name="Payment 11" dataDxfId="112">
      <calculatedColumnFormula>Table5[[#This Row],[Floor % w/ No Philadelphia]]*$M$70</calculatedColumnFormula>
    </tableColumn>
    <tableColumn id="14" xr3:uid="{00000000-0010-0000-0300-00000E000000}" name="Payment 12" dataDxfId="111">
      <calculatedColumnFormula>Table5[[#This Row],[Floor % w/ No Philadelphia]]*$N$70</calculatedColumnFormula>
    </tableColumn>
    <tableColumn id="15" xr3:uid="{00000000-0010-0000-0300-00000F000000}" name="Payment 13" dataDxfId="110">
      <calculatedColumnFormula>Table5[[#This Row],[Floor % w/ No Philadelphia]]*$O$70</calculatedColumnFormula>
    </tableColumn>
    <tableColumn id="16" xr3:uid="{00000000-0010-0000-0300-000010000000}" name="Payment 14" dataDxfId="109">
      <calculatedColumnFormula>Table5[[#This Row],[Floor % w/ No Philadelphia]]*$P$70</calculatedColumnFormula>
    </tableColumn>
    <tableColumn id="17" xr3:uid="{00000000-0010-0000-0300-000011000000}" name="Payment 15" dataDxfId="108">
      <calculatedColumnFormula>Table5[[#This Row],[Floor % w/ No Philadelphia]]*$Q$70</calculatedColumnFormula>
    </tableColumn>
    <tableColumn id="18" xr3:uid="{00000000-0010-0000-0300-000012000000}" name="Total" dataDxfId="107">
      <calculatedColumnFormula>SUM(Table5[[#This Row],[Payment 1]:[Payment 15]])</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P90" totalsRowShown="0">
  <autoFilter ref="A1:P90" xr:uid="{00000000-0009-0000-0100-000007000000}"/>
  <tableColumns count="16">
    <tableColumn id="1" xr3:uid="{00000000-0010-0000-0500-000001000000}" name="Litigant"/>
    <tableColumn id="2" xr3:uid="{00000000-0010-0000-0500-000002000000}" name="Teva Adjusted %"/>
    <tableColumn id="3" xr3:uid="{00000000-0010-0000-0500-000003000000}" name="Payment 1" dataCellStyle="Currency">
      <calculatedColumnFormula>Table7[[#This Row],[Teva Adjusted %]]*$C$92</calculatedColumnFormula>
    </tableColumn>
    <tableColumn id="4" xr3:uid="{00000000-0010-0000-0500-000004000000}" name="Payment 2" dataDxfId="106" dataCellStyle="Currency">
      <calculatedColumnFormula>Table7[[#This Row],[Teva Adjusted %]]*$D$92</calculatedColumnFormula>
    </tableColumn>
    <tableColumn id="5" xr3:uid="{00000000-0010-0000-0500-000005000000}" name="Payment 3 " dataDxfId="105" dataCellStyle="Currency">
      <calculatedColumnFormula>Table7[[#This Row],[Teva Adjusted %]]*$E$92</calculatedColumnFormula>
    </tableColumn>
    <tableColumn id="6" xr3:uid="{00000000-0010-0000-0500-000006000000}" name="Payment 4" dataDxfId="104" dataCellStyle="Currency">
      <calculatedColumnFormula>Table7[[#This Row],[Teva Adjusted %]]*$F$92</calculatedColumnFormula>
    </tableColumn>
    <tableColumn id="7" xr3:uid="{00000000-0010-0000-0500-000007000000}" name="Payment 5" dataDxfId="103" dataCellStyle="Currency">
      <calculatedColumnFormula>Table7[[#This Row],[Teva Adjusted %]]*$G$92</calculatedColumnFormula>
    </tableColumn>
    <tableColumn id="8" xr3:uid="{00000000-0010-0000-0500-000008000000}" name="Payment 6" dataDxfId="102" dataCellStyle="Currency">
      <calculatedColumnFormula>Table7[[#This Row],[Teva Adjusted %]]*$H$92</calculatedColumnFormula>
    </tableColumn>
    <tableColumn id="9" xr3:uid="{00000000-0010-0000-0500-000009000000}" name="Payment 7" dataDxfId="101" dataCellStyle="Currency">
      <calculatedColumnFormula>Table7[[#This Row],[Teva Adjusted %]]*$I$92</calculatedColumnFormula>
    </tableColumn>
    <tableColumn id="10" xr3:uid="{00000000-0010-0000-0500-00000A000000}" name="Payment 8" dataDxfId="100" dataCellStyle="Currency">
      <calculatedColumnFormula>Table7[[#This Row],[Teva Adjusted %]]*$J$92</calculatedColumnFormula>
    </tableColumn>
    <tableColumn id="11" xr3:uid="{00000000-0010-0000-0500-00000B000000}" name="Payment 9" dataDxfId="99" dataCellStyle="Currency">
      <calculatedColumnFormula>Table7[[#This Row],[Teva Adjusted %]]*$K$92</calculatedColumnFormula>
    </tableColumn>
    <tableColumn id="12" xr3:uid="{00000000-0010-0000-0500-00000C000000}" name="Payment 10" dataDxfId="98" dataCellStyle="Currency">
      <calculatedColumnFormula>Table7[[#This Row],[Teva Adjusted %]]*$L$92</calculatedColumnFormula>
    </tableColumn>
    <tableColumn id="13" xr3:uid="{00000000-0010-0000-0500-00000D000000}" name="Payment 11" dataDxfId="97" dataCellStyle="Currency">
      <calculatedColumnFormula>Table7[[#This Row],[Teva Adjusted %]]*$M$92</calculatedColumnFormula>
    </tableColumn>
    <tableColumn id="14" xr3:uid="{00000000-0010-0000-0500-00000E000000}" name="Payment 12" dataDxfId="96" dataCellStyle="Currency">
      <calculatedColumnFormula>Table7[[#This Row],[Teva Adjusted %]]*$N$92</calculatedColumnFormula>
    </tableColumn>
    <tableColumn id="15" xr3:uid="{00000000-0010-0000-0500-00000F000000}" name="Payment 13" dataDxfId="95" dataCellStyle="Currency">
      <calculatedColumnFormula>Table7[[#This Row],[Teva Adjusted %]]*$O$92</calculatedColumnFormula>
    </tableColumn>
    <tableColumn id="16" xr3:uid="{00000000-0010-0000-0500-000010000000}" name="Total" dataDxfId="94" dataCellStyle="Currency">
      <calculatedColumnFormula>SUM(Table7[[#This Row],[Payment 1]:[Payment 13]])</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94:P97" totalsRowShown="0">
  <autoFilter ref="A94:P97" xr:uid="{00000000-0009-0000-0100-000008000000}"/>
  <tableColumns count="16">
    <tableColumn id="1" xr3:uid="{00000000-0010-0000-0600-000001000000}" name="Bellwethers"/>
    <tableColumn id="2" xr3:uid="{00000000-0010-0000-0600-000002000000}" name="Bellwether Percent"/>
    <tableColumn id="3" xr3:uid="{00000000-0010-0000-0600-000003000000}" name="Payment 1" dataDxfId="93">
      <calculatedColumnFormula>Table8[[#This Row],[Bellwether Percent]]*$C$99</calculatedColumnFormula>
    </tableColumn>
    <tableColumn id="4" xr3:uid="{00000000-0010-0000-0600-000004000000}" name="Payment 2" dataDxfId="92">
      <calculatedColumnFormula>Table8[[#This Row],[Bellwether Percent]]*$D$99</calculatedColumnFormula>
    </tableColumn>
    <tableColumn id="5" xr3:uid="{00000000-0010-0000-0600-000005000000}" name="Payment 3 " dataDxfId="91">
      <calculatedColumnFormula>Table8[[#This Row],[Bellwether Percent]]*$E$99</calculatedColumnFormula>
    </tableColumn>
    <tableColumn id="6" xr3:uid="{00000000-0010-0000-0600-000006000000}" name="Payment 4" dataDxfId="90">
      <calculatedColumnFormula>Table8[[#This Row],[Bellwether Percent]]*$F$99</calculatedColumnFormula>
    </tableColumn>
    <tableColumn id="7" xr3:uid="{00000000-0010-0000-0600-000007000000}" name="Payment 5" dataDxfId="89">
      <calculatedColumnFormula>Table8[[#This Row],[Bellwether Percent]]*$G$99</calculatedColumnFormula>
    </tableColumn>
    <tableColumn id="8" xr3:uid="{00000000-0010-0000-0600-000008000000}" name="Payment 6" dataDxfId="88">
      <calculatedColumnFormula>Table8[[#This Row],[Bellwether Percent]]*$H$99</calculatedColumnFormula>
    </tableColumn>
    <tableColumn id="9" xr3:uid="{00000000-0010-0000-0600-000009000000}" name="Payment 7" dataDxfId="87">
      <calculatedColumnFormula>Table8[[#This Row],[Bellwether Percent]]*$I$99</calculatedColumnFormula>
    </tableColumn>
    <tableColumn id="10" xr3:uid="{00000000-0010-0000-0600-00000A000000}" name="Payment 8" dataDxfId="86">
      <calculatedColumnFormula>Table8[[#This Row],[Bellwether Percent]]*$J$99</calculatedColumnFormula>
    </tableColumn>
    <tableColumn id="11" xr3:uid="{00000000-0010-0000-0600-00000B000000}" name="Payment 9" dataDxfId="85">
      <calculatedColumnFormula>Table8[[#This Row],[Bellwether Percent]]*$K$99</calculatedColumnFormula>
    </tableColumn>
    <tableColumn id="12" xr3:uid="{00000000-0010-0000-0600-00000C000000}" name="Payment 10" dataDxfId="84">
      <calculatedColumnFormula>Table8[[#This Row],[Bellwether Percent]]*$L$99</calculatedColumnFormula>
    </tableColumn>
    <tableColumn id="13" xr3:uid="{00000000-0010-0000-0600-00000D000000}" name="Payment 11" dataDxfId="83">
      <calculatedColumnFormula>Table8[[#This Row],[Bellwether Percent]]*$M$99</calculatedColumnFormula>
    </tableColumn>
    <tableColumn id="14" xr3:uid="{00000000-0010-0000-0600-00000E000000}" name="Payment 12" dataDxfId="82">
      <calculatedColumnFormula>Table8[[#This Row],[Bellwether Percent]]*$N$99</calculatedColumnFormula>
    </tableColumn>
    <tableColumn id="15" xr3:uid="{00000000-0010-0000-0600-00000F000000}" name="Payment 13" dataDxfId="81">
      <calculatedColumnFormula>Table8[[#This Row],[Bellwether Percent]]*$O$99</calculatedColumnFormula>
    </tableColumn>
    <tableColumn id="16" xr3:uid="{00000000-0010-0000-0600-000010000000}" name="Total" dataDxfId="80">
      <calculatedColumnFormula>SUM(Table8[[#This Row],[Payment 1]:[Payment 13]])</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1:J82" totalsRowShown="0">
  <autoFilter ref="A1:J82" xr:uid="{00000000-0009-0000-0100-000009000000}"/>
  <tableColumns count="10">
    <tableColumn id="1" xr3:uid="{00000000-0010-0000-0700-000001000000}" name="Litigant"/>
    <tableColumn id="2" xr3:uid="{00000000-0010-0000-0700-000002000000}" name="Allergan Adjusted %"/>
    <tableColumn id="3" xr3:uid="{00000000-0010-0000-0700-000003000000}" name="Payment 1" dataCellStyle="Currency">
      <calculatedColumnFormula>Table9[[#This Row],[Allergan Adjusted %]]*$C$84</calculatedColumnFormula>
    </tableColumn>
    <tableColumn id="4" xr3:uid="{00000000-0010-0000-0700-000004000000}" name="Payment 2" dataDxfId="79" dataCellStyle="Currency">
      <calculatedColumnFormula>Table9[[#This Row],[Allergan Adjusted %]]*$D$84</calculatedColumnFormula>
    </tableColumn>
    <tableColumn id="5" xr3:uid="{00000000-0010-0000-0700-000005000000}" name="Payment 3 " dataDxfId="78" dataCellStyle="Currency">
      <calculatedColumnFormula>Table9[[#This Row],[Allergan Adjusted %]]*$E$84</calculatedColumnFormula>
    </tableColumn>
    <tableColumn id="6" xr3:uid="{00000000-0010-0000-0700-000006000000}" name="Payment 4" dataDxfId="77" dataCellStyle="Currency">
      <calculatedColumnFormula>Table9[[#This Row],[Allergan Adjusted %]]*$F$84</calculatedColumnFormula>
    </tableColumn>
    <tableColumn id="7" xr3:uid="{00000000-0010-0000-0700-000007000000}" name="Payment 5" dataDxfId="76" dataCellStyle="Currency">
      <calculatedColumnFormula>Table9[[#This Row],[Allergan Adjusted %]]*$G$84</calculatedColumnFormula>
    </tableColumn>
    <tableColumn id="8" xr3:uid="{00000000-0010-0000-0700-000008000000}" name="Payment 6" dataDxfId="75" dataCellStyle="Currency">
      <calculatedColumnFormula>Table9[[#This Row],[Allergan Adjusted %]]*$H$84</calculatedColumnFormula>
    </tableColumn>
    <tableColumn id="9" xr3:uid="{00000000-0010-0000-0700-000009000000}" name="Payment 7" dataDxfId="74" dataCellStyle="Currency">
      <calculatedColumnFormula>Table9[[#This Row],[Allergan Adjusted %]]*$I$84</calculatedColumnFormula>
    </tableColumn>
    <tableColumn id="10" xr3:uid="{00000000-0010-0000-0700-00000A000000}" name="Total" dataDxfId="73" dataCellStyle="Currency">
      <calculatedColumnFormula>SUM(Table9[[#This Row],[Payment 1]:[Payment 7]])</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89:J92" totalsRowShown="0" tableBorderDxfId="72">
  <autoFilter ref="A89:J92" xr:uid="{00000000-0009-0000-0100-00000D000000}"/>
  <tableColumns count="10">
    <tableColumn id="1" xr3:uid="{00000000-0010-0000-0800-000001000000}" name="Bellwethers"/>
    <tableColumn id="2" xr3:uid="{00000000-0010-0000-0800-000002000000}" name="Bellwether Percent"/>
    <tableColumn id="3" xr3:uid="{00000000-0010-0000-0800-000003000000}" name="Payment 1" dataDxfId="71">
      <calculatedColumnFormula>Table13[[#This Row],[Bellwether Percent]]*$C$87</calculatedColumnFormula>
    </tableColumn>
    <tableColumn id="4" xr3:uid="{00000000-0010-0000-0800-000004000000}" name="Payment 2" dataDxfId="70">
      <calculatedColumnFormula>Table13[[#This Row],[Bellwether Percent]]*$D$87</calculatedColumnFormula>
    </tableColumn>
    <tableColumn id="5" xr3:uid="{00000000-0010-0000-0800-000005000000}" name="Payment 3 " dataDxfId="69">
      <calculatedColumnFormula>Table13[[#This Row],[Bellwether Percent]]*$E$87</calculatedColumnFormula>
    </tableColumn>
    <tableColumn id="6" xr3:uid="{00000000-0010-0000-0800-000006000000}" name="Payment 4" dataDxfId="68">
      <calculatedColumnFormula>Table13[[#This Row],[Bellwether Percent]]*$F$87</calculatedColumnFormula>
    </tableColumn>
    <tableColumn id="7" xr3:uid="{00000000-0010-0000-0800-000007000000}" name="Payment 5" dataDxfId="67">
      <calculatedColumnFormula>Table13[[#This Row],[Bellwether Percent]]*$G$87</calculatedColumnFormula>
    </tableColumn>
    <tableColumn id="8" xr3:uid="{00000000-0010-0000-0800-000008000000}" name="Payment 6" dataDxfId="66">
      <calculatedColumnFormula>Table13[[#This Row],[Bellwether Percent]]*$H$87</calculatedColumnFormula>
    </tableColumn>
    <tableColumn id="9" xr3:uid="{00000000-0010-0000-0800-000009000000}" name="Payment 7" dataDxfId="65">
      <calculatedColumnFormula>Table13[[#This Row],[Bellwether Percent]]*$I$87</calculatedColumnFormula>
    </tableColumn>
    <tableColumn id="10" xr3:uid="{00000000-0010-0000-0800-00000A000000}" name="Total" dataDxfId="64">
      <calculatedColumnFormula>Table13[[#This Row],[Bellwether Percent]]*$J$87</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17" displayName="Table17" ref="A96:B104" totalsRowShown="0">
  <autoFilter ref="A96:B104" xr:uid="{00000000-0009-0000-0100-000010000000}"/>
  <tableColumns count="2">
    <tableColumn id="1" xr3:uid="{00000000-0010-0000-0900-000001000000}" name="Subdivision"/>
    <tableColumn id="2" xr3:uid="{00000000-0010-0000-0900-000002000000}" name="Allergan Modified Allocation"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137C710-4070-40E1-96D7-238C90A3FD3F}" name="Table8192657" displayName="Table8192657" ref="A130:C132" totalsRowShown="0" headerRowDxfId="280" dataDxfId="279">
  <autoFilter ref="A130:C132" xr:uid="{747BFC13-188C-49A5-80D7-C0916C2D4F88}"/>
  <tableColumns count="3">
    <tableColumn id="1" xr3:uid="{F071515C-B187-441F-B8EB-DF156977B55D}" name="Cost/Fees" dataDxfId="278"/>
    <tableColumn id="2" xr3:uid="{4ED5D07C-0A8B-4D13-ACA3-2BEAE48CA8EA}" name="Unique ID" dataDxfId="277"/>
    <tableColumn id="6" xr3:uid="{99ED397E-AA0E-4BD9-BEA6-253AD8C94329}" name="Total Payment 5 (Attorney/Admin, Dist Atty Fees, JJ Atty Fees)" dataDxfId="276"/>
  </tableColumns>
  <tableStyleInfo name="TableStyleLight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5" displayName="Table15" ref="A1:R82" totalsRowShown="0">
  <autoFilter ref="A1:R82" xr:uid="{00000000-0009-0000-0100-00000E000000}"/>
  <sortState xmlns:xlrd2="http://schemas.microsoft.com/office/spreadsheetml/2017/richdata2" ref="A2:R82">
    <sortCondition ref="A1:A82"/>
  </sortState>
  <tableColumns count="18">
    <tableColumn id="1" xr3:uid="{00000000-0010-0000-0B00-000001000000}" name="Litigant"/>
    <tableColumn id="2" xr3:uid="{00000000-0010-0000-0B00-000002000000}" name="Adjusted %"/>
    <tableColumn id="3" xr3:uid="{00000000-0010-0000-0B00-000003000000}" name="Payment 1" dataCellStyle="Currency">
      <calculatedColumnFormula>Table15[[#This Row],[Adjusted %]]*$C$84</calculatedColumnFormula>
    </tableColumn>
    <tableColumn id="4" xr3:uid="{00000000-0010-0000-0B00-000004000000}" name="Payment 2" dataDxfId="63" dataCellStyle="Currency">
      <calculatedColumnFormula>Table15[[#This Row],[Adjusted %]]*$D$84</calculatedColumnFormula>
    </tableColumn>
    <tableColumn id="5" xr3:uid="{00000000-0010-0000-0B00-000005000000}" name="Payment 3 " dataDxfId="62" dataCellStyle="Currency">
      <calculatedColumnFormula>Table15[[#This Row],[Adjusted %]]*$E$84</calculatedColumnFormula>
    </tableColumn>
    <tableColumn id="6" xr3:uid="{00000000-0010-0000-0B00-000006000000}" name="Payment 4" dataDxfId="61" dataCellStyle="Currency">
      <calculatedColumnFormula>Table15[[#This Row],[Adjusted %]]*$F$84</calculatedColumnFormula>
    </tableColumn>
    <tableColumn id="7" xr3:uid="{00000000-0010-0000-0B00-000007000000}" name="Payment 5" dataDxfId="60" dataCellStyle="Currency">
      <calculatedColumnFormula>Table15[[#This Row],[Adjusted %]]*$G$84</calculatedColumnFormula>
    </tableColumn>
    <tableColumn id="8" xr3:uid="{00000000-0010-0000-0B00-000008000000}" name="Payment 6" dataDxfId="59" dataCellStyle="Currency">
      <calculatedColumnFormula>Table15[[#This Row],[Adjusted %]]*$H$84</calculatedColumnFormula>
    </tableColumn>
    <tableColumn id="9" xr3:uid="{00000000-0010-0000-0B00-000009000000}" name="Payment 7" dataDxfId="58" dataCellStyle="Currency">
      <calculatedColumnFormula>Table15[[#This Row],[Adjusted %]]*$I$84</calculatedColumnFormula>
    </tableColumn>
    <tableColumn id="10" xr3:uid="{00000000-0010-0000-0B00-00000A000000}" name="Payment 8" dataDxfId="57" dataCellStyle="Currency">
      <calculatedColumnFormula>Table15[[#This Row],[Adjusted %]]*$J$84</calculatedColumnFormula>
    </tableColumn>
    <tableColumn id="11" xr3:uid="{00000000-0010-0000-0B00-00000B000000}" name="Payment 9" dataDxfId="56" dataCellStyle="Currency">
      <calculatedColumnFormula>Table15[[#This Row],[Adjusted %]]*$K$84</calculatedColumnFormula>
    </tableColumn>
    <tableColumn id="12" xr3:uid="{00000000-0010-0000-0B00-00000C000000}" name="Payment 10" dataDxfId="55" dataCellStyle="Currency">
      <calculatedColumnFormula>Table15[[#This Row],[Adjusted %]]*$L$84</calculatedColumnFormula>
    </tableColumn>
    <tableColumn id="13" xr3:uid="{00000000-0010-0000-0B00-00000D000000}" name="Payment 11" dataDxfId="54" dataCellStyle="Currency">
      <calculatedColumnFormula>Table15[[#This Row],[Adjusted %]]*$M$84</calculatedColumnFormula>
    </tableColumn>
    <tableColumn id="14" xr3:uid="{00000000-0010-0000-0B00-00000E000000}" name="Payment 12" dataDxfId="53" dataCellStyle="Currency">
      <calculatedColumnFormula>Table15[[#This Row],[Adjusted %]]*$N$84</calculatedColumnFormula>
    </tableColumn>
    <tableColumn id="15" xr3:uid="{00000000-0010-0000-0B00-00000F000000}" name="Payment 13" dataDxfId="52" dataCellStyle="Currency">
      <calculatedColumnFormula>Table15[[#This Row],[Adjusted %]]*$O$84</calculatedColumnFormula>
    </tableColumn>
    <tableColumn id="16" xr3:uid="{00000000-0010-0000-0B00-000010000000}" name="Payment 14" dataDxfId="51" dataCellStyle="Currency">
      <calculatedColumnFormula>Table15[[#This Row],[Adjusted %]]*$P$84</calculatedColumnFormula>
    </tableColumn>
    <tableColumn id="17" xr3:uid="{00000000-0010-0000-0B00-000011000000}" name="Payment 15" dataDxfId="50" dataCellStyle="Currency">
      <calculatedColumnFormula>Table15[[#This Row],[Adjusted %]]*$Q$84</calculatedColumnFormula>
    </tableColumn>
    <tableColumn id="18" xr3:uid="{00000000-0010-0000-0B00-000012000000}" name="Total" dataDxfId="49" dataCellStyle="Currency">
      <calculatedColumnFormula>SUM(Table15[[#This Row],[Payment 1]:[Payment 15]])</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e11" displayName="Table11" ref="A1:I83" totalsRowShown="0">
  <autoFilter ref="A1:I83" xr:uid="{00000000-0009-0000-0100-00000B000000}"/>
  <tableColumns count="9">
    <tableColumn id="1" xr3:uid="{00000000-0010-0000-0C00-000001000000}" name="Litigant"/>
    <tableColumn id="2" xr3:uid="{00000000-0010-0000-0C00-000002000000}" name="Adjusted Walmart %"/>
    <tableColumn id="3" xr3:uid="{00000000-0010-0000-0C00-000003000000}" name="Payment 1" dataCellStyle="Currency">
      <calculatedColumnFormula>Table11[[#This Row],[Adjusted Walmart %]]*$C$85</calculatedColumnFormula>
    </tableColumn>
    <tableColumn id="4" xr3:uid="{00000000-0010-0000-0C00-000004000000}" name="Payment 2" dataDxfId="48" dataCellStyle="Currency">
      <calculatedColumnFormula>Table11[[#This Row],[Adjusted Walmart %]]*$D$85</calculatedColumnFormula>
    </tableColumn>
    <tableColumn id="5" xr3:uid="{00000000-0010-0000-0C00-000005000000}" name="Payment 3" dataDxfId="47" dataCellStyle="Currency">
      <calculatedColumnFormula>Table11[[#This Row],[Adjusted Walmart %]]*$E$85</calculatedColumnFormula>
    </tableColumn>
    <tableColumn id="6" xr3:uid="{00000000-0010-0000-0C00-000006000000}" name="Payment 4" dataDxfId="46" dataCellStyle="Currency">
      <calculatedColumnFormula>Table11[[#This Row],[Adjusted Walmart %]]*$F$85</calculatedColumnFormula>
    </tableColumn>
    <tableColumn id="7" xr3:uid="{00000000-0010-0000-0C00-000007000000}" name="Payment 5" dataDxfId="45" dataCellStyle="Currency">
      <calculatedColumnFormula>Table11[[#This Row],[Adjusted Walmart %]]*$G$85</calculatedColumnFormula>
    </tableColumn>
    <tableColumn id="8" xr3:uid="{00000000-0010-0000-0C00-000008000000}" name="Payment 6" dataDxfId="44" dataCellStyle="Currency">
      <calculatedColumnFormula>Table11[[#This Row],[Adjusted Walmart %]]*$H$85</calculatedColumnFormula>
    </tableColumn>
    <tableColumn id="9" xr3:uid="{00000000-0010-0000-0C00-000009000000}" name="Total" dataDxfId="43" dataCellStyle="Currency">
      <calculatedColumnFormula>SUM(Table11[[#This Row],[Payment 1]:[Payment 6]])</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I15" totalsRowShown="0" headerRowDxfId="42" dataDxfId="41">
  <autoFilter ref="A1:I15" xr:uid="{00000000-0009-0000-0100-000006000000}"/>
  <tableColumns count="9">
    <tableColumn id="1" xr3:uid="{00000000-0010-0000-0400-000001000000}" name="Payment #" dataDxfId="40"/>
    <tableColumn id="2" xr3:uid="{00000000-0010-0000-0400-000002000000}" name="Approx Date" dataDxfId="39"/>
    <tableColumn id="3" xr3:uid="{00000000-0010-0000-0400-000003000000}" name="Teva/Allergan Litigating" dataDxfId="38" dataCellStyle="Normal 2">
      <calculatedColumnFormula>Table14[[#This Row],[Teva/Allergan Litigating]]</calculatedColumnFormula>
    </tableColumn>
    <tableColumn id="9" xr3:uid="{00000000-0010-0000-0400-000009000000}" name="Teva Bellwether" dataDxfId="37" dataCellStyle="Currency">
      <calculatedColumnFormula>((Table14[[#This Row],[Teva]]-Table14[[#This Row],[Teva Attorney Fees]])*0.15)*0.25</calculatedColumnFormula>
    </tableColumn>
    <tableColumn id="7" xr3:uid="{00000000-0010-0000-0400-000007000000}" name="Teva Litigating Total Less Fees and Bellwether" dataDxfId="36" dataCellStyle="Currency">
      <calculatedColumnFormula>((Table14[[#This Row],[Teva]]-Table14[[#This Row],[Teva Attorney Fees]])*0.15)*0.75</calculatedColumnFormula>
    </tableColumn>
    <tableColumn id="11" xr3:uid="{00000000-0010-0000-0400-00000B000000}" name="Teva Total Litigating" dataDxfId="35" dataCellStyle="Currency">
      <calculatedColumnFormula>Table6[[#This Row],[Teva Bellwether]]+Table6[[#This Row],[Teva Litigating Total Less Fees and Bellwether]]</calculatedColumnFormula>
    </tableColumn>
    <tableColumn id="12" xr3:uid="{00000000-0010-0000-0400-00000C000000}" name="Allergan Bellwether" dataDxfId="34" dataCellStyle="Currency">
      <calculatedColumnFormula>((Table14[[#This Row],[Allergan]]-Table14[[#This Row],[Allergan Attorney Fees ]])*0.15)*0.25</calculatedColumnFormula>
    </tableColumn>
    <tableColumn id="8" xr3:uid="{00000000-0010-0000-0400-000008000000}" name="Allergan Litigating Less Fees and Bellwether" dataDxfId="33" dataCellStyle="Currency">
      <calculatedColumnFormula>((Table14[[#This Row],[Allergan]]-Table14[[#This Row],[Allergan Attorney Fees ]])*0.15)*0.75</calculatedColumnFormula>
    </tableColumn>
    <tableColumn id="13" xr3:uid="{00000000-0010-0000-0400-00000D000000}" name="Total Allergan Litigating" dataDxfId="32" dataCellStyle="Currency">
      <calculatedColumnFormula>Table6[[#This Row],[Allergan Bellwether]]+Table6[[#This Row],[Allergan Litigating Less Fees and Bellwether]]</calculatedColumnFormula>
    </tableColumn>
  </tableColumns>
  <tableStyleInfo name="TableStyleLight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0" displayName="Table10" ref="A1:I17" totalsRowShown="0" headerRowDxfId="31" dataDxfId="29" headerRowBorderDxfId="30" tableBorderDxfId="28" headerRowCellStyle="Normal 2" dataCellStyle="Normal 2">
  <autoFilter ref="A1:I17" xr:uid="{00000000-0009-0000-0100-00000A000000}"/>
  <tableColumns count="9">
    <tableColumn id="1" xr3:uid="{00000000-0010-0000-0A00-000001000000}" name="Payment #"/>
    <tableColumn id="2" xr3:uid="{00000000-0010-0000-0A00-000002000000}" name="Approx Date"/>
    <tableColumn id="3" xr3:uid="{00000000-0010-0000-0A00-000003000000}" name="Pharmacies Litigating Subdivisions Total" dataDxfId="27" dataCellStyle="Normal 2">
      <calculatedColumnFormula>Table14[[#This Row],[Pharmacies Litigating]]</calculatedColumnFormula>
    </tableColumn>
    <tableColumn id="9" xr3:uid="{00000000-0010-0000-0A00-000009000000}" name="Walgreens Litigating" dataDxfId="26" dataCellStyle="Normal 2">
      <calculatedColumnFormula>((Table14[[#This Row],[Walgreens]]-Table14[[#This Row],[Walgreens Attorney Fees]])*0.15)</calculatedColumnFormula>
    </tableColumn>
    <tableColumn id="11" xr3:uid="{00000000-0010-0000-0A00-00000B000000}" name="CVS Litigating" dataDxfId="25" dataCellStyle="Normal 2">
      <calculatedColumnFormula>((Table14[[#This Row],[CVS]]-Table14[[#This Row],[CVS Attorney Fees]])*0.15)</calculatedColumnFormula>
    </tableColumn>
    <tableColumn id="19" xr3:uid="{00000000-0010-0000-0A00-000013000000}" name="Walgreens/CVS Litigating" dataDxfId="24" dataCellStyle="Normal 2">
      <calculatedColumnFormula>Table10[[#This Row],[Walgreens Litigating]]+Table10[[#This Row],[CVS Litigating]]</calculatedColumnFormula>
    </tableColumn>
    <tableColumn id="17" xr3:uid="{00000000-0010-0000-0A00-000011000000}" name="Walmart Escrow" dataDxfId="23" dataCellStyle="Normal 2">
      <calculatedColumnFormula>Table14[[#This Row],[Litigating Sub Escrow]]</calculatedColumnFormula>
    </tableColumn>
    <tableColumn id="13" xr3:uid="{00000000-0010-0000-0A00-00000D000000}" name="Walmart Litigating Subs" dataDxfId="22" dataCellStyle="Normal 2">
      <calculatedColumnFormula>(((Table14[[#This Row],[Walmart]]-Table14[[#This Row],[Walmart Attorney Fees]])*0.15))</calculatedColumnFormula>
    </tableColumn>
    <tableColumn id="18" xr3:uid="{00000000-0010-0000-0A00-000012000000}" name="Net Walmart Litigating Subdivisions" dataDxfId="21" dataCellStyle="Normal 2">
      <calculatedColumnFormula>Table10[[#This Row],[Walmart Litigating Subs]]-Table10[[#This Row],[Walmart Escrow]]</calculatedColumnFormula>
    </tableColumn>
  </tableColumns>
  <tableStyleInfo name="TableStyleLight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21A242-C8F9-4157-951E-AFF6377AED89}" name="Table144" displayName="Table144" ref="A1:G2" totalsRowShown="0">
  <autoFilter ref="A1:G2" xr:uid="{00000000-0009-0000-0100-000001000000}"/>
  <tableColumns count="7">
    <tableColumn id="1" xr3:uid="{00000000-0010-0000-0000-000001000000}" name="Payment #"/>
    <tableColumn id="12" xr3:uid="{00000000-0010-0000-0000-00000C000000}" name="Approx Date"/>
    <tableColumn id="2" xr3:uid="{00000000-0010-0000-0000-000002000000}" name="PA Endo" dataDxfId="20"/>
    <tableColumn id="7" xr3:uid="{00000000-0010-0000-0000-000007000000}" name="Commonwealth" dataDxfId="19">
      <calculatedColumnFormula>Table144[[#This Row],[PA Endo]]*0.15</calculatedColumnFormula>
    </tableColumn>
    <tableColumn id="8" xr3:uid="{00000000-0010-0000-0000-000008000000}" name="County" dataDxfId="18">
      <calculatedColumnFormula>Table144[[#This Row],[PA Endo]]*0.7</calculatedColumnFormula>
    </tableColumn>
    <tableColumn id="9" xr3:uid="{00000000-0010-0000-0000-000009000000}" name="Litigating" dataDxfId="17">
      <calculatedColumnFormula>Table144[[#This Row],[PA Endo]]*0.15</calculatedColumnFormula>
    </tableColumn>
    <tableColumn id="10" xr3:uid="{00000000-0010-0000-0000-00000A000000}" name="Total" dataDxfId="16">
      <calculatedColumnFormula>Table144[[#This Row],[Commonwealth]]+Table144[[#This Row],[County]]+Table144[[#This Row],[Litigating]]</calculatedColumnFormula>
    </tableColumn>
  </tableColumns>
  <tableStyleInfo name="TableStyleLight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BB386A-3D20-4A49-8508-DEC35655472E}" name="Table4" displayName="Table4" ref="A3:C70" totalsRowShown="0" tableBorderDxfId="15">
  <autoFilter ref="A3:C70" xr:uid="{00000000-0009-0000-0100-000004000000}"/>
  <tableColumns count="3">
    <tableColumn id="1" xr3:uid="{00000000-0010-0000-0100-000001000000}" name="County" dataDxfId="14"/>
    <tableColumn id="2" xr3:uid="{00000000-0010-0000-0100-000002000000}" name="Adjusted % (W/Floors)"/>
    <tableColumn id="3" xr3:uid="{00000000-0010-0000-0100-000003000000}" name="Final - 12/1/2025" dataDxfId="13">
      <calculatedColumnFormula>B4*$C$2</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D07D15-0385-4172-8476-C6C13237BC14}" name="Table2" displayName="Table2" ref="A11:K43" totalsRowShown="0" headerRowDxfId="12">
  <autoFilter ref="A11:K43" xr:uid="{00000000-0009-0000-0100-000002000000}"/>
  <sortState xmlns:xlrd2="http://schemas.microsoft.com/office/spreadsheetml/2017/richdata2" ref="A12:M64">
    <sortCondition descending="1" ref="B11:B64"/>
  </sortState>
  <tableColumns count="11">
    <tableColumn id="1" xr3:uid="{00000000-0010-0000-0200-000001000000}" name="Litigant"/>
    <tableColumn id="12" xr3:uid="{00000000-0010-0000-0200-00000C000000}" name="Population 2020" dataDxfId="11" dataCellStyle="Comma"/>
    <tableColumn id="2" xr3:uid="{00000000-0010-0000-0200-000002000000}" name="No Floor % " dataDxfId="10">
      <calculatedColumnFormula>Table2[[#This Row],[Population 2020]]/$B$10</calculatedColumnFormula>
    </tableColumn>
    <tableColumn id="14" xr3:uid="{00000000-0010-0000-0200-00000E000000}" name="Payment w/ no floors" dataDxfId="9" dataCellStyle="Currency">
      <calculatedColumnFormula>Table2[[#This Row],[No Floor % ]]*$D$9</calculatedColumnFormula>
    </tableColumn>
    <tableColumn id="15" xr3:uid="{00000000-0010-0000-0200-00000F000000}" name="Minimum Payment" dataDxfId="8"/>
    <tableColumn id="16" xr3:uid="{00000000-0010-0000-0200-000010000000}" name="Unbalanced with Floors" dataDxfId="7">
      <calculatedColumnFormula>IF(Table2[[#This Row],[Payment w/ no floors]]&lt;Table2[[#This Row],[Minimum Payment]],Table2[[#This Row],[Minimum Payment]],Table2[[#This Row],[Payment w/ no floors]])</calculatedColumnFormula>
    </tableColumn>
    <tableColumn id="17" xr3:uid="{00000000-0010-0000-0200-000011000000}" name="Gross % w/ Floors" dataDxfId="6">
      <calculatedColumnFormula>Table2[[#This Row],[Unbalanced with Floors]]/$D$9</calculatedColumnFormula>
    </tableColumn>
    <tableColumn id="18" xr3:uid="{00000000-0010-0000-0200-000012000000}" name="Adjusted %" dataDxfId="5">
      <calculatedColumnFormula>Table2[[#This Row],[Final Payment w/ Floors]]/$D$9</calculatedColumnFormula>
    </tableColumn>
    <tableColumn id="19" xr3:uid="{00000000-0010-0000-0200-000013000000}" name="Final Payment w/ Floors" dataDxfId="4">
      <calculatedColumnFormula>Table2[[#This Row],[Unbalanced with Floors]]-J12</calculatedColumnFormula>
    </tableColumn>
    <tableColumn id="20" xr3:uid="{00000000-0010-0000-0200-000014000000}" name="Percent of Floor Lost" dataDxfId="3">
      <calculatedColumnFormula>(Table2[[#This Row],[Population 2020]]/$F$44)*($F$9-$D$9)</calculatedColumnFormula>
    </tableColumn>
    <tableColumn id="3" xr3:uid="{00000000-0010-0000-0200-000003000000}" name="Final  - 12/1/2025" dataCellStyle="Currency">
      <calculatedColumnFormula>Table2[[#This Row],[Adjusted %]]*$K$9</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B18A7E-DF40-48B2-9DF4-0DA0EE83BE16}" name="Table518" displayName="Table518" ref="A5:D6" totalsRowShown="0" headerRowDxfId="2">
  <autoFilter ref="A5:D6" xr:uid="{00000000-0009-0000-0100-000005000000}"/>
  <tableColumns count="4">
    <tableColumn id="1" xr3:uid="{00000000-0010-0000-0300-000001000000}" name="Bellwether"/>
    <tableColumn id="2" xr3:uid="{00000000-0010-0000-0300-000002000000}" name="Adjusted % (W/Floors)"/>
    <tableColumn id="4" xr3:uid="{00000000-0010-0000-0300-000004000000}" name="Final Payment - 12/1/25" dataDxfId="1">
      <calculatedColumnFormula>$B$6*D4</calculatedColumnFormula>
    </tableColumn>
    <tableColumn id="5" xr3:uid="{00000000-0010-0000-0300-000005000000}" name="Total" dataDxfId="0">
      <calculatedColumnFormula>SUM(C6:C6)</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112AF69-9EDB-4080-8CD8-35E1AF5E539A}" name="Table12" displayName="Table12" ref="A3:E5" totalsRowShown="0">
  <autoFilter ref="A3:E5" xr:uid="{00000000-0009-0000-0100-000006000000}"/>
  <tableColumns count="5">
    <tableColumn id="1" xr3:uid="{00000000-0010-0000-0400-000001000000}" name="Comparison "/>
    <tableColumn id="2" xr3:uid="{00000000-0010-0000-0400-000002000000}" name="Smaller than 10k" dataCellStyle="Currency"/>
    <tableColumn id="3" xr3:uid="{00000000-0010-0000-0400-000003000000}" name="10k to 50k" dataCellStyle="Currency"/>
    <tableColumn id="4" xr3:uid="{00000000-0010-0000-0400-000004000000}" name="50k-100k" dataCellStyle="Currency"/>
    <tableColumn id="5" xr3:uid="{00000000-0010-0000-0400-000005000000}" name="Over 100k"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F5C1FFA-6CF3-4046-9F2D-F7D3C0657F3F}" name="Table718254" displayName="Table718254" ref="A127:F130" totalsRowCount="1" headerRowDxfId="275" dataDxfId="274" totalsRowDxfId="273">
  <autoFilter ref="A127:F129" xr:uid="{F07ECFEF-2B3D-4229-8F80-0E95C5DED6F0}"/>
  <tableColumns count="6">
    <tableColumn id="1" xr3:uid="{191DC35B-8344-4ED5-B2CF-28375945C9BF}" name="Payee (COPA)" dataDxfId="272" totalsRowDxfId="271"/>
    <tableColumn id="2" xr3:uid="{385B12BC-0BF5-4C35-836C-C22C4BA6C2C7}" name="Unique ID" dataDxfId="270" totalsRowDxfId="269"/>
    <tableColumn id="6" xr3:uid="{1E32BD31-A9E1-4C82-B23A-1B7EDC89A167}" name="Dist Payment" dataDxfId="268" totalsRowDxfId="267">
      <calculatedColumnFormula>+'Dist and JJ Totals'!B23</calculatedColumnFormula>
    </tableColumn>
    <tableColumn id="5" xr3:uid="{99FE92D7-34D6-4FD9-971F-F226505F6914}" name="JJ Payment" dataDxfId="266" totalsRowDxfId="265">
      <calculatedColumnFormula>+'Dist and JJ Totals'!C23</calculatedColumnFormula>
    </tableColumn>
    <tableColumn id="4" xr3:uid="{983A4C73-D870-4DFB-AEEF-997D411F9836}" name="None" dataDxfId="264" totalsRowDxfId="263"/>
    <tableColumn id="7" xr3:uid="{A83A6CCA-DE49-4840-8EF7-F17A7DC772DF}" name="Total Payment 4 " dataDxfId="262" totalsRowDxfId="261">
      <calculatedColumnFormula>+Table718254[[#This Row],[Dist Payment]]+Table718254[[#This Row],[JJ Payment]]</calculatedColumnFormula>
    </tableColumn>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8DD3125-2493-4941-B761-F2BA8F97FB4A}" name="Table819265" displayName="Table819265" ref="A131:F133" totalsRowShown="0" headerRowDxfId="260" dataDxfId="259">
  <autoFilter ref="A131:F133" xr:uid="{747BFC13-188C-49A5-80D7-C0916C2D4F88}"/>
  <tableColumns count="6">
    <tableColumn id="1" xr3:uid="{42D5B494-1DDD-43D2-A403-74E3808353EF}" name="Cost/Fees" dataDxfId="258"/>
    <tableColumn id="2" xr3:uid="{27D3EFCF-FFE5-47A0-9942-A732FDAEEA8A}" name="Unique ID" dataDxfId="257"/>
    <tableColumn id="5" xr3:uid="{8F9E46DC-4205-4250-8ED4-AA563354DEAF}" name="Attorney/Admin Costs" dataDxfId="256"/>
    <tableColumn id="4" xr3:uid="{7E38C824-3CD5-48EB-8192-E91CF063A260}" name="Dist Atty Fees" dataDxfId="255"/>
    <tableColumn id="3" xr3:uid="{828B6E0B-7923-40D7-8614-B8F3ADB1C098}" name="JJ Atty Fees" dataDxfId="254"/>
    <tableColumn id="6" xr3:uid="{F97EEF04-6666-49A6-87C7-82F030FAA35C}" name="Total Payment 5 (Attorney/Admin, Dist Atty Fees, JJ Atty Fees)" dataDxfId="253"/>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83D282D-2CB1-4D16-A3E2-129918F80913}" name="Table1422" displayName="Table1422" ref="A1:O20" totalsRowShown="0">
  <autoFilter ref="A1:O20" xr:uid="{00000000-0009-0000-0100-000004000000}"/>
  <tableColumns count="15">
    <tableColumn id="1" xr3:uid="{00000000-0010-0000-0600-000001000000}" name="Payment #"/>
    <tableColumn id="12" xr3:uid="{00000000-0010-0000-0600-00000C000000}" name="Approx Date"/>
    <tableColumn id="2" xr3:uid="{00000000-0010-0000-0600-000002000000}" name="PA Distributors " dataDxfId="252"/>
    <tableColumn id="3" xr3:uid="{00000000-0010-0000-0600-000003000000}" name="PA J&amp;J" dataDxfId="251"/>
    <tableColumn id="4" xr3:uid="{00000000-0010-0000-0600-000004000000}" name="Totals" dataDxfId="250"/>
    <tableColumn id="14" xr3:uid="{00000000-0010-0000-0600-00000E000000}" name="Distributors Atty Fees" dataDxfId="249"/>
    <tableColumn id="13" xr3:uid="{00000000-0010-0000-0600-00000D000000}" name="J&amp;J Attorneys Fees" dataDxfId="248"/>
    <tableColumn id="5" xr3:uid="{00000000-0010-0000-0600-000005000000}" name="Attorney's Costs" dataDxfId="247"/>
    <tableColumn id="15" xr3:uid="{00000000-0010-0000-0600-00000F000000}" name="Admin Costs" dataDxfId="246"/>
    <tableColumn id="6" xr3:uid="{00000000-0010-0000-0600-000006000000}" name="Total Less Fees" dataDxfId="245">
      <calculatedColumnFormula>Table1422[[#This Row],[Totals]]-Table1422[[#This Row],[Distributors Atty Fees]]-Table1422[[#This Row],[J&amp;J Attorneys Fees]]-Table1422[[#This Row],[Attorney''s Costs]]-Table1422[[#This Row],[Admin Costs]]</calculatedColumnFormula>
    </tableColumn>
    <tableColumn id="7" xr3:uid="{00000000-0010-0000-0600-000007000000}" name="Commonwealth" dataDxfId="244">
      <calculatedColumnFormula>Table1422[[#This Row],[Total Less Fees]]*0.15</calculatedColumnFormula>
    </tableColumn>
    <tableColumn id="8" xr3:uid="{00000000-0010-0000-0600-000008000000}" name="County" dataDxfId="243">
      <calculatedColumnFormula>Table1422[[#This Row],[Total Less Fees]]*0.7</calculatedColumnFormula>
    </tableColumn>
    <tableColumn id="9" xr3:uid="{00000000-0010-0000-0600-000009000000}" name="Litigating" dataDxfId="242">
      <calculatedColumnFormula>Table1422[[#This Row],[Total Less Fees]]*0.15</calculatedColumnFormula>
    </tableColumn>
    <tableColumn id="10" xr3:uid="{00000000-0010-0000-0600-00000A000000}" name="(Litigating Ds" dataDxfId="241"/>
    <tableColumn id="11" xr3:uid="{00000000-0010-0000-0600-00000B000000}" name="(Litigating J&amp;J)" dataDxfId="240">
      <calculatedColumnFormula>(Table1422[[#This Row],[PA J&amp;J]]-Table1422[[#This Row],[J&amp;J Attorneys Fees]])*0.15</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AD60FCF-BF14-4A5B-8129-468113AE1194}" name="Table623" displayName="Table623" ref="A1:U69" totalsRowShown="0" headerRowDxfId="239">
  <autoFilter ref="A1:U69" xr:uid="{00000000-0009-0000-0100-000005000000}"/>
  <tableColumns count="21">
    <tableColumn id="1" xr3:uid="{00000000-0010-0000-0700-000001000000}" name="County" dataDxfId="238"/>
    <tableColumn id="2" xr3:uid="{00000000-0010-0000-0700-000002000000}" name="Adjusted % (W/Floors)"/>
    <tableColumn id="3" xr3:uid="{00000000-0010-0000-0700-000003000000}" name="Payment 1 - 9/1/22" dataDxfId="237">
      <calculatedColumnFormula>B2*$C$2</calculatedColumnFormula>
    </tableColumn>
    <tableColumn id="4" xr3:uid="{00000000-0010-0000-0700-000004000000}" name="Payment 2 - 12/1/22" dataDxfId="236">
      <calculatedColumnFormula>B2*$D$2</calculatedColumnFormula>
    </tableColumn>
    <tableColumn id="5" xr3:uid="{00000000-0010-0000-0700-000005000000}" name="Payment 3 - 2023" dataDxfId="235">
      <calculatedColumnFormula>B2*$E$2</calculatedColumnFormula>
    </tableColumn>
    <tableColumn id="6" xr3:uid="{00000000-0010-0000-0700-000006000000}" name="Payment 4 - 2024" dataDxfId="234">
      <calculatedColumnFormula>B2*$F$2</calculatedColumnFormula>
    </tableColumn>
    <tableColumn id="7" xr3:uid="{00000000-0010-0000-0700-000007000000}" name="Payment 5 - 2025" dataDxfId="233">
      <calculatedColumnFormula>B2*$G$2</calculatedColumnFormula>
    </tableColumn>
    <tableColumn id="8" xr3:uid="{00000000-0010-0000-0700-000008000000}" name="Payment 6 - 2026" dataDxfId="232">
      <calculatedColumnFormula>B2*$H$2</calculatedColumnFormula>
    </tableColumn>
    <tableColumn id="9" xr3:uid="{00000000-0010-0000-0700-000009000000}" name="Payment 7 - 2027" dataDxfId="231">
      <calculatedColumnFormula>B2*$I$2</calculatedColumnFormula>
    </tableColumn>
    <tableColumn id="10" xr3:uid="{00000000-0010-0000-0700-00000A000000}" name="Payment 8 - 2028" dataDxfId="230">
      <calculatedColumnFormula>B2*$J$2</calculatedColumnFormula>
    </tableColumn>
    <tableColumn id="11" xr3:uid="{00000000-0010-0000-0700-00000B000000}" name="Payment 9 -2029" dataDxfId="229">
      <calculatedColumnFormula>B2*$K$2</calculatedColumnFormula>
    </tableColumn>
    <tableColumn id="12" xr3:uid="{00000000-0010-0000-0700-00000C000000}" name="Payment 10 -2030" dataDxfId="228">
      <calculatedColumnFormula>B2*$L$2</calculatedColumnFormula>
    </tableColumn>
    <tableColumn id="13" xr3:uid="{00000000-0010-0000-0700-00000D000000}" name="Payment 11 - 2031" dataDxfId="227">
      <calculatedColumnFormula>B2*$M$2</calculatedColumnFormula>
    </tableColumn>
    <tableColumn id="14" xr3:uid="{00000000-0010-0000-0700-00000E000000}" name="Payment 12 - 2032" dataDxfId="226">
      <calculatedColumnFormula>B2*$N$2</calculatedColumnFormula>
    </tableColumn>
    <tableColumn id="15" xr3:uid="{00000000-0010-0000-0700-00000F000000}" name="Payment 13 - 2033" dataDxfId="225">
      <calculatedColumnFormula>B2*$O$2</calculatedColumnFormula>
    </tableColumn>
    <tableColumn id="16" xr3:uid="{00000000-0010-0000-0700-000010000000}" name="Payment 14 - 2034" dataDxfId="224">
      <calculatedColumnFormula>B2*$P$2</calculatedColumnFormula>
    </tableColumn>
    <tableColumn id="17" xr3:uid="{00000000-0010-0000-0700-000011000000}" name="Payment 15 - 2035" dataDxfId="223">
      <calculatedColumnFormula>B2*$Q$2</calculatedColumnFormula>
    </tableColumn>
    <tableColumn id="18" xr3:uid="{00000000-0010-0000-0700-000012000000}" name="Payment 16 - 2036" dataDxfId="222">
      <calculatedColumnFormula>B2*$R$2</calculatedColumnFormula>
    </tableColumn>
    <tableColumn id="19" xr3:uid="{00000000-0010-0000-0700-000013000000}" name="Payment 17 - 2037" dataDxfId="221">
      <calculatedColumnFormula>B2*$S$2</calculatedColumnFormula>
    </tableColumn>
    <tableColumn id="20" xr3:uid="{00000000-0010-0000-0700-000014000000}" name="Payment 18 -2038" dataDxfId="220">
      <calculatedColumnFormula>B2*$T$2</calculatedColumnFormula>
    </tableColumn>
    <tableColumn id="21" xr3:uid="{00000000-0010-0000-0700-000015000000}" name="Total" dataDxfId="219">
      <calculatedColumnFormula>SUM(Table623[[#This Row],[Payment 1 - 9/1/22]:[Payment 18 -2038]])</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9472383-A845-486F-86E1-BB77B8B8BFDA}" name="Table27" displayName="Table27" ref="A11:V89" totalsRowShown="0" headerRowDxfId="218">
  <autoFilter ref="A11:V89" xr:uid="{00000000-0009-0000-0100-000006000000}"/>
  <sortState xmlns:xlrd2="http://schemas.microsoft.com/office/spreadsheetml/2017/richdata2" ref="A12:V89">
    <sortCondition ref="B11:B89"/>
  </sortState>
  <tableColumns count="22">
    <tableColumn id="1" xr3:uid="{00000000-0010-0000-0800-000001000000}" name="Litigant"/>
    <tableColumn id="22" xr3:uid="{00000000-0010-0000-0800-000016000000}" name="Unique ID"/>
    <tableColumn id="2" xr3:uid="{00000000-0010-0000-0800-000002000000}" name="Adjusted % (W/Floors)"/>
    <tableColumn id="3" xr3:uid="{00000000-0010-0000-0800-000003000000}" name="Payment 1 - 9/1/22" dataDxfId="217" dataCellStyle="Currency">
      <calculatedColumnFormula>C12*$D$9</calculatedColumnFormula>
    </tableColumn>
    <tableColumn id="4" xr3:uid="{00000000-0010-0000-0800-000004000000}" name="Payment 2 - 12/1/22" dataDxfId="216" dataCellStyle="Currency">
      <calculatedColumnFormula>C12*$E$9</calculatedColumnFormula>
    </tableColumn>
    <tableColumn id="5" xr3:uid="{00000000-0010-0000-0800-000005000000}" name="Payment 3 - 2023" dataDxfId="215" dataCellStyle="Currency">
      <calculatedColumnFormula>C12*$F$9</calculatedColumnFormula>
    </tableColumn>
    <tableColumn id="6" xr3:uid="{00000000-0010-0000-0800-000006000000}" name="Payment 4 - 2024" dataDxfId="214" dataCellStyle="Currency">
      <calculatedColumnFormula>C12*$G$9</calculatedColumnFormula>
    </tableColumn>
    <tableColumn id="7" xr3:uid="{00000000-0010-0000-0800-000007000000}" name="Payment 5 - 2025" dataDxfId="213" dataCellStyle="Currency">
      <calculatedColumnFormula>C12*$H$9</calculatedColumnFormula>
    </tableColumn>
    <tableColumn id="8" xr3:uid="{00000000-0010-0000-0800-000008000000}" name="Payment 6 - 2026" dataDxfId="212" dataCellStyle="Currency">
      <calculatedColumnFormula>C12*$I$9</calculatedColumnFormula>
    </tableColumn>
    <tableColumn id="9" xr3:uid="{00000000-0010-0000-0800-000009000000}" name="Payment 7 - 2027" dataDxfId="211" dataCellStyle="Currency">
      <calculatedColumnFormula>C12*$J$9</calculatedColumnFormula>
    </tableColumn>
    <tableColumn id="10" xr3:uid="{00000000-0010-0000-0800-00000A000000}" name="Payment 8 - 2028" dataDxfId="210" dataCellStyle="Currency">
      <calculatedColumnFormula>C12*$K$9</calculatedColumnFormula>
    </tableColumn>
    <tableColumn id="11" xr3:uid="{00000000-0010-0000-0800-00000B000000}" name="Payment 9 -2029" dataDxfId="209" dataCellStyle="Currency">
      <calculatedColumnFormula>C12*$L$9</calculatedColumnFormula>
    </tableColumn>
    <tableColumn id="12" xr3:uid="{00000000-0010-0000-0800-00000C000000}" name="Payment 10 -2030" dataDxfId="208" dataCellStyle="Currency">
      <calculatedColumnFormula>C12*$M$9</calculatedColumnFormula>
    </tableColumn>
    <tableColumn id="13" xr3:uid="{00000000-0010-0000-0800-00000D000000}" name="Payment 11 - 2031" dataDxfId="207" dataCellStyle="Currency">
      <calculatedColumnFormula>C12*$N$9</calculatedColumnFormula>
    </tableColumn>
    <tableColumn id="14" xr3:uid="{00000000-0010-0000-0800-00000E000000}" name="Payment 12 - 2032" dataDxfId="206" dataCellStyle="Currency">
      <calculatedColumnFormula>C12*$O$9</calculatedColumnFormula>
    </tableColumn>
    <tableColumn id="15" xr3:uid="{00000000-0010-0000-0800-00000F000000}" name="Payment 13 - 2033" dataDxfId="205" dataCellStyle="Currency">
      <calculatedColumnFormula>C12*$P$9</calculatedColumnFormula>
    </tableColumn>
    <tableColumn id="16" xr3:uid="{00000000-0010-0000-0800-000010000000}" name="Payment 14 - 2034" dataDxfId="204" dataCellStyle="Currency">
      <calculatedColumnFormula>C12*$Q$9</calculatedColumnFormula>
    </tableColumn>
    <tableColumn id="17" xr3:uid="{00000000-0010-0000-0800-000011000000}" name="Payment 15 - 2035" dataDxfId="203" dataCellStyle="Currency">
      <calculatedColumnFormula>C12*$R$9</calculatedColumnFormula>
    </tableColumn>
    <tableColumn id="18" xr3:uid="{00000000-0010-0000-0800-000012000000}" name="Payment 16 - 2036" dataDxfId="202" dataCellStyle="Currency">
      <calculatedColumnFormula>C12*$S$9</calculatedColumnFormula>
    </tableColumn>
    <tableColumn id="19" xr3:uid="{00000000-0010-0000-0800-000013000000}" name="Payment 17 - 2037" dataDxfId="201" dataCellStyle="Currency">
      <calculatedColumnFormula>C12*$T$9</calculatedColumnFormula>
    </tableColumn>
    <tableColumn id="20" xr3:uid="{00000000-0010-0000-0800-000014000000}" name="Payment 18 -2038" dataDxfId="200" dataCellStyle="Currency">
      <calculatedColumnFormula>C12*$U$9</calculatedColumnFormula>
    </tableColumn>
    <tableColumn id="21" xr3:uid="{00000000-0010-0000-0800-000015000000}" name="Total" dataCellStyle="Currency">
      <calculatedColumnFormula>SUM(Table27[[#This Row],[Payment 1 - 9/1/22]:[Payment 18 -2038]])</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70E7072-B616-4A2C-ADD3-E80EB087D5D7}" name="Table525" displayName="Table525" ref="A5:V8" totalsRowShown="0" headerRowDxfId="199">
  <autoFilter ref="A5:V8" xr:uid="{00000000-0009-0000-0100-000009000000}"/>
  <tableColumns count="22">
    <tableColumn id="1" xr3:uid="{00000000-0010-0000-0900-000001000000}" name="Litigant"/>
    <tableColumn id="22" xr3:uid="{00000000-0010-0000-0900-000016000000}" name="Unique Id"/>
    <tableColumn id="2" xr3:uid="{00000000-0010-0000-0900-000002000000}" name="Adjusted % (W/Floors)"/>
    <tableColumn id="3" xr3:uid="{00000000-0010-0000-0900-000003000000}" name="Payment 1 - 9/1/22" dataCellStyle="Currency"/>
    <tableColumn id="4" xr3:uid="{00000000-0010-0000-0900-000004000000}" name="Payment 2 - 12/1/22" dataCellStyle="Currency"/>
    <tableColumn id="5" xr3:uid="{00000000-0010-0000-0900-000005000000}" name="Payment 3 - 2023" dataCellStyle="Currency"/>
    <tableColumn id="6" xr3:uid="{00000000-0010-0000-0900-000006000000}" name="Payment 4 - 2024" dataCellStyle="Currency"/>
    <tableColumn id="7" xr3:uid="{00000000-0010-0000-0900-000007000000}" name="Payment 5 - 2025" dataDxfId="198" dataCellStyle="Currency"/>
    <tableColumn id="8" xr3:uid="{00000000-0010-0000-0900-000008000000}" name="Payment 6 - 2026" dataCellStyle="Currency"/>
    <tableColumn id="9" xr3:uid="{00000000-0010-0000-0900-000009000000}" name="Payment 7 - 2027" dataCellStyle="Currency"/>
    <tableColumn id="10" xr3:uid="{00000000-0010-0000-0900-00000A000000}" name="Payment 8 - 2028" dataCellStyle="Currency"/>
    <tableColumn id="11" xr3:uid="{00000000-0010-0000-0900-00000B000000}" name="Payment 9 -2029" dataCellStyle="Currency"/>
    <tableColumn id="12" xr3:uid="{00000000-0010-0000-0900-00000C000000}" name="Payment 10 -2030" dataCellStyle="Currency"/>
    <tableColumn id="13" xr3:uid="{00000000-0010-0000-0900-00000D000000}" name="Payment 11 - 2031" dataCellStyle="Currency"/>
    <tableColumn id="14" xr3:uid="{00000000-0010-0000-0900-00000E000000}" name="Payment 12 - 2032" dataCellStyle="Currency"/>
    <tableColumn id="15" xr3:uid="{00000000-0010-0000-0900-00000F000000}" name="Payment 13 - 2033" dataCellStyle="Currency"/>
    <tableColumn id="16" xr3:uid="{00000000-0010-0000-0900-000010000000}" name="Payment 14 - 2034" dataCellStyle="Currency"/>
    <tableColumn id="17" xr3:uid="{00000000-0010-0000-0900-000011000000}" name="Payment 15 - 2035" dataCellStyle="Currency"/>
    <tableColumn id="18" xr3:uid="{00000000-0010-0000-0900-000012000000}" name="Payment 16 - 2036" dataCellStyle="Currency"/>
    <tableColumn id="19" xr3:uid="{00000000-0010-0000-0900-000013000000}" name="Payment 17 - 2037" dataCellStyle="Currency"/>
    <tableColumn id="20" xr3:uid="{00000000-0010-0000-0900-000014000000}" name="Payment 18 -2038" dataCellStyle="Currency"/>
    <tableColumn id="21" xr3:uid="{00000000-0010-0000-0900-000015000000}" name="total" dataCellStyle="Currency">
      <calculatedColumnFormula>SUM(Table525[[#This Row],[Payment 1 - 9/1/22]:[Payment 18 -2038]])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CD5AE4A-4F58-4F9D-8CFB-40359D02878B}" name="Table311" displayName="Table311" ref="A11:O97" totalsRowShown="0" headerRowDxfId="197">
  <autoFilter ref="A11:O97" xr:uid="{00000000-0009-0000-0100-00000A000000}"/>
  <sortState xmlns:xlrd2="http://schemas.microsoft.com/office/spreadsheetml/2017/richdata2" ref="A12:O97">
    <sortCondition ref="C11:C97"/>
  </sortState>
  <tableColumns count="15">
    <tableColumn id="1" xr3:uid="{00000000-0010-0000-0A00-000001000000}" name="Litigant"/>
    <tableColumn id="2" xr3:uid="{00000000-0010-0000-0A00-000002000000}" name="Adjusted % (W/Floors)"/>
    <tableColumn id="15" xr3:uid="{00000000-0010-0000-0A00-00000F000000}" name="Unique Id"/>
    <tableColumn id="3" xr3:uid="{00000000-0010-0000-0A00-000003000000}" name="Payment 1 (D's Only) -9/1/22"/>
    <tableColumn id="4" xr3:uid="{00000000-0010-0000-0A00-000004000000}" name="Payment 2 - 12/15/22" dataDxfId="196">
      <calculatedColumnFormula>B12*$E$9</calculatedColumnFormula>
    </tableColumn>
    <tableColumn id="5" xr3:uid="{00000000-0010-0000-0A00-000005000000}" name="Payment 3 - 2023" dataDxfId="195">
      <calculatedColumnFormula>B12*$F$9</calculatedColumnFormula>
    </tableColumn>
    <tableColumn id="6" xr3:uid="{00000000-0010-0000-0A00-000006000000}" name="Payment 4 - 2024" dataDxfId="194">
      <calculatedColumnFormula>B12*$G$9</calculatedColumnFormula>
    </tableColumn>
    <tableColumn id="7" xr3:uid="{00000000-0010-0000-0A00-000007000000}" name="Payment 5 - 2025" dataDxfId="193">
      <calculatedColumnFormula>B12*$H$9</calculatedColumnFormula>
    </tableColumn>
    <tableColumn id="8" xr3:uid="{00000000-0010-0000-0A00-000008000000}" name="Payment 6 - 2026" dataDxfId="192">
      <calculatedColumnFormula>B12*$I$9</calculatedColumnFormula>
    </tableColumn>
    <tableColumn id="9" xr3:uid="{00000000-0010-0000-0A00-000009000000}" name="Payment 7 - 2027" dataDxfId="191">
      <calculatedColumnFormula>B12*$J$9</calculatedColumnFormula>
    </tableColumn>
    <tableColumn id="10" xr3:uid="{00000000-0010-0000-0A00-00000A000000}" name="Payment 8 - 2028" dataDxfId="190">
      <calculatedColumnFormula>B12*$K$9</calculatedColumnFormula>
    </tableColumn>
    <tableColumn id="11" xr3:uid="{00000000-0010-0000-0A00-00000B000000}" name="Payment 9 - 2029" dataDxfId="189">
      <calculatedColumnFormula>B12*$L$9</calculatedColumnFormula>
    </tableColumn>
    <tableColumn id="12" xr3:uid="{00000000-0010-0000-0A00-00000C000000}" name="Payment 10 - 2030" dataDxfId="188">
      <calculatedColumnFormula>B12*$M$9</calculatedColumnFormula>
    </tableColumn>
    <tableColumn id="13" xr3:uid="{00000000-0010-0000-0A00-00000D000000}" name="Payment 11 -2031" dataDxfId="187">
      <calculatedColumnFormula>B12*$N$9</calculatedColumnFormula>
    </tableColumn>
    <tableColumn id="14" xr3:uid="{00000000-0010-0000-0A00-00000E000000}" name="Total" dataDxfId="186">
      <calculatedColumnFormula>SUM(Table311[[#This Row],[Payment 2 - 12/15/22]:[Payment 11 -2031]])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customProperty" Target="../customProperty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customProperty" Target="../customProperty11.bin"/><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customProperty" Target="../customProperty12.bin"/><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customProperty" Target="../customProperty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customProperty" Target="../customProperty14.bin"/><Relationship Id="rId4" Type="http://schemas.openxmlformats.org/officeDocument/2006/relationships/table" Target="../tables/table19.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customProperty" Target="../customProperty15.bin"/><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customProperty" Target="../customProperty16.bin"/><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customProperty" Target="../customProperty17.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customProperty" Target="../customProperty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A3AB-D255-4A08-841A-116EBF7FE70D}">
  <dimension ref="B3:O129"/>
  <sheetViews>
    <sheetView zoomScaleNormal="100" workbookViewId="0">
      <selection activeCell="I48" sqref="I48"/>
    </sheetView>
  </sheetViews>
  <sheetFormatPr defaultRowHeight="14.4" x14ac:dyDescent="0.3"/>
  <cols>
    <col min="3" max="3" width="50.6640625" bestFit="1" customWidth="1"/>
    <col min="4" max="4" width="15.109375" bestFit="1" customWidth="1"/>
    <col min="5" max="5" width="15.109375" customWidth="1"/>
    <col min="6" max="7" width="15.109375" bestFit="1" customWidth="1"/>
    <col min="8" max="8" width="16.109375" bestFit="1" customWidth="1"/>
    <col min="10" max="10" width="14.21875" customWidth="1"/>
    <col min="11" max="11" width="27.88671875" customWidth="1"/>
    <col min="12" max="12" width="9.6640625" customWidth="1"/>
    <col min="13" max="13" width="8.88671875" hidden="1" customWidth="1"/>
    <col min="14" max="14" width="21.88671875" customWidth="1"/>
    <col min="15" max="15" width="15.6640625" customWidth="1"/>
  </cols>
  <sheetData>
    <row r="3" spans="2:12" ht="21" x14ac:dyDescent="0.4">
      <c r="C3" s="195" t="s">
        <v>292</v>
      </c>
      <c r="D3" s="195"/>
      <c r="E3" s="195"/>
      <c r="F3" s="195"/>
      <c r="G3" s="195"/>
      <c r="H3" s="195"/>
    </row>
    <row r="4" spans="2:12" x14ac:dyDescent="0.3">
      <c r="C4" s="43" t="s">
        <v>284</v>
      </c>
      <c r="D4" s="44" t="s">
        <v>416</v>
      </c>
      <c r="E4" s="44" t="s">
        <v>495</v>
      </c>
      <c r="F4" s="166" t="s">
        <v>493</v>
      </c>
      <c r="G4" s="44" t="s">
        <v>293</v>
      </c>
      <c r="H4" s="44" t="s">
        <v>288</v>
      </c>
    </row>
    <row r="5" spans="2:12" x14ac:dyDescent="0.3">
      <c r="C5" t="s">
        <v>26</v>
      </c>
      <c r="D5" s="70">
        <v>131926.23141771235</v>
      </c>
      <c r="E5" s="70">
        <v>102103.94718649253</v>
      </c>
      <c r="F5" s="70">
        <v>217044.91359441282</v>
      </c>
      <c r="G5" s="70">
        <v>34587.839374099938</v>
      </c>
      <c r="H5" s="53">
        <f>SUM(D5:G5)</f>
        <v>485662.93157271761</v>
      </c>
      <c r="K5" s="18"/>
    </row>
    <row r="6" spans="2:12" x14ac:dyDescent="0.3">
      <c r="C6" t="s">
        <v>27</v>
      </c>
      <c r="D6" s="70">
        <v>3495044.9634743319</v>
      </c>
      <c r="E6" s="70">
        <v>2708272.935426238</v>
      </c>
      <c r="F6" s="70">
        <v>3278134.6481876513</v>
      </c>
      <c r="G6" s="70">
        <v>1429560.5814053253</v>
      </c>
      <c r="H6" s="53">
        <f t="shared" ref="H6:H69" si="0">SUM(D6:G6)</f>
        <v>10911013.128493546</v>
      </c>
      <c r="K6" s="18"/>
    </row>
    <row r="7" spans="2:12" x14ac:dyDescent="0.3">
      <c r="C7" t="s">
        <v>28</v>
      </c>
      <c r="D7" s="70">
        <v>184064.52139560023</v>
      </c>
      <c r="E7" s="70">
        <v>142366.12109580031</v>
      </c>
      <c r="F7" s="70">
        <v>188904.55637534501</v>
      </c>
      <c r="G7" s="70">
        <v>60930.908377589607</v>
      </c>
      <c r="H7" s="53">
        <f t="shared" si="0"/>
        <v>576266.10724433523</v>
      </c>
      <c r="K7" s="18"/>
    </row>
    <row r="8" spans="2:12" x14ac:dyDescent="0.3">
      <c r="B8" s="68"/>
      <c r="C8" t="s">
        <v>29</v>
      </c>
      <c r="D8" s="70">
        <v>394987.0826770608</v>
      </c>
      <c r="E8" s="70">
        <v>306847.72705905931</v>
      </c>
      <c r="F8" s="70">
        <v>428619.14630082587</v>
      </c>
      <c r="G8" s="70">
        <v>164530.05053011631</v>
      </c>
      <c r="H8" s="53">
        <f t="shared" si="0"/>
        <v>1294984.0065670621</v>
      </c>
      <c r="K8" s="18"/>
    </row>
    <row r="9" spans="2:12" x14ac:dyDescent="0.3">
      <c r="C9" t="s">
        <v>30</v>
      </c>
      <c r="D9" s="70">
        <v>65909.210093675429</v>
      </c>
      <c r="E9" s="70">
        <v>51765.357841203499</v>
      </c>
      <c r="F9" s="70">
        <v>96104.469996628119</v>
      </c>
      <c r="G9" s="70">
        <v>19304.848984299508</v>
      </c>
      <c r="H9" s="53">
        <f t="shared" si="0"/>
        <v>233083.88691580656</v>
      </c>
      <c r="K9" s="18"/>
    </row>
    <row r="10" spans="2:12" x14ac:dyDescent="0.3">
      <c r="C10" t="s">
        <v>31</v>
      </c>
      <c r="D10" s="70">
        <v>514584.66686752287</v>
      </c>
      <c r="E10" s="70">
        <v>393427.99975752592</v>
      </c>
      <c r="F10" s="70">
        <v>708741.72921503917</v>
      </c>
      <c r="G10" s="70">
        <v>190132.58273981401</v>
      </c>
      <c r="H10" s="53">
        <f t="shared" si="0"/>
        <v>1806886.9785799019</v>
      </c>
      <c r="K10" s="18"/>
    </row>
    <row r="11" spans="2:12" x14ac:dyDescent="0.3">
      <c r="C11" t="s">
        <v>32</v>
      </c>
      <c r="D11" s="70">
        <v>219603.31103823546</v>
      </c>
      <c r="E11" s="70">
        <v>167898.68988487669</v>
      </c>
      <c r="F11" s="70">
        <v>244159.15645394428</v>
      </c>
      <c r="G11" s="70">
        <v>81140.670125454199</v>
      </c>
      <c r="H11" s="53">
        <f t="shared" si="0"/>
        <v>712801.82750251063</v>
      </c>
      <c r="K11" s="18"/>
    </row>
    <row r="12" spans="2:12" x14ac:dyDescent="0.3">
      <c r="C12" t="s">
        <v>33</v>
      </c>
      <c r="D12" s="70">
        <v>70806.666333574525</v>
      </c>
      <c r="E12" s="70">
        <v>62078.777982956679</v>
      </c>
      <c r="F12" s="70">
        <v>126244.45892344047</v>
      </c>
      <c r="G12" s="70">
        <v>22622.86245070483</v>
      </c>
      <c r="H12" s="53">
        <f t="shared" si="0"/>
        <v>281752.76569067652</v>
      </c>
      <c r="K12" s="18"/>
    </row>
    <row r="13" spans="2:12" x14ac:dyDescent="0.3">
      <c r="C13" t="s">
        <v>34</v>
      </c>
      <c r="D13" s="70">
        <v>1764781.0945429448</v>
      </c>
      <c r="E13" s="70">
        <v>1367945.3530555067</v>
      </c>
      <c r="F13" s="70">
        <v>1737324.6117645628</v>
      </c>
      <c r="G13" s="70">
        <v>723505.0850485703</v>
      </c>
      <c r="H13" s="53">
        <f t="shared" si="0"/>
        <v>5593556.1444115853</v>
      </c>
      <c r="K13" s="18"/>
    </row>
    <row r="14" spans="2:12" x14ac:dyDescent="0.3">
      <c r="C14" t="s">
        <v>35</v>
      </c>
      <c r="D14" s="70">
        <v>372536.43300888303</v>
      </c>
      <c r="E14" s="70">
        <v>284824.38967273216</v>
      </c>
      <c r="F14" s="70">
        <v>395245.93657885195</v>
      </c>
      <c r="G14" s="70">
        <v>137647.54127602442</v>
      </c>
      <c r="H14" s="53">
        <f t="shared" si="0"/>
        <v>1190254.3005364914</v>
      </c>
      <c r="K14" s="18"/>
      <c r="L14" s="7"/>
    </row>
    <row r="15" spans="2:12" x14ac:dyDescent="0.3">
      <c r="C15" t="s">
        <v>36</v>
      </c>
      <c r="D15" s="70">
        <v>470175.18468049134</v>
      </c>
      <c r="E15" s="70">
        <v>363337.35818245093</v>
      </c>
      <c r="F15" s="70">
        <v>435424.35804568313</v>
      </c>
      <c r="G15" s="70">
        <v>159566.58750635394</v>
      </c>
      <c r="H15" s="53">
        <f t="shared" si="0"/>
        <v>1428503.4884149791</v>
      </c>
      <c r="K15" s="18"/>
      <c r="L15" s="7"/>
    </row>
    <row r="16" spans="2:12" x14ac:dyDescent="0.3">
      <c r="C16" t="s">
        <v>37</v>
      </c>
      <c r="D16" s="70">
        <v>39118.672977498107</v>
      </c>
      <c r="E16" s="70">
        <v>29908.355716063401</v>
      </c>
      <c r="F16" s="70">
        <v>37824.15413184349</v>
      </c>
      <c r="G16" s="70">
        <v>14453.859210073762</v>
      </c>
      <c r="H16" s="53">
        <f t="shared" si="0"/>
        <v>121305.04203547875</v>
      </c>
      <c r="K16" s="18"/>
    </row>
    <row r="17" spans="2:11" x14ac:dyDescent="0.3">
      <c r="B17" s="68"/>
      <c r="C17" t="s">
        <v>38</v>
      </c>
      <c r="D17" s="70">
        <v>266247.52952914505</v>
      </c>
      <c r="E17" s="70">
        <v>207321.95036376815</v>
      </c>
      <c r="F17" s="70">
        <v>233406.76396709023</v>
      </c>
      <c r="G17" s="70">
        <v>78775.910798318859</v>
      </c>
      <c r="H17" s="53">
        <f t="shared" si="0"/>
        <v>785752.15465832222</v>
      </c>
      <c r="K17" s="18"/>
    </row>
    <row r="18" spans="2:11" x14ac:dyDescent="0.3">
      <c r="C18" t="s">
        <v>39</v>
      </c>
      <c r="D18" s="70">
        <v>68030.775632418226</v>
      </c>
      <c r="E18" s="70">
        <v>52013.232617181544</v>
      </c>
      <c r="F18" s="70">
        <v>201134.07447493012</v>
      </c>
      <c r="G18" s="70">
        <v>25136.518652069546</v>
      </c>
      <c r="H18" s="53">
        <f t="shared" si="0"/>
        <v>346314.60137659946</v>
      </c>
      <c r="K18" s="18"/>
    </row>
    <row r="19" spans="2:11" x14ac:dyDescent="0.3">
      <c r="C19" t="s">
        <v>40</v>
      </c>
      <c r="D19" s="70">
        <v>760289.16265889863</v>
      </c>
      <c r="E19" s="70">
        <v>596718.04031550232</v>
      </c>
      <c r="F19" s="70">
        <v>958402.3875808653</v>
      </c>
      <c r="G19" s="70">
        <v>339968.41915822442</v>
      </c>
      <c r="H19" s="53">
        <f t="shared" si="0"/>
        <v>2655378.009713491</v>
      </c>
      <c r="K19" s="18"/>
    </row>
    <row r="20" spans="2:11" x14ac:dyDescent="0.3">
      <c r="C20" t="s">
        <v>41</v>
      </c>
      <c r="D20" s="70">
        <v>50695.711350960075</v>
      </c>
      <c r="E20" s="70">
        <v>39835.270313199268</v>
      </c>
      <c r="F20" s="70">
        <v>77893.479994818554</v>
      </c>
      <c r="G20" s="70">
        <v>14780.270712614858</v>
      </c>
      <c r="H20" s="53">
        <f t="shared" si="0"/>
        <v>183204.73237159275</v>
      </c>
      <c r="K20" s="18"/>
    </row>
    <row r="21" spans="2:11" x14ac:dyDescent="0.3">
      <c r="C21" t="s">
        <v>42</v>
      </c>
      <c r="D21" s="70">
        <v>104497.89887279479</v>
      </c>
      <c r="E21" s="70">
        <v>82221.228454914628</v>
      </c>
      <c r="F21" s="70">
        <v>130737.18416085311</v>
      </c>
      <c r="G21" s="70">
        <v>47512.533723551438</v>
      </c>
      <c r="H21" s="53">
        <f t="shared" si="0"/>
        <v>364968.84521211393</v>
      </c>
      <c r="K21" s="18"/>
    </row>
    <row r="22" spans="2:11" x14ac:dyDescent="0.3">
      <c r="C22" t="s">
        <v>43</v>
      </c>
      <c r="D22" s="70">
        <v>49872.307969612622</v>
      </c>
      <c r="E22" s="70">
        <v>39211.7745160634</v>
      </c>
      <c r="F22" s="70">
        <v>77638.25225671778</v>
      </c>
      <c r="G22" s="70">
        <v>22565.310246102181</v>
      </c>
      <c r="H22" s="53">
        <f t="shared" si="0"/>
        <v>189287.644988496</v>
      </c>
      <c r="K22" s="18"/>
    </row>
    <row r="23" spans="2:11" x14ac:dyDescent="0.3">
      <c r="C23" t="s">
        <v>44</v>
      </c>
      <c r="D23" s="70">
        <v>108414.32799664381</v>
      </c>
      <c r="E23" s="70">
        <v>84320.986686938966</v>
      </c>
      <c r="F23" s="70">
        <v>147129.2840405273</v>
      </c>
      <c r="G23" s="70">
        <v>32979.11039015952</v>
      </c>
      <c r="H23" s="53">
        <f t="shared" si="0"/>
        <v>372843.70911426959</v>
      </c>
      <c r="K23" s="18"/>
    </row>
    <row r="24" spans="2:11" x14ac:dyDescent="0.3">
      <c r="C24" t="s">
        <v>45</v>
      </c>
      <c r="D24" s="70">
        <v>257100.15280645172</v>
      </c>
      <c r="E24" s="70">
        <v>139603.47124271485</v>
      </c>
      <c r="F24" s="70">
        <v>186229.39566362515</v>
      </c>
      <c r="G24" s="70">
        <v>67466.394265734983</v>
      </c>
      <c r="H24" s="53">
        <f t="shared" si="0"/>
        <v>650399.41397852672</v>
      </c>
      <c r="K24" s="18"/>
    </row>
    <row r="25" spans="2:11" x14ac:dyDescent="0.3">
      <c r="C25" t="s">
        <v>46</v>
      </c>
      <c r="D25" s="70">
        <v>367423.97858130548</v>
      </c>
      <c r="E25" s="70">
        <v>282497.3175673869</v>
      </c>
      <c r="F25" s="70">
        <v>458564.93732068926</v>
      </c>
      <c r="G25" s="70">
        <v>105372.26156009946</v>
      </c>
      <c r="H25" s="53">
        <f t="shared" si="0"/>
        <v>1213858.4950294811</v>
      </c>
      <c r="K25" s="18"/>
    </row>
    <row r="26" spans="2:11" x14ac:dyDescent="0.3">
      <c r="C26" t="s">
        <v>47</v>
      </c>
      <c r="D26" s="70">
        <v>604024.908896168</v>
      </c>
      <c r="E26" s="70">
        <v>335173.19238595915</v>
      </c>
      <c r="F26" s="70">
        <v>595752.3877087842</v>
      </c>
      <c r="G26" s="70">
        <v>224012.47026979696</v>
      </c>
      <c r="H26" s="53">
        <f t="shared" si="0"/>
        <v>1758962.9592607082</v>
      </c>
      <c r="K26" s="18"/>
    </row>
    <row r="27" spans="2:11" x14ac:dyDescent="0.3">
      <c r="C27" t="s">
        <v>48</v>
      </c>
      <c r="D27" s="70">
        <v>2119303.5162953343</v>
      </c>
      <c r="E27" s="70">
        <v>1775237.5192557003</v>
      </c>
      <c r="F27" s="70">
        <v>1948012.2579703804</v>
      </c>
      <c r="G27" s="70">
        <v>775269.87336363026</v>
      </c>
      <c r="H27" s="53">
        <f t="shared" si="0"/>
        <v>6617823.1668850454</v>
      </c>
      <c r="K27" s="18"/>
    </row>
    <row r="28" spans="2:11" x14ac:dyDescent="0.3">
      <c r="C28" t="s">
        <v>49</v>
      </c>
      <c r="D28" s="70">
        <v>45716.663073920798</v>
      </c>
      <c r="E28" s="70">
        <v>34952.878441268949</v>
      </c>
      <c r="F28" s="70">
        <v>55407.599194448507</v>
      </c>
      <c r="G28" s="70">
        <v>16891.733827600063</v>
      </c>
      <c r="H28" s="53">
        <f t="shared" si="0"/>
        <v>152968.8745372383</v>
      </c>
      <c r="K28" s="18"/>
    </row>
    <row r="29" spans="2:11" x14ac:dyDescent="0.3">
      <c r="C29" t="s">
        <v>50</v>
      </c>
      <c r="D29" s="70">
        <v>635905.4216415066</v>
      </c>
      <c r="E29" s="70">
        <v>494008.10129484022</v>
      </c>
      <c r="F29" s="70">
        <v>649408.87385072152</v>
      </c>
      <c r="G29" s="70">
        <v>264890.10268123075</v>
      </c>
      <c r="H29" s="53">
        <f t="shared" si="0"/>
        <v>2044212.4994682991</v>
      </c>
      <c r="K29" s="18"/>
    </row>
    <row r="30" spans="2:11" x14ac:dyDescent="0.3">
      <c r="C30" t="s">
        <v>51</v>
      </c>
      <c r="D30" s="70">
        <v>405137.77190431126</v>
      </c>
      <c r="E30" s="70">
        <v>312453.07914466248</v>
      </c>
      <c r="F30" s="70">
        <v>397664.49307612842</v>
      </c>
      <c r="G30" s="70">
        <v>135536.07816103924</v>
      </c>
      <c r="H30" s="53">
        <f t="shared" si="0"/>
        <v>1250791.4222861414</v>
      </c>
      <c r="K30" s="18"/>
    </row>
    <row r="31" spans="2:11" x14ac:dyDescent="0.3">
      <c r="C31" t="s">
        <v>52</v>
      </c>
      <c r="D31" s="70">
        <v>39118.672977498107</v>
      </c>
      <c r="E31" s="70">
        <v>29908.355716063401</v>
      </c>
      <c r="F31" s="70">
        <v>37824.15413184349</v>
      </c>
      <c r="G31" s="70">
        <v>14453.859210073762</v>
      </c>
      <c r="H31" s="53">
        <f t="shared" si="0"/>
        <v>121305.04203547875</v>
      </c>
      <c r="K31" s="18"/>
    </row>
    <row r="32" spans="2:11" x14ac:dyDescent="0.3">
      <c r="C32" t="s">
        <v>53</v>
      </c>
      <c r="D32" s="70">
        <v>184646.56266060888</v>
      </c>
      <c r="E32" s="70">
        <v>145676.17198083908</v>
      </c>
      <c r="F32" s="70">
        <v>302990.27695484256</v>
      </c>
      <c r="G32" s="70">
        <v>51680.669744889761</v>
      </c>
      <c r="H32" s="53">
        <f t="shared" si="0"/>
        <v>684993.68134118023</v>
      </c>
      <c r="K32" s="18"/>
    </row>
    <row r="33" spans="2:11" x14ac:dyDescent="0.3">
      <c r="C33" t="s">
        <v>54</v>
      </c>
      <c r="D33" s="70">
        <v>39118.672977498107</v>
      </c>
      <c r="E33" s="70">
        <v>29908.355716063401</v>
      </c>
      <c r="F33" s="70">
        <v>37824.15413184349</v>
      </c>
      <c r="G33" s="70">
        <v>14453.859210073762</v>
      </c>
      <c r="H33" s="53">
        <f t="shared" si="0"/>
        <v>121305.04203547875</v>
      </c>
      <c r="K33" s="18"/>
    </row>
    <row r="34" spans="2:11" x14ac:dyDescent="0.3">
      <c r="C34" t="s">
        <v>55</v>
      </c>
      <c r="D34" s="70">
        <v>66109.286603587549</v>
      </c>
      <c r="E34" s="70">
        <v>51582.620577247922</v>
      </c>
      <c r="F34" s="70">
        <v>84170.276400154675</v>
      </c>
      <c r="G34" s="70">
        <v>20611.940380384898</v>
      </c>
      <c r="H34" s="53">
        <f t="shared" si="0"/>
        <v>222474.12396137504</v>
      </c>
      <c r="K34" s="18"/>
    </row>
    <row r="35" spans="2:11" x14ac:dyDescent="0.3">
      <c r="C35" t="s">
        <v>56</v>
      </c>
      <c r="D35" s="70">
        <v>61370.885721141945</v>
      </c>
      <c r="E35" s="70">
        <v>48194.904420662118</v>
      </c>
      <c r="F35" s="70">
        <v>90715.30402043715</v>
      </c>
      <c r="G35" s="70">
        <v>17997.743134354907</v>
      </c>
      <c r="H35" s="53">
        <f t="shared" si="0"/>
        <v>218278.83729659612</v>
      </c>
      <c r="K35" s="18"/>
    </row>
    <row r="36" spans="2:11" x14ac:dyDescent="0.3">
      <c r="C36" t="s">
        <v>57</v>
      </c>
      <c r="D36" s="70">
        <v>209763.84662449459</v>
      </c>
      <c r="E36" s="70">
        <v>162780.29445282469</v>
      </c>
      <c r="F36" s="70">
        <v>223200.5138757755</v>
      </c>
      <c r="G36" s="70">
        <v>68672.959071014309</v>
      </c>
      <c r="H36" s="53">
        <f t="shared" si="0"/>
        <v>664417.61402410909</v>
      </c>
      <c r="K36" s="18"/>
    </row>
    <row r="37" spans="2:11" x14ac:dyDescent="0.3">
      <c r="B37" s="68"/>
      <c r="C37" t="s">
        <v>58</v>
      </c>
      <c r="D37" s="70">
        <v>51431.236178492654</v>
      </c>
      <c r="E37" s="70">
        <v>39321.980769338639</v>
      </c>
      <c r="F37" s="70">
        <v>72176.657531899851</v>
      </c>
      <c r="G37" s="70">
        <v>19003.196942585269</v>
      </c>
      <c r="H37" s="53">
        <f t="shared" si="0"/>
        <v>181933.0714223164</v>
      </c>
      <c r="K37" s="18"/>
    </row>
    <row r="38" spans="2:11" x14ac:dyDescent="0.3">
      <c r="C38" t="s">
        <v>59</v>
      </c>
      <c r="D38" s="70">
        <v>39118.672977498107</v>
      </c>
      <c r="E38" s="70">
        <v>29908.355716063401</v>
      </c>
      <c r="F38" s="70">
        <v>46575.017073509953</v>
      </c>
      <c r="G38" s="70">
        <v>14453.859210073762</v>
      </c>
      <c r="H38" s="53">
        <f t="shared" si="0"/>
        <v>130055.90497714521</v>
      </c>
      <c r="K38" s="18"/>
    </row>
    <row r="39" spans="2:11" x14ac:dyDescent="0.3">
      <c r="C39" t="s">
        <v>60</v>
      </c>
      <c r="D39" s="70">
        <v>441061.18532203481</v>
      </c>
      <c r="E39" s="70">
        <v>343451.07218459609</v>
      </c>
      <c r="F39" s="70">
        <v>497997.828017489</v>
      </c>
      <c r="G39" s="70">
        <v>140060.65643272386</v>
      </c>
      <c r="H39" s="53">
        <f t="shared" si="0"/>
        <v>1422570.7419568438</v>
      </c>
      <c r="K39" s="18"/>
    </row>
    <row r="40" spans="2:11" x14ac:dyDescent="0.3">
      <c r="C40" t="s">
        <v>61</v>
      </c>
      <c r="D40" s="70">
        <v>616630.81075681362</v>
      </c>
      <c r="E40" s="70">
        <v>471447.83372912032</v>
      </c>
      <c r="F40" s="70">
        <v>890611.31981324963</v>
      </c>
      <c r="G40" s="70">
        <v>227837.35349098872</v>
      </c>
      <c r="H40" s="53">
        <f t="shared" si="0"/>
        <v>2206527.3177901721</v>
      </c>
      <c r="K40" s="18"/>
    </row>
    <row r="41" spans="2:11" x14ac:dyDescent="0.3">
      <c r="C41" t="s">
        <v>62</v>
      </c>
      <c r="D41" s="70">
        <v>293844.39851661224</v>
      </c>
      <c r="E41" s="70">
        <v>227146.02418097729</v>
      </c>
      <c r="F41" s="70">
        <v>271234.99147640221</v>
      </c>
      <c r="G41" s="70">
        <v>99440.050847664126</v>
      </c>
      <c r="H41" s="53">
        <f t="shared" si="0"/>
        <v>891665.46502165578</v>
      </c>
      <c r="K41" s="18"/>
    </row>
    <row r="42" spans="2:11" x14ac:dyDescent="0.3">
      <c r="C42" t="s">
        <v>63</v>
      </c>
      <c r="D42" s="70">
        <v>164090.19780923278</v>
      </c>
      <c r="E42" s="70">
        <v>125455.89182998968</v>
      </c>
      <c r="F42" s="70">
        <v>233546.71848801349</v>
      </c>
      <c r="G42" s="70">
        <v>60629.270789734575</v>
      </c>
      <c r="H42" s="53">
        <f t="shared" si="0"/>
        <v>583722.07891697052</v>
      </c>
      <c r="K42" s="18"/>
    </row>
    <row r="43" spans="2:11" x14ac:dyDescent="0.3">
      <c r="C43" t="s">
        <v>64</v>
      </c>
      <c r="D43" s="70">
        <v>680915.9677114595</v>
      </c>
      <c r="E43" s="70">
        <v>531415.75711416698</v>
      </c>
      <c r="F43" s="70">
        <v>822939.76593743649</v>
      </c>
      <c r="G43" s="70">
        <v>292977.38865396834</v>
      </c>
      <c r="H43" s="53">
        <f t="shared" si="0"/>
        <v>2328248.8794170315</v>
      </c>
      <c r="K43" s="18"/>
    </row>
    <row r="44" spans="2:11" x14ac:dyDescent="0.3">
      <c r="C44" t="s">
        <v>65</v>
      </c>
      <c r="D44" s="70">
        <v>986600.98665223434</v>
      </c>
      <c r="E44" s="70">
        <v>763714.38638904458</v>
      </c>
      <c r="F44" s="70">
        <v>930083.50516752165</v>
      </c>
      <c r="G44" s="70">
        <v>329992.14262934815</v>
      </c>
      <c r="H44" s="53">
        <f t="shared" si="0"/>
        <v>3010391.0208381489</v>
      </c>
      <c r="K44" s="18"/>
    </row>
    <row r="45" spans="2:11" x14ac:dyDescent="0.3">
      <c r="C45" t="s">
        <v>66</v>
      </c>
      <c r="D45" s="70">
        <v>213018.88843200912</v>
      </c>
      <c r="E45" s="70">
        <v>164103.70201069053</v>
      </c>
      <c r="F45" s="70">
        <v>273370.28081328224</v>
      </c>
      <c r="G45" s="70">
        <v>64550.559431849957</v>
      </c>
      <c r="H45" s="53">
        <f t="shared" si="0"/>
        <v>715043.43068783183</v>
      </c>
      <c r="K45" s="18"/>
    </row>
    <row r="46" spans="2:11" x14ac:dyDescent="0.3">
      <c r="C46" t="s">
        <v>67</v>
      </c>
      <c r="D46" s="70">
        <v>48982.133419390426</v>
      </c>
      <c r="E46" s="70">
        <v>37449.508343023052</v>
      </c>
      <c r="F46" s="70">
        <v>68002.525613785867</v>
      </c>
      <c r="G46" s="70">
        <v>18098.284179020178</v>
      </c>
      <c r="H46" s="53">
        <f t="shared" si="0"/>
        <v>172532.45155521951</v>
      </c>
      <c r="K46" s="18"/>
    </row>
    <row r="47" spans="2:11" x14ac:dyDescent="0.3">
      <c r="B47" s="68"/>
      <c r="C47" t="s">
        <v>68</v>
      </c>
      <c r="D47" s="70">
        <v>291662.4818058766</v>
      </c>
      <c r="E47" s="70">
        <v>224231.01171692862</v>
      </c>
      <c r="F47" s="70">
        <v>312592.56269471766</v>
      </c>
      <c r="G47" s="70">
        <v>117574.95741590521</v>
      </c>
      <c r="H47" s="53">
        <f t="shared" si="0"/>
        <v>946061.01363342803</v>
      </c>
      <c r="K47" s="18"/>
    </row>
    <row r="48" spans="2:11" x14ac:dyDescent="0.3">
      <c r="C48" t="s">
        <v>69</v>
      </c>
      <c r="D48" s="70">
        <v>47077.288757424139</v>
      </c>
      <c r="E48" s="70">
        <v>35993.150869785066</v>
      </c>
      <c r="F48" s="70">
        <v>72499.363993347288</v>
      </c>
      <c r="G48" s="70">
        <v>17394.467958644847</v>
      </c>
      <c r="H48" s="53">
        <f t="shared" si="0"/>
        <v>172964.27157920133</v>
      </c>
      <c r="K48" s="18"/>
    </row>
    <row r="49" spans="2:11" x14ac:dyDescent="0.3">
      <c r="C49" t="s">
        <v>70</v>
      </c>
      <c r="D49" s="70">
        <v>273380.23799999396</v>
      </c>
      <c r="E49" s="70">
        <v>213875.90978222969</v>
      </c>
      <c r="F49" s="70">
        <v>367727.4465786104</v>
      </c>
      <c r="G49" s="70">
        <v>83151.577741914924</v>
      </c>
      <c r="H49" s="53">
        <f t="shared" si="0"/>
        <v>938135.17210274888</v>
      </c>
      <c r="K49" s="18"/>
    </row>
    <row r="50" spans="2:11" x14ac:dyDescent="0.3">
      <c r="C50" t="s">
        <v>71</v>
      </c>
      <c r="D50" s="70">
        <v>1373404.9715916282</v>
      </c>
      <c r="E50" s="70">
        <v>1050042.8901614409</v>
      </c>
      <c r="F50" s="70">
        <v>1596442.938328383</v>
      </c>
      <c r="G50" s="70">
        <v>507455.91777153249</v>
      </c>
      <c r="H50" s="53">
        <f t="shared" si="0"/>
        <v>4527346.7178529846</v>
      </c>
      <c r="K50" s="18"/>
    </row>
    <row r="51" spans="2:11" x14ac:dyDescent="0.3">
      <c r="C51" t="s">
        <v>72</v>
      </c>
      <c r="D51" s="70">
        <v>39118.672977498107</v>
      </c>
      <c r="E51" s="70">
        <v>29908.355716063401</v>
      </c>
      <c r="F51" s="70">
        <v>39997.335163343429</v>
      </c>
      <c r="G51" s="70">
        <v>14453.859210073762</v>
      </c>
      <c r="H51" s="53">
        <f t="shared" si="0"/>
        <v>123478.22306697869</v>
      </c>
      <c r="K51" s="18"/>
    </row>
    <row r="52" spans="2:11" x14ac:dyDescent="0.3">
      <c r="C52" t="s">
        <v>73</v>
      </c>
      <c r="D52" s="70">
        <v>548662.2164968783</v>
      </c>
      <c r="E52" s="70">
        <v>350777.15918027796</v>
      </c>
      <c r="F52" s="70">
        <v>673065.65512257337</v>
      </c>
      <c r="G52" s="70">
        <v>237303.99918656205</v>
      </c>
      <c r="H52" s="53">
        <f t="shared" si="0"/>
        <v>1809809.0299862919</v>
      </c>
      <c r="K52" s="18"/>
    </row>
    <row r="53" spans="2:11" x14ac:dyDescent="0.3">
      <c r="C53" t="s">
        <v>74</v>
      </c>
      <c r="D53" s="70">
        <v>183603.22028935622</v>
      </c>
      <c r="E53" s="70">
        <v>143021.7221957648</v>
      </c>
      <c r="F53" s="70">
        <v>215744.20695273747</v>
      </c>
      <c r="G53" s="70">
        <v>58115.614588369855</v>
      </c>
      <c r="H53" s="53">
        <f t="shared" si="0"/>
        <v>600484.76402622834</v>
      </c>
      <c r="K53" s="18"/>
    </row>
    <row r="54" spans="2:11" x14ac:dyDescent="0.3">
      <c r="C54" t="s">
        <v>75</v>
      </c>
      <c r="D54" s="70">
        <v>62860.421506309336</v>
      </c>
      <c r="E54" s="70">
        <v>48060.215333833738</v>
      </c>
      <c r="F54" s="70">
        <v>81366.398232195526</v>
      </c>
      <c r="G54" s="70">
        <v>23226.137626414889</v>
      </c>
      <c r="H54" s="53">
        <f t="shared" si="0"/>
        <v>215513.17269875348</v>
      </c>
      <c r="K54" s="18"/>
    </row>
    <row r="55" spans="2:11" x14ac:dyDescent="0.3">
      <c r="C55" t="s">
        <v>76</v>
      </c>
      <c r="D55" s="70">
        <v>7764877.2151688449</v>
      </c>
      <c r="E55" s="70">
        <v>6015522.2501623798</v>
      </c>
      <c r="F55" s="70">
        <v>4330664.6402932378</v>
      </c>
      <c r="G55" s="70">
        <v>2674611.9639290893</v>
      </c>
      <c r="H55" s="53">
        <f t="shared" si="0"/>
        <v>20785676.069553554</v>
      </c>
      <c r="K55" s="18"/>
    </row>
    <row r="56" spans="2:11" x14ac:dyDescent="0.3">
      <c r="C56" t="s">
        <v>77</v>
      </c>
      <c r="D56" s="70">
        <v>96168.775082459731</v>
      </c>
      <c r="E56" s="70">
        <v>74145.842447005358</v>
      </c>
      <c r="F56" s="70">
        <v>124274.36529153975</v>
      </c>
      <c r="G56" s="70">
        <v>28454.532118474872</v>
      </c>
      <c r="H56" s="53">
        <f t="shared" si="0"/>
        <v>323043.5149394797</v>
      </c>
      <c r="K56" s="18"/>
    </row>
    <row r="57" spans="2:11" x14ac:dyDescent="0.3">
      <c r="C57" t="s">
        <v>78</v>
      </c>
      <c r="D57" s="70">
        <v>39118.672977498107</v>
      </c>
      <c r="E57" s="70">
        <v>29908.355716063401</v>
      </c>
      <c r="F57" s="70">
        <v>38329.209481376514</v>
      </c>
      <c r="G57" s="70">
        <v>14453.859210073762</v>
      </c>
      <c r="H57" s="53">
        <f t="shared" si="0"/>
        <v>121810.09738501177</v>
      </c>
      <c r="K57" s="18"/>
    </row>
    <row r="58" spans="2:11" x14ac:dyDescent="0.3">
      <c r="C58" t="s">
        <v>79</v>
      </c>
      <c r="D58" s="70">
        <v>309389.34917365451</v>
      </c>
      <c r="E58" s="70">
        <v>240676.72170553877</v>
      </c>
      <c r="F58" s="70">
        <v>343270.28588368109</v>
      </c>
      <c r="G58" s="70">
        <v>99138.413259809109</v>
      </c>
      <c r="H58" s="53">
        <f t="shared" si="0"/>
        <v>992474.77002268354</v>
      </c>
      <c r="K58" s="18"/>
    </row>
    <row r="59" spans="2:11" x14ac:dyDescent="0.3">
      <c r="B59" s="68"/>
      <c r="C59" t="s">
        <v>80</v>
      </c>
      <c r="D59" s="70">
        <v>39118.672977498107</v>
      </c>
      <c r="E59" s="70">
        <v>29908.355716063401</v>
      </c>
      <c r="F59" s="70">
        <v>62290.773530847982</v>
      </c>
      <c r="G59" s="70">
        <v>14453.859210073762</v>
      </c>
      <c r="H59" s="53">
        <f t="shared" si="0"/>
        <v>145771.66143448325</v>
      </c>
      <c r="K59" s="18"/>
    </row>
    <row r="60" spans="2:11" x14ac:dyDescent="0.3">
      <c r="C60" t="s">
        <v>81</v>
      </c>
      <c r="D60" s="70">
        <v>115652.28336830532</v>
      </c>
      <c r="E60" s="70">
        <v>88422.468531688486</v>
      </c>
      <c r="F60" s="70">
        <v>137934.68998310922</v>
      </c>
      <c r="G60" s="70">
        <v>42732.06870004494</v>
      </c>
      <c r="H60" s="53">
        <f t="shared" si="0"/>
        <v>384741.51058314793</v>
      </c>
      <c r="K60" s="18"/>
    </row>
    <row r="61" spans="2:11" x14ac:dyDescent="0.3">
      <c r="C61" t="s">
        <v>82</v>
      </c>
      <c r="D61" s="70">
        <v>39118.672977498107</v>
      </c>
      <c r="E61" s="70">
        <v>29908.355716063401</v>
      </c>
      <c r="F61" s="70">
        <v>37824.15413184349</v>
      </c>
      <c r="G61" s="70">
        <v>14453.859210073762</v>
      </c>
      <c r="H61" s="53">
        <f t="shared" si="0"/>
        <v>121305.04203547875</v>
      </c>
      <c r="K61" s="18"/>
    </row>
    <row r="62" spans="2:11" x14ac:dyDescent="0.3">
      <c r="C62" t="s">
        <v>83</v>
      </c>
      <c r="D62" s="70">
        <v>45172.444095457846</v>
      </c>
      <c r="E62" s="70">
        <v>34536.793396547073</v>
      </c>
      <c r="F62" s="70">
        <v>65595.759656114664</v>
      </c>
      <c r="G62" s="70">
        <v>16690.651738269516</v>
      </c>
      <c r="H62" s="53">
        <f t="shared" si="0"/>
        <v>161995.6488863891</v>
      </c>
      <c r="K62" s="18"/>
    </row>
    <row r="63" spans="2:11" x14ac:dyDescent="0.3">
      <c r="C63" t="s">
        <v>84</v>
      </c>
      <c r="D63" s="70">
        <v>52332.274588550041</v>
      </c>
      <c r="E63" s="70">
        <v>41196.386466276846</v>
      </c>
      <c r="F63" s="70">
        <v>76849.762030911312</v>
      </c>
      <c r="G63" s="70">
        <v>23871.474272461128</v>
      </c>
      <c r="H63" s="53">
        <f t="shared" si="0"/>
        <v>194249.89735819935</v>
      </c>
      <c r="K63" s="18"/>
    </row>
    <row r="64" spans="2:11" x14ac:dyDescent="0.3">
      <c r="C64" t="s">
        <v>85</v>
      </c>
      <c r="D64" s="70">
        <v>39118.672977498107</v>
      </c>
      <c r="E64" s="70">
        <v>29908.355716063401</v>
      </c>
      <c r="F64" s="70">
        <v>66872.899716852553</v>
      </c>
      <c r="G64" s="70">
        <v>14453.859210073762</v>
      </c>
      <c r="H64" s="53">
        <f t="shared" si="0"/>
        <v>150353.78762048783</v>
      </c>
      <c r="K64" s="18"/>
    </row>
    <row r="65" spans="2:14" x14ac:dyDescent="0.3">
      <c r="C65" t="s">
        <v>86</v>
      </c>
      <c r="D65" s="70">
        <v>91433.326147841595</v>
      </c>
      <c r="E65" s="70">
        <v>69905.756882537898</v>
      </c>
      <c r="F65" s="70">
        <v>101600.60404604625</v>
      </c>
      <c r="G65" s="70">
        <v>33783.467655200126</v>
      </c>
      <c r="H65" s="53">
        <f t="shared" si="0"/>
        <v>296723.15473162587</v>
      </c>
      <c r="K65" s="18"/>
    </row>
    <row r="66" spans="2:14" x14ac:dyDescent="0.3">
      <c r="B66" s="68"/>
      <c r="C66" t="s">
        <v>87</v>
      </c>
      <c r="D66" s="70">
        <v>39118.672977498107</v>
      </c>
      <c r="E66" s="70">
        <v>29908.355716063401</v>
      </c>
      <c r="F66" s="70">
        <v>61101.696179568833</v>
      </c>
      <c r="G66" s="70">
        <v>14453.859210073762</v>
      </c>
      <c r="H66" s="53">
        <f t="shared" si="0"/>
        <v>144582.5840832041</v>
      </c>
      <c r="K66" s="18"/>
    </row>
    <row r="67" spans="2:14" x14ac:dyDescent="0.3">
      <c r="C67" t="s">
        <v>88</v>
      </c>
      <c r="D67" s="70">
        <v>508300.48552651244</v>
      </c>
      <c r="E67" s="70">
        <v>394670.07999957714</v>
      </c>
      <c r="F67" s="70">
        <v>531070.16519628768</v>
      </c>
      <c r="G67" s="70">
        <v>165599.35371731373</v>
      </c>
      <c r="H67" s="53">
        <f t="shared" si="0"/>
        <v>1599640.0844396912</v>
      </c>
      <c r="K67" s="18"/>
    </row>
    <row r="68" spans="2:14" x14ac:dyDescent="0.3">
      <c r="C68" t="s">
        <v>89</v>
      </c>
      <c r="D68" s="70">
        <v>85718.753043269724</v>
      </c>
      <c r="E68" s="70">
        <v>65536.654554468201</v>
      </c>
      <c r="F68" s="70">
        <v>99136.720142950624</v>
      </c>
      <c r="G68" s="70">
        <v>31672.004540214919</v>
      </c>
      <c r="H68" s="53">
        <f t="shared" si="0"/>
        <v>282064.13228090346</v>
      </c>
      <c r="K68" s="18"/>
    </row>
    <row r="69" spans="2:14" x14ac:dyDescent="0.3">
      <c r="C69" t="s">
        <v>90</v>
      </c>
      <c r="D69" s="70">
        <v>979981.28642636444</v>
      </c>
      <c r="E69" s="70">
        <v>759492.86760043434</v>
      </c>
      <c r="F69" s="70">
        <v>963890.58467953943</v>
      </c>
      <c r="G69" s="70">
        <v>401280.04269338358</v>
      </c>
      <c r="H69" s="53">
        <f t="shared" si="0"/>
        <v>3104644.7813997217</v>
      </c>
      <c r="K69" s="18"/>
    </row>
    <row r="70" spans="2:14" x14ac:dyDescent="0.3">
      <c r="C70" t="s">
        <v>91</v>
      </c>
      <c r="D70" s="70">
        <v>65092.093229002669</v>
      </c>
      <c r="E70" s="70">
        <v>50076.236854886985</v>
      </c>
      <c r="F70" s="70">
        <v>73086.325442223009</v>
      </c>
      <c r="G70" s="70">
        <v>20511.399335719623</v>
      </c>
      <c r="H70" s="53">
        <f t="shared" ref="H70:H125" si="1">SUM(D70:G70)</f>
        <v>208766.05486183226</v>
      </c>
      <c r="K70" s="18"/>
    </row>
    <row r="71" spans="2:14" x14ac:dyDescent="0.3">
      <c r="C71" t="s">
        <v>92</v>
      </c>
      <c r="D71" s="70">
        <v>830692.9115517498</v>
      </c>
      <c r="E71" s="70">
        <v>648293.36893491214</v>
      </c>
      <c r="F71" s="70">
        <v>919562.78068672877</v>
      </c>
      <c r="G71" s="70">
        <v>357365.70630528941</v>
      </c>
      <c r="H71" s="53">
        <f t="shared" si="1"/>
        <v>2755914.7674786802</v>
      </c>
      <c r="K71" s="18"/>
    </row>
    <row r="72" spans="2:14" x14ac:dyDescent="0.3">
      <c r="D72" s="70"/>
      <c r="E72" s="70"/>
      <c r="F72" s="70"/>
      <c r="G72" s="70"/>
      <c r="H72" s="53"/>
      <c r="K72" s="18"/>
    </row>
    <row r="73" spans="2:14" x14ac:dyDescent="0.3">
      <c r="C73" t="s">
        <v>120</v>
      </c>
      <c r="D73" s="70">
        <v>3831.5912000000003</v>
      </c>
      <c r="E73" s="70"/>
      <c r="F73" s="70">
        <v>1969.7641363184109</v>
      </c>
      <c r="G73" s="70">
        <v>0</v>
      </c>
      <c r="H73" s="53">
        <f t="shared" si="1"/>
        <v>5801.355336318411</v>
      </c>
      <c r="K73" s="37"/>
      <c r="L73" s="37"/>
      <c r="M73" s="136"/>
      <c r="N73" s="136"/>
    </row>
    <row r="74" spans="2:14" x14ac:dyDescent="0.3">
      <c r="C74" t="s">
        <v>122</v>
      </c>
      <c r="D74" s="70">
        <v>38315.910000000003</v>
      </c>
      <c r="E74" s="70">
        <v>31262.71</v>
      </c>
      <c r="F74" s="70">
        <v>22156.053618469283</v>
      </c>
      <c r="G74" s="70">
        <v>0</v>
      </c>
      <c r="H74" s="53">
        <f t="shared" si="1"/>
        <v>91734.673618469271</v>
      </c>
      <c r="K74" s="37"/>
      <c r="L74" s="37"/>
      <c r="M74" s="136"/>
      <c r="N74" s="136"/>
    </row>
    <row r="75" spans="2:14" x14ac:dyDescent="0.3">
      <c r="C75" t="s">
        <v>126</v>
      </c>
      <c r="D75" s="70">
        <v>19157.96</v>
      </c>
      <c r="E75" s="70">
        <v>15453.61</v>
      </c>
      <c r="F75" s="70">
        <v>31878.706661393964</v>
      </c>
      <c r="G75" s="70">
        <v>13473.672485933772</v>
      </c>
      <c r="H75" s="53">
        <f t="shared" si="1"/>
        <v>79963.94914732773</v>
      </c>
      <c r="K75" s="37"/>
      <c r="L75" s="37"/>
      <c r="M75" s="136"/>
      <c r="N75" s="136"/>
    </row>
    <row r="76" spans="2:14" x14ac:dyDescent="0.3">
      <c r="C76" t="s">
        <v>128</v>
      </c>
      <c r="D76" s="70">
        <v>19157.96</v>
      </c>
      <c r="E76" s="70">
        <v>15266.88</v>
      </c>
      <c r="F76" s="70">
        <v>31019.411352991239</v>
      </c>
      <c r="G76" s="70">
        <v>0</v>
      </c>
      <c r="H76" s="53">
        <f t="shared" si="1"/>
        <v>65444.251352991239</v>
      </c>
      <c r="I76" s="18"/>
      <c r="K76" s="37"/>
      <c r="L76" s="37"/>
      <c r="M76" s="136"/>
      <c r="N76" s="136"/>
    </row>
    <row r="77" spans="2:14" x14ac:dyDescent="0.3">
      <c r="C77" t="s">
        <v>136</v>
      </c>
      <c r="D77" s="70">
        <v>9578.98</v>
      </c>
      <c r="E77" s="70">
        <v>7633.44</v>
      </c>
      <c r="F77" s="70">
        <v>15360.461582186608</v>
      </c>
      <c r="G77" s="70">
        <v>0</v>
      </c>
      <c r="H77" s="53">
        <f t="shared" si="1"/>
        <v>32572.881582186608</v>
      </c>
      <c r="I77" s="18"/>
      <c r="K77" s="37"/>
      <c r="L77" s="37"/>
      <c r="M77" s="136"/>
      <c r="N77" s="136"/>
    </row>
    <row r="78" spans="2:14" x14ac:dyDescent="0.3">
      <c r="B78" s="68"/>
      <c r="C78" t="s">
        <v>154</v>
      </c>
      <c r="D78" s="70">
        <v>3831.59</v>
      </c>
      <c r="E78" s="70">
        <v>3053.38</v>
      </c>
      <c r="F78" s="70">
        <v>6144.1846328746433</v>
      </c>
      <c r="G78" s="70">
        <v>0</v>
      </c>
      <c r="H78" s="53">
        <f t="shared" si="1"/>
        <v>13029.154632874644</v>
      </c>
      <c r="I78" s="18"/>
      <c r="K78" s="37"/>
      <c r="L78" s="37"/>
      <c r="M78" s="136"/>
      <c r="N78" s="136"/>
    </row>
    <row r="79" spans="2:14" x14ac:dyDescent="0.3">
      <c r="C79" t="s">
        <v>156</v>
      </c>
      <c r="D79" s="70">
        <v>3831.59</v>
      </c>
      <c r="E79" s="70">
        <v>3053.38</v>
      </c>
      <c r="F79" s="70">
        <v>6144.1846328746433</v>
      </c>
      <c r="G79" s="70">
        <v>0</v>
      </c>
      <c r="H79" s="53">
        <f t="shared" si="1"/>
        <v>13029.154632874644</v>
      </c>
      <c r="I79" s="18"/>
      <c r="K79" s="37"/>
      <c r="L79" s="37"/>
      <c r="M79" s="136"/>
      <c r="N79" s="136"/>
    </row>
    <row r="80" spans="2:14" x14ac:dyDescent="0.3">
      <c r="C80" t="s">
        <v>157</v>
      </c>
      <c r="D80" s="70">
        <v>9578.98</v>
      </c>
      <c r="E80" s="70">
        <v>7633.44</v>
      </c>
      <c r="F80" s="70">
        <v>15360.461582186608</v>
      </c>
      <c r="G80" s="70">
        <v>0</v>
      </c>
      <c r="H80" s="53">
        <f t="shared" si="1"/>
        <v>32572.881582186608</v>
      </c>
      <c r="I80" s="18"/>
      <c r="K80" s="37"/>
      <c r="L80" s="37"/>
      <c r="M80" s="136"/>
      <c r="N80" s="136"/>
    </row>
    <row r="81" spans="2:14" x14ac:dyDescent="0.3">
      <c r="C81" t="s">
        <v>159</v>
      </c>
      <c r="D81" s="70">
        <v>3831.59</v>
      </c>
      <c r="E81" s="70">
        <v>3053.38</v>
      </c>
      <c r="F81" s="70">
        <v>6144.1846328746433</v>
      </c>
      <c r="G81" s="70">
        <v>0</v>
      </c>
      <c r="H81" s="53">
        <f t="shared" si="1"/>
        <v>13029.154632874644</v>
      </c>
      <c r="I81" s="18"/>
      <c r="K81" s="37"/>
      <c r="L81" s="37"/>
      <c r="M81" s="136"/>
      <c r="N81" s="136"/>
    </row>
    <row r="82" spans="2:14" x14ac:dyDescent="0.3">
      <c r="C82" t="s">
        <v>162</v>
      </c>
      <c r="D82" s="70">
        <v>9578.98</v>
      </c>
      <c r="E82" s="70">
        <v>7633.44</v>
      </c>
      <c r="F82" s="70">
        <v>15360.461582186608</v>
      </c>
      <c r="G82" s="70">
        <v>0</v>
      </c>
      <c r="H82" s="53">
        <f t="shared" si="1"/>
        <v>32572.881582186608</v>
      </c>
      <c r="I82" s="18"/>
      <c r="K82" s="37"/>
      <c r="L82" s="37"/>
      <c r="M82" s="136"/>
      <c r="N82" s="136"/>
    </row>
    <row r="83" spans="2:14" x14ac:dyDescent="0.3">
      <c r="C83" t="s">
        <v>163</v>
      </c>
      <c r="D83" s="70">
        <v>9578.98</v>
      </c>
      <c r="E83" s="70">
        <v>7633.44</v>
      </c>
      <c r="F83" s="70">
        <v>15814.901079805277</v>
      </c>
      <c r="G83" s="70">
        <v>0</v>
      </c>
      <c r="H83" s="53">
        <f t="shared" si="1"/>
        <v>33027.321079805275</v>
      </c>
      <c r="I83" s="18"/>
      <c r="K83" s="37"/>
      <c r="L83" s="37"/>
      <c r="M83" s="136"/>
      <c r="N83" s="136"/>
    </row>
    <row r="84" spans="2:14" x14ac:dyDescent="0.3">
      <c r="C84" t="s">
        <v>166</v>
      </c>
      <c r="D84" s="70">
        <v>9578.98</v>
      </c>
      <c r="E84" s="70">
        <v>7633.44</v>
      </c>
      <c r="F84" s="70">
        <v>15360.461582186608</v>
      </c>
      <c r="G84" s="70">
        <v>0</v>
      </c>
      <c r="H84" s="53">
        <f t="shared" si="1"/>
        <v>32572.881582186608</v>
      </c>
      <c r="I84" s="18"/>
      <c r="K84" s="37"/>
      <c r="L84" s="37"/>
      <c r="M84" s="136"/>
      <c r="N84" s="136"/>
    </row>
    <row r="85" spans="2:14" x14ac:dyDescent="0.3">
      <c r="C85" t="s">
        <v>170</v>
      </c>
      <c r="D85" s="70">
        <v>3831.59</v>
      </c>
      <c r="E85" s="70">
        <v>3053.38</v>
      </c>
      <c r="F85" s="70">
        <v>6144.1846328746433</v>
      </c>
      <c r="G85" s="70">
        <v>0</v>
      </c>
      <c r="H85" s="53">
        <f t="shared" si="1"/>
        <v>13029.154632874644</v>
      </c>
      <c r="I85" s="18"/>
      <c r="K85" s="37"/>
      <c r="L85" s="37"/>
      <c r="M85" s="136"/>
      <c r="N85" s="136"/>
    </row>
    <row r="86" spans="2:14" x14ac:dyDescent="0.3">
      <c r="C86" t="s">
        <v>257</v>
      </c>
      <c r="D86" s="70">
        <v>9578.98</v>
      </c>
      <c r="E86" s="70">
        <v>8242.65</v>
      </c>
      <c r="F86" s="70">
        <v>16318.900159410116</v>
      </c>
      <c r="G86" s="70">
        <v>7186.5940020139624</v>
      </c>
      <c r="H86" s="53">
        <f t="shared" si="1"/>
        <v>41327.124161424072</v>
      </c>
      <c r="I86" s="18"/>
      <c r="K86" s="37"/>
      <c r="L86" s="37"/>
      <c r="M86" s="136"/>
      <c r="N86" s="136"/>
    </row>
    <row r="87" spans="2:14" x14ac:dyDescent="0.3">
      <c r="C87" t="s">
        <v>258</v>
      </c>
      <c r="D87" s="70">
        <v>9578.98</v>
      </c>
      <c r="E87" s="70">
        <v>7633.44</v>
      </c>
      <c r="F87" s="70">
        <v>15360.461582186608</v>
      </c>
      <c r="G87" s="70">
        <v>0</v>
      </c>
      <c r="H87" s="53">
        <f t="shared" si="1"/>
        <v>32572.881582186608</v>
      </c>
      <c r="I87" s="18"/>
      <c r="K87" s="37"/>
      <c r="L87" s="37"/>
      <c r="M87" s="136"/>
      <c r="N87" s="136"/>
    </row>
    <row r="88" spans="2:14" x14ac:dyDescent="0.3">
      <c r="B88" s="68"/>
      <c r="C88" t="s">
        <v>259</v>
      </c>
      <c r="D88" s="70">
        <v>3831.59</v>
      </c>
      <c r="E88" s="70"/>
      <c r="F88" s="70">
        <v>1969.7641363184109</v>
      </c>
      <c r="G88" s="70">
        <v>1451.0488148843208</v>
      </c>
      <c r="H88" s="53">
        <f t="shared" si="1"/>
        <v>7252.4029512027319</v>
      </c>
      <c r="I88" s="18"/>
      <c r="K88" s="37"/>
      <c r="L88" s="37"/>
      <c r="M88" s="136"/>
      <c r="N88" s="136"/>
    </row>
    <row r="89" spans="2:14" x14ac:dyDescent="0.3">
      <c r="C89" t="s">
        <v>260</v>
      </c>
      <c r="D89" s="70">
        <v>13220.22</v>
      </c>
      <c r="E89" s="70">
        <v>11437.36</v>
      </c>
      <c r="F89" s="70">
        <v>18669.476714792188</v>
      </c>
      <c r="G89" s="70">
        <v>0</v>
      </c>
      <c r="H89" s="53">
        <f t="shared" si="1"/>
        <v>43327.05671479219</v>
      </c>
      <c r="I89" s="18"/>
      <c r="K89" s="37"/>
      <c r="L89" s="37"/>
      <c r="M89" s="136"/>
      <c r="N89" s="136"/>
    </row>
    <row r="90" spans="2:14" x14ac:dyDescent="0.3">
      <c r="C90" t="s">
        <v>261</v>
      </c>
      <c r="D90" s="70">
        <v>3831.59</v>
      </c>
      <c r="E90" s="70">
        <v>3053.38</v>
      </c>
      <c r="F90" s="70">
        <v>6144.1846328746433</v>
      </c>
      <c r="G90" s="70">
        <v>0</v>
      </c>
      <c r="H90" s="53">
        <f t="shared" si="1"/>
        <v>13029.154632874644</v>
      </c>
      <c r="I90" s="18"/>
      <c r="K90" s="37"/>
      <c r="L90" s="37"/>
      <c r="M90" s="136"/>
      <c r="N90" s="136"/>
    </row>
    <row r="91" spans="2:14" x14ac:dyDescent="0.3">
      <c r="C91" t="s">
        <v>262</v>
      </c>
      <c r="D91" s="70">
        <v>9578.98</v>
      </c>
      <c r="E91" s="70">
        <v>7633.44</v>
      </c>
      <c r="F91" s="70">
        <v>15360.461582186608</v>
      </c>
      <c r="G91" s="70">
        <v>0</v>
      </c>
      <c r="H91" s="53">
        <f t="shared" si="1"/>
        <v>32572.881582186608</v>
      </c>
      <c r="I91" s="18"/>
      <c r="K91" s="37"/>
      <c r="L91" s="37"/>
      <c r="M91" s="136"/>
      <c r="N91" s="136"/>
    </row>
    <row r="92" spans="2:14" x14ac:dyDescent="0.3">
      <c r="C92" t="s">
        <v>263</v>
      </c>
      <c r="D92" s="70">
        <v>9578.98</v>
      </c>
      <c r="E92" s="70"/>
      <c r="F92" s="70">
        <v>4924.4103407960274</v>
      </c>
      <c r="G92" s="70">
        <v>4753.8653239364494</v>
      </c>
      <c r="H92" s="53">
        <f t="shared" si="1"/>
        <v>19257.255664732478</v>
      </c>
      <c r="I92" s="18"/>
      <c r="K92" s="37"/>
      <c r="L92" s="37"/>
      <c r="M92" s="136"/>
      <c r="N92" s="136"/>
    </row>
    <row r="93" spans="2:14" x14ac:dyDescent="0.3">
      <c r="C93" t="s">
        <v>264</v>
      </c>
      <c r="D93" s="70">
        <v>9578.98</v>
      </c>
      <c r="E93" s="70">
        <v>7633.44</v>
      </c>
      <c r="F93" s="70">
        <v>15360.461582186608</v>
      </c>
      <c r="G93" s="70">
        <v>0</v>
      </c>
      <c r="H93" s="53">
        <f t="shared" si="1"/>
        <v>32572.881582186608</v>
      </c>
      <c r="I93" s="18"/>
      <c r="K93" s="37"/>
      <c r="L93" s="37"/>
      <c r="M93" s="136"/>
      <c r="N93" s="136"/>
    </row>
    <row r="94" spans="2:14" x14ac:dyDescent="0.3">
      <c r="C94" t="s">
        <v>265</v>
      </c>
      <c r="D94" s="70">
        <v>10264.91</v>
      </c>
      <c r="E94" s="70">
        <v>8880.6</v>
      </c>
      <c r="F94" s="70">
        <v>16788.284342475527</v>
      </c>
      <c r="G94" s="70">
        <v>0</v>
      </c>
      <c r="H94" s="53">
        <f t="shared" si="1"/>
        <v>35933.794342475529</v>
      </c>
      <c r="I94" s="18"/>
      <c r="K94" s="37"/>
      <c r="L94" s="37"/>
      <c r="M94" s="136"/>
      <c r="N94" s="136"/>
    </row>
    <row r="95" spans="2:14" x14ac:dyDescent="0.3">
      <c r="B95" s="68"/>
      <c r="C95" t="s">
        <v>266</v>
      </c>
      <c r="D95" s="70">
        <v>86997.05</v>
      </c>
      <c r="E95" s="70">
        <v>75264.759999999995</v>
      </c>
      <c r="F95" s="70">
        <v>77231.769748122024</v>
      </c>
      <c r="G95" s="70">
        <v>0</v>
      </c>
      <c r="H95" s="53">
        <f t="shared" si="1"/>
        <v>239493.57974812202</v>
      </c>
      <c r="I95" s="18"/>
      <c r="K95" s="37"/>
      <c r="L95" s="37"/>
      <c r="M95" s="136"/>
      <c r="N95" s="136"/>
    </row>
    <row r="96" spans="2:14" x14ac:dyDescent="0.3">
      <c r="C96" t="s">
        <v>267</v>
      </c>
      <c r="D96" s="70">
        <v>3831.59</v>
      </c>
      <c r="E96" s="70">
        <v>3053.38</v>
      </c>
      <c r="F96" s="70">
        <v>6144.1846328746433</v>
      </c>
      <c r="G96" s="70">
        <v>0</v>
      </c>
      <c r="H96" s="53">
        <f t="shared" si="1"/>
        <v>13029.154632874644</v>
      </c>
      <c r="I96" s="18"/>
      <c r="K96" s="37"/>
      <c r="L96" s="37"/>
      <c r="M96" s="136"/>
      <c r="N96" s="136"/>
    </row>
    <row r="97" spans="2:15" x14ac:dyDescent="0.3">
      <c r="C97" t="s">
        <v>268</v>
      </c>
      <c r="D97" s="70">
        <v>121122.11</v>
      </c>
      <c r="E97" s="70"/>
      <c r="F97" s="70">
        <v>72799.744599545549</v>
      </c>
      <c r="G97" s="70">
        <v>0</v>
      </c>
      <c r="H97" s="53">
        <f t="shared" si="1"/>
        <v>193921.85459954554</v>
      </c>
      <c r="I97" s="18"/>
      <c r="K97" s="37"/>
      <c r="L97" s="37"/>
      <c r="M97" s="136"/>
      <c r="N97" s="136"/>
    </row>
    <row r="98" spans="2:15" x14ac:dyDescent="0.3">
      <c r="C98" t="s">
        <v>269</v>
      </c>
      <c r="D98" s="70">
        <v>3831.59</v>
      </c>
      <c r="E98" s="70">
        <v>3053.38</v>
      </c>
      <c r="F98" s="70">
        <v>6144.1846328746433</v>
      </c>
      <c r="G98" s="70">
        <v>0</v>
      </c>
      <c r="H98" s="53">
        <f t="shared" si="1"/>
        <v>13029.154632874644</v>
      </c>
      <c r="I98" s="18"/>
      <c r="K98" s="37"/>
      <c r="L98" s="37"/>
      <c r="M98" s="136"/>
      <c r="N98" s="136"/>
    </row>
    <row r="99" spans="2:15" x14ac:dyDescent="0.3">
      <c r="C99" t="s">
        <v>270</v>
      </c>
      <c r="D99" s="70">
        <v>3831.59</v>
      </c>
      <c r="E99" s="70"/>
      <c r="F99" s="70">
        <v>1969.7641363184109</v>
      </c>
      <c r="G99" s="70">
        <v>0</v>
      </c>
      <c r="H99" s="53">
        <f t="shared" si="1"/>
        <v>5801.3541363184113</v>
      </c>
      <c r="I99" s="18"/>
      <c r="K99" s="37"/>
      <c r="L99" s="37"/>
      <c r="M99" s="136"/>
      <c r="N99" s="136"/>
    </row>
    <row r="100" spans="2:15" x14ac:dyDescent="0.3">
      <c r="C100" t="s">
        <v>271</v>
      </c>
      <c r="D100" s="70">
        <v>3831.59</v>
      </c>
      <c r="E100" s="70"/>
      <c r="F100" s="70">
        <v>1969.7641363184109</v>
      </c>
      <c r="G100" s="70">
        <v>1451.0488148843208</v>
      </c>
      <c r="H100" s="53">
        <f t="shared" si="1"/>
        <v>7252.4029512027319</v>
      </c>
      <c r="I100" s="18"/>
      <c r="K100" s="37"/>
      <c r="L100" s="37"/>
      <c r="M100" s="136"/>
      <c r="N100" s="136"/>
    </row>
    <row r="101" spans="2:15" x14ac:dyDescent="0.3">
      <c r="C101" t="s">
        <v>272</v>
      </c>
      <c r="D101" s="70">
        <v>9578.98</v>
      </c>
      <c r="E101" s="70">
        <v>8347.74</v>
      </c>
      <c r="F101" s="70">
        <v>16396.216946573928</v>
      </c>
      <c r="G101" s="70">
        <v>7278.213328802748</v>
      </c>
      <c r="H101" s="53">
        <f t="shared" si="1"/>
        <v>41601.150275376676</v>
      </c>
      <c r="I101" s="18"/>
      <c r="K101" s="37"/>
      <c r="L101" s="37"/>
      <c r="M101" s="136"/>
      <c r="N101" s="136"/>
      <c r="O101" s="45"/>
    </row>
    <row r="102" spans="2:15" x14ac:dyDescent="0.3">
      <c r="C102" t="s">
        <v>273</v>
      </c>
      <c r="D102" s="70">
        <v>9578.98</v>
      </c>
      <c r="E102" s="70">
        <v>7633.44</v>
      </c>
      <c r="F102" s="70">
        <v>15352.007190985247</v>
      </c>
      <c r="G102" s="70">
        <v>5553.257492996865</v>
      </c>
      <c r="H102" s="53">
        <f t="shared" si="1"/>
        <v>38117.684683982108</v>
      </c>
      <c r="I102" s="18"/>
      <c r="K102" s="37"/>
      <c r="L102" s="37"/>
      <c r="M102" s="136"/>
      <c r="N102" s="136"/>
    </row>
    <row r="103" spans="2:15" x14ac:dyDescent="0.3">
      <c r="C103" t="s">
        <v>274</v>
      </c>
      <c r="D103" s="70">
        <v>9578.98</v>
      </c>
      <c r="E103" s="70">
        <v>7633.44</v>
      </c>
      <c r="F103" s="70">
        <v>15360.461582186608</v>
      </c>
      <c r="G103" s="70">
        <v>0</v>
      </c>
      <c r="H103" s="53">
        <f t="shared" si="1"/>
        <v>32572.881582186608</v>
      </c>
      <c r="I103" s="18"/>
      <c r="K103" s="37"/>
      <c r="L103" s="37"/>
      <c r="M103" s="136"/>
      <c r="N103" s="136"/>
    </row>
    <row r="104" spans="2:15" x14ac:dyDescent="0.3">
      <c r="B104" s="68"/>
      <c r="C104" t="s">
        <v>275</v>
      </c>
      <c r="D104" s="70">
        <v>3831.59</v>
      </c>
      <c r="E104" s="70">
        <v>3053.38</v>
      </c>
      <c r="F104" s="70">
        <v>6144.1846328746433</v>
      </c>
      <c r="G104" s="70">
        <v>0</v>
      </c>
      <c r="H104" s="53">
        <f t="shared" si="1"/>
        <v>13029.154632874644</v>
      </c>
      <c r="I104" s="18"/>
      <c r="K104" s="37"/>
      <c r="L104" s="37"/>
      <c r="M104" s="136"/>
      <c r="N104" s="136"/>
    </row>
    <row r="105" spans="2:15" x14ac:dyDescent="0.3">
      <c r="C105" t="s">
        <v>290</v>
      </c>
      <c r="D105" s="70">
        <v>3831.59</v>
      </c>
      <c r="E105" s="70">
        <v>3053.38</v>
      </c>
      <c r="F105" s="70">
        <v>6144.1846328746433</v>
      </c>
      <c r="G105" s="70">
        <v>0</v>
      </c>
      <c r="H105" s="53">
        <f t="shared" si="1"/>
        <v>13029.154632874644</v>
      </c>
      <c r="I105" s="18"/>
      <c r="K105" s="37"/>
      <c r="L105" s="37"/>
      <c r="M105" s="136"/>
      <c r="N105" s="136"/>
    </row>
    <row r="106" spans="2:15" x14ac:dyDescent="0.3">
      <c r="C106" t="s">
        <v>291</v>
      </c>
      <c r="D106" s="70">
        <v>12728.63</v>
      </c>
      <c r="E106" s="70">
        <v>11012.07</v>
      </c>
      <c r="F106" s="70">
        <v>18356.553926081921</v>
      </c>
      <c r="G106" s="70">
        <v>0</v>
      </c>
      <c r="H106" s="53">
        <f t="shared" si="1"/>
        <v>42097.253926081918</v>
      </c>
      <c r="I106" s="18"/>
      <c r="K106" s="37"/>
      <c r="L106" s="37"/>
      <c r="M106" s="136"/>
      <c r="N106" s="136"/>
    </row>
    <row r="107" spans="2:15" x14ac:dyDescent="0.3">
      <c r="C107" t="s">
        <v>276</v>
      </c>
      <c r="D107" s="70">
        <v>3831.59</v>
      </c>
      <c r="E107" s="70">
        <v>3053.38</v>
      </c>
      <c r="F107" s="70">
        <v>6144.1846328746433</v>
      </c>
      <c r="G107" s="70">
        <v>0</v>
      </c>
      <c r="H107" s="53">
        <f t="shared" si="1"/>
        <v>13029.154632874644</v>
      </c>
      <c r="I107" s="18"/>
      <c r="K107" s="37"/>
      <c r="L107" s="37"/>
      <c r="M107" s="136"/>
      <c r="N107" s="136"/>
    </row>
    <row r="108" spans="2:15" x14ac:dyDescent="0.3">
      <c r="C108" t="s">
        <v>277</v>
      </c>
      <c r="D108" s="70">
        <v>3831.59</v>
      </c>
      <c r="E108" s="70">
        <v>3053.38</v>
      </c>
      <c r="F108" s="70">
        <v>6144.1846328746433</v>
      </c>
      <c r="G108" s="70">
        <v>0</v>
      </c>
      <c r="H108" s="53">
        <f t="shared" si="1"/>
        <v>13029.154632874644</v>
      </c>
      <c r="I108" s="18"/>
      <c r="K108" s="37"/>
      <c r="L108" s="37"/>
      <c r="M108" s="136"/>
      <c r="N108" s="136"/>
    </row>
    <row r="109" spans="2:15" x14ac:dyDescent="0.3">
      <c r="D109" s="70"/>
      <c r="E109" s="70"/>
      <c r="F109" s="71"/>
      <c r="G109" s="71"/>
      <c r="H109" s="53"/>
      <c r="I109" s="18"/>
      <c r="K109" s="139"/>
      <c r="L109" s="139"/>
      <c r="M109" s="63"/>
      <c r="N109" s="63"/>
    </row>
    <row r="110" spans="2:15" x14ac:dyDescent="0.3">
      <c r="C110" t="s">
        <v>141</v>
      </c>
      <c r="D110" s="70"/>
      <c r="E110" s="70"/>
      <c r="F110" s="70">
        <v>0</v>
      </c>
      <c r="G110" s="70">
        <v>135433.9414383758</v>
      </c>
      <c r="H110" s="53">
        <f t="shared" si="1"/>
        <v>135433.9414383758</v>
      </c>
      <c r="I110" s="18"/>
      <c r="K110" s="37"/>
      <c r="L110" s="37"/>
      <c r="M110" s="37"/>
      <c r="N110" s="136"/>
      <c r="O110" s="136"/>
    </row>
    <row r="111" spans="2:15" x14ac:dyDescent="0.3">
      <c r="C111" t="s">
        <v>219</v>
      </c>
      <c r="D111" s="70"/>
      <c r="E111" s="70"/>
      <c r="F111" s="70">
        <v>31406.642350942308</v>
      </c>
      <c r="G111" s="70">
        <v>0</v>
      </c>
      <c r="H111" s="53">
        <f t="shared" si="1"/>
        <v>31406.642350942308</v>
      </c>
      <c r="I111" s="18"/>
      <c r="K111" s="37"/>
      <c r="L111" s="37"/>
      <c r="M111" s="37"/>
      <c r="N111" s="136"/>
      <c r="O111" s="136"/>
    </row>
    <row r="112" spans="2:15" x14ac:dyDescent="0.3">
      <c r="C112" t="s">
        <v>255</v>
      </c>
      <c r="D112" s="70">
        <v>107023.66</v>
      </c>
      <c r="E112" s="70">
        <v>92590.62</v>
      </c>
      <c r="F112" s="70">
        <v>111955.31678295071</v>
      </c>
      <c r="G112" s="70">
        <v>46443.092995323772</v>
      </c>
      <c r="H112" s="53">
        <f t="shared" si="1"/>
        <v>358012.68977827445</v>
      </c>
      <c r="I112" s="18"/>
      <c r="K112" s="37"/>
      <c r="L112" s="37"/>
      <c r="M112" s="37"/>
      <c r="N112" s="136"/>
      <c r="O112" s="136"/>
    </row>
    <row r="113" spans="2:15" x14ac:dyDescent="0.3">
      <c r="B113" s="68"/>
      <c r="C113" t="s">
        <v>248</v>
      </c>
      <c r="D113" s="70">
        <v>161349.79999999999</v>
      </c>
      <c r="E113" s="70">
        <v>139590.42000000001</v>
      </c>
      <c r="F113" s="70">
        <v>168785.20552039382</v>
      </c>
      <c r="G113" s="70">
        <v>68039.804304480291</v>
      </c>
      <c r="H113" s="53">
        <f t="shared" si="1"/>
        <v>537765.22982487408</v>
      </c>
      <c r="I113" s="18"/>
      <c r="K113" s="37"/>
      <c r="L113" s="37"/>
      <c r="M113" s="37"/>
      <c r="N113" s="136"/>
      <c r="O113" s="136"/>
    </row>
    <row r="114" spans="2:15" x14ac:dyDescent="0.3">
      <c r="C114" t="s">
        <v>220</v>
      </c>
      <c r="D114" s="70"/>
      <c r="E114" s="70"/>
      <c r="F114" s="70">
        <v>33499.718270145677</v>
      </c>
      <c r="G114" s="70">
        <v>0</v>
      </c>
      <c r="H114" s="53">
        <f t="shared" si="1"/>
        <v>33499.718270145677</v>
      </c>
      <c r="I114" s="18"/>
      <c r="K114" s="37"/>
      <c r="L114" s="37"/>
      <c r="M114" s="37"/>
      <c r="N114" s="136"/>
      <c r="O114" s="136"/>
    </row>
    <row r="115" spans="2:15" x14ac:dyDescent="0.3">
      <c r="C115" t="s">
        <v>252</v>
      </c>
      <c r="D115" s="70">
        <v>133368.17000000001</v>
      </c>
      <c r="E115" s="70">
        <v>115382.35</v>
      </c>
      <c r="F115" s="70">
        <v>139513.85384582228</v>
      </c>
      <c r="G115" s="70">
        <v>0</v>
      </c>
      <c r="H115" s="53">
        <f t="shared" si="1"/>
        <v>388264.37384582229</v>
      </c>
      <c r="I115" s="18"/>
      <c r="K115" s="36"/>
      <c r="L115" s="37"/>
      <c r="M115" s="37"/>
      <c r="N115" s="136"/>
      <c r="O115" s="136"/>
    </row>
    <row r="116" spans="2:15" x14ac:dyDescent="0.3">
      <c r="C116" t="s">
        <v>256</v>
      </c>
      <c r="D116" s="70">
        <v>20105.02</v>
      </c>
      <c r="E116" s="70">
        <v>17393.689999999999</v>
      </c>
      <c r="F116" s="70">
        <v>24250.593895332095</v>
      </c>
      <c r="G116" s="70">
        <v>8724.6290836384687</v>
      </c>
      <c r="H116" s="53">
        <f t="shared" si="1"/>
        <v>70473.932978970566</v>
      </c>
      <c r="I116" s="18"/>
      <c r="K116" s="37"/>
      <c r="L116" s="37"/>
      <c r="M116" s="37"/>
      <c r="N116" s="136"/>
      <c r="O116" s="136"/>
    </row>
    <row r="117" spans="2:15" x14ac:dyDescent="0.3">
      <c r="C117" t="s">
        <v>254</v>
      </c>
      <c r="D117" s="70">
        <v>71474.384423664291</v>
      </c>
      <c r="E117" s="70">
        <v>61835.46</v>
      </c>
      <c r="F117" s="70">
        <v>90774.514159693441</v>
      </c>
      <c r="G117" s="70">
        <v>0</v>
      </c>
      <c r="H117" s="53">
        <f t="shared" si="1"/>
        <v>224084.35858335774</v>
      </c>
      <c r="I117" s="18"/>
      <c r="K117" s="38"/>
      <c r="L117" s="37"/>
      <c r="M117" s="37"/>
      <c r="N117" s="136"/>
      <c r="O117" s="136"/>
    </row>
    <row r="118" spans="2:15" x14ac:dyDescent="0.3">
      <c r="C118" t="s">
        <v>249</v>
      </c>
      <c r="D118" s="70">
        <v>143953.5</v>
      </c>
      <c r="E118" s="70">
        <v>124540.15</v>
      </c>
      <c r="F118" s="70">
        <v>150587.23555356186</v>
      </c>
      <c r="G118" s="70">
        <v>62469.002685077059</v>
      </c>
      <c r="H118" s="53">
        <f t="shared" si="1"/>
        <v>481549.88823863893</v>
      </c>
      <c r="I118" s="18"/>
      <c r="K118" s="37"/>
      <c r="L118" s="37"/>
      <c r="M118" s="37"/>
      <c r="N118" s="136"/>
      <c r="O118" s="136"/>
    </row>
    <row r="119" spans="2:15" x14ac:dyDescent="0.3">
      <c r="B119" s="68"/>
      <c r="C119" t="s">
        <v>148</v>
      </c>
      <c r="D119" s="70">
        <v>67599.72</v>
      </c>
      <c r="E119" s="70">
        <v>58483.33</v>
      </c>
      <c r="F119" s="70">
        <v>37347.586955537365</v>
      </c>
      <c r="G119" s="70">
        <v>0</v>
      </c>
      <c r="H119" s="53">
        <f t="shared" si="1"/>
        <v>163430.63695553737</v>
      </c>
      <c r="I119" s="18"/>
      <c r="K119" s="63"/>
      <c r="L119" s="37"/>
      <c r="M119" s="37"/>
      <c r="N119" s="136"/>
      <c r="O119" s="136"/>
    </row>
    <row r="120" spans="2:15" x14ac:dyDescent="0.3">
      <c r="C120" t="s">
        <v>221</v>
      </c>
      <c r="D120" s="70">
        <v>0</v>
      </c>
      <c r="E120" s="70"/>
      <c r="F120" s="70">
        <v>15830.466952478844</v>
      </c>
      <c r="G120" s="70">
        <v>0</v>
      </c>
      <c r="H120" s="53">
        <f t="shared" si="1"/>
        <v>15830.466952478844</v>
      </c>
      <c r="I120" s="18"/>
      <c r="K120" s="139"/>
      <c r="L120" s="37"/>
      <c r="M120" s="63"/>
      <c r="N120" s="63"/>
    </row>
    <row r="121" spans="2:15" x14ac:dyDescent="0.3">
      <c r="C121" t="s">
        <v>250</v>
      </c>
      <c r="D121" s="70">
        <v>93474.57</v>
      </c>
      <c r="E121" s="70">
        <v>80868.73</v>
      </c>
      <c r="F121" s="70">
        <v>106090.25470940891</v>
      </c>
      <c r="G121" s="70">
        <v>40563.428113507289</v>
      </c>
      <c r="H121" s="53">
        <f t="shared" si="1"/>
        <v>320996.98282291618</v>
      </c>
      <c r="I121" s="18"/>
      <c r="K121" s="18"/>
      <c r="O121" s="18"/>
    </row>
    <row r="122" spans="2:15" x14ac:dyDescent="0.3">
      <c r="C122" t="s">
        <v>253</v>
      </c>
      <c r="D122" s="70">
        <v>78100.19</v>
      </c>
      <c r="E122" s="70">
        <v>67567.72</v>
      </c>
      <c r="F122" s="70">
        <v>95387.165727311585</v>
      </c>
      <c r="G122" s="70">
        <v>0</v>
      </c>
      <c r="H122" s="53">
        <f t="shared" si="1"/>
        <v>241055.0757273116</v>
      </c>
      <c r="I122" s="18"/>
      <c r="K122" s="165"/>
    </row>
    <row r="123" spans="2:15" x14ac:dyDescent="0.3">
      <c r="C123" t="s">
        <v>151</v>
      </c>
      <c r="D123" s="70"/>
      <c r="E123" s="70"/>
      <c r="F123" s="70">
        <v>181301.0885373365</v>
      </c>
      <c r="G123" s="70">
        <v>173686.52653176594</v>
      </c>
      <c r="H123" s="53">
        <f t="shared" si="1"/>
        <v>354987.61506910244</v>
      </c>
      <c r="I123" s="18"/>
      <c r="K123" s="18"/>
    </row>
    <row r="124" spans="2:15" x14ac:dyDescent="0.3">
      <c r="C124" t="s">
        <v>251</v>
      </c>
      <c r="D124" s="70">
        <v>88509.83</v>
      </c>
      <c r="E124" s="70">
        <v>76573.53</v>
      </c>
      <c r="F124" s="70">
        <v>102633.98012235822</v>
      </c>
      <c r="G124" s="70">
        <v>38408.96607197525</v>
      </c>
      <c r="H124" s="53">
        <f t="shared" si="1"/>
        <v>306126.30619433342</v>
      </c>
      <c r="I124" s="18"/>
      <c r="K124" s="18"/>
    </row>
    <row r="125" spans="2:15" x14ac:dyDescent="0.3">
      <c r="C125" t="s">
        <v>153</v>
      </c>
      <c r="D125" s="72">
        <v>0</v>
      </c>
      <c r="E125" s="72"/>
      <c r="F125" s="72">
        <v>17507.074829706249</v>
      </c>
      <c r="G125" s="72">
        <v>0</v>
      </c>
      <c r="H125" s="69">
        <f t="shared" si="1"/>
        <v>17507.074829706249</v>
      </c>
      <c r="I125" s="18"/>
      <c r="K125" s="18"/>
      <c r="O125" s="7"/>
    </row>
    <row r="126" spans="2:15" x14ac:dyDescent="0.3">
      <c r="D126" s="49"/>
      <c r="E126" s="49"/>
      <c r="F126" s="18"/>
      <c r="G126" s="18"/>
      <c r="H126" s="49"/>
      <c r="I126" s="18"/>
      <c r="K126" s="18"/>
    </row>
    <row r="127" spans="2:15" ht="15" thickBot="1" x14ac:dyDescent="0.35">
      <c r="C127" s="16" t="s">
        <v>6</v>
      </c>
      <c r="D127" s="67">
        <f>SUM(D5:D125)</f>
        <v>33130118.830395762</v>
      </c>
      <c r="E127" s="67">
        <f>SUM(E5:E126)</f>
        <v>25515653.851664618</v>
      </c>
      <c r="F127" s="67">
        <f>SUM(F5:F125)</f>
        <v>32150134.038773883</v>
      </c>
      <c r="G127" s="67">
        <f>SUM(G5:G125)</f>
        <v>12285628.195500003</v>
      </c>
      <c r="H127" s="67">
        <f>SUM(H5:H125)</f>
        <v>103081534.91633429</v>
      </c>
      <c r="I127" s="18"/>
      <c r="K127" s="18"/>
    </row>
    <row r="128" spans="2:15" ht="15" thickTop="1" x14ac:dyDescent="0.3">
      <c r="K128" s="18"/>
    </row>
    <row r="129" spans="3:11" x14ac:dyDescent="0.3">
      <c r="C129" t="s">
        <v>494</v>
      </c>
      <c r="J129" s="18"/>
      <c r="K129" s="18"/>
    </row>
  </sheetData>
  <mergeCells count="1">
    <mergeCell ref="C3:H3"/>
  </mergeCells>
  <pageMargins left="0.7" right="0.7" top="0.75" bottom="0.75" header="0.3" footer="0.3"/>
  <customProperties>
    <customPr name="OrphanNamesCheck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39C9-755D-4586-935E-51F73C5E7994}">
  <dimension ref="A1:O97"/>
  <sheetViews>
    <sheetView workbookViewId="0">
      <selection activeCell="H6" sqref="H6"/>
    </sheetView>
  </sheetViews>
  <sheetFormatPr defaultColWidth="12.5546875" defaultRowHeight="15.6" x14ac:dyDescent="0.3"/>
  <cols>
    <col min="1" max="1" width="28.5546875" style="1" customWidth="1"/>
    <col min="2" max="2" width="15.88671875" style="1" customWidth="1"/>
    <col min="3" max="3" width="29" style="1" customWidth="1"/>
    <col min="4" max="4" width="24" style="1" customWidth="1"/>
    <col min="5" max="5" width="20.109375" style="1" customWidth="1"/>
    <col min="6" max="6" width="20.44140625" style="1" customWidth="1"/>
    <col min="7" max="7" width="18.33203125" style="1" customWidth="1"/>
    <col min="8" max="8" width="18.88671875" style="1" customWidth="1"/>
    <col min="9" max="9" width="18.109375" style="1" customWidth="1"/>
    <col min="10" max="10" width="19.33203125" style="1" customWidth="1"/>
    <col min="11" max="11" width="21.33203125" style="1" customWidth="1"/>
    <col min="12" max="13" width="20" style="1" customWidth="1"/>
    <col min="14" max="14" width="14.109375" style="1" bestFit="1" customWidth="1"/>
    <col min="15" max="15" width="18.109375" style="1" customWidth="1"/>
    <col min="16" max="16384" width="12.5546875" style="1"/>
  </cols>
  <sheetData>
    <row r="1" spans="1:15" x14ac:dyDescent="0.3">
      <c r="A1" s="87" t="s">
        <v>117</v>
      </c>
      <c r="B1" s="87" t="s">
        <v>318</v>
      </c>
      <c r="D1" s="87" t="s">
        <v>484</v>
      </c>
      <c r="E1" s="87" t="s">
        <v>483</v>
      </c>
      <c r="F1" s="87" t="s">
        <v>433</v>
      </c>
      <c r="G1" s="87" t="s">
        <v>432</v>
      </c>
      <c r="H1" s="87" t="s">
        <v>431</v>
      </c>
      <c r="I1" s="94" t="s">
        <v>430</v>
      </c>
      <c r="J1" s="94" t="s">
        <v>429</v>
      </c>
      <c r="K1" s="94" t="s">
        <v>428</v>
      </c>
      <c r="L1" s="94" t="s">
        <v>482</v>
      </c>
      <c r="M1" s="94" t="s">
        <v>481</v>
      </c>
      <c r="N1" s="94" t="s">
        <v>480</v>
      </c>
    </row>
    <row r="2" spans="1:15" x14ac:dyDescent="0.3">
      <c r="E2" s="89">
        <v>6179610.5999999996</v>
      </c>
      <c r="F2" s="89">
        <v>2358271.6781267775</v>
      </c>
      <c r="G2" s="79">
        <v>5356907.0999999996</v>
      </c>
      <c r="H2" s="79">
        <v>5747386.7999999998</v>
      </c>
      <c r="I2" s="79">
        <v>677471.7</v>
      </c>
      <c r="J2" s="79">
        <v>1101433.05</v>
      </c>
      <c r="K2" s="79">
        <v>1101433.05</v>
      </c>
      <c r="L2" s="79">
        <v>1402316.8499999999</v>
      </c>
      <c r="M2" s="79">
        <v>1402316.8499999999</v>
      </c>
      <c r="N2" s="79">
        <v>1402316.8499999999</v>
      </c>
    </row>
    <row r="4" spans="1:15" x14ac:dyDescent="0.3">
      <c r="A4" s="91">
        <v>0.25</v>
      </c>
      <c r="E4" s="80">
        <f t="shared" ref="E4:N4" si="0">E2*0.25</f>
        <v>1544902.65</v>
      </c>
      <c r="F4" s="80">
        <f t="shared" si="0"/>
        <v>589567.91953169438</v>
      </c>
      <c r="G4" s="80">
        <f t="shared" si="0"/>
        <v>1339226.7749999999</v>
      </c>
      <c r="H4" s="80">
        <f t="shared" si="0"/>
        <v>1436846.7</v>
      </c>
      <c r="I4" s="80">
        <f t="shared" si="0"/>
        <v>169367.92499999999</v>
      </c>
      <c r="J4" s="80">
        <f t="shared" si="0"/>
        <v>275358.26250000001</v>
      </c>
      <c r="K4" s="80">
        <f t="shared" si="0"/>
        <v>275358.26250000001</v>
      </c>
      <c r="L4" s="80">
        <f t="shared" si="0"/>
        <v>350579.21249999997</v>
      </c>
      <c r="M4" s="80">
        <f t="shared" si="0"/>
        <v>350579.21249999997</v>
      </c>
      <c r="N4" s="80">
        <f t="shared" si="0"/>
        <v>350579.21249999997</v>
      </c>
    </row>
    <row r="5" spans="1:15" x14ac:dyDescent="0.3">
      <c r="A5" s="1" t="s">
        <v>117</v>
      </c>
      <c r="B5" s="1" t="s">
        <v>24</v>
      </c>
      <c r="C5" s="1" t="s">
        <v>485</v>
      </c>
      <c r="D5" s="1" t="s">
        <v>484</v>
      </c>
      <c r="E5" s="80" t="s">
        <v>483</v>
      </c>
      <c r="F5" s="80" t="s">
        <v>433</v>
      </c>
      <c r="G5" s="80" t="s">
        <v>432</v>
      </c>
      <c r="H5" s="80" t="s">
        <v>431</v>
      </c>
      <c r="I5" s="80" t="s">
        <v>430</v>
      </c>
      <c r="J5" s="80" t="s">
        <v>429</v>
      </c>
      <c r="K5" s="80" t="s">
        <v>428</v>
      </c>
      <c r="L5" s="80" t="s">
        <v>482</v>
      </c>
      <c r="M5" s="80" t="s">
        <v>481</v>
      </c>
      <c r="N5" s="80" t="s">
        <v>480</v>
      </c>
      <c r="O5" s="80" t="s">
        <v>6</v>
      </c>
    </row>
    <row r="6" spans="1:15" x14ac:dyDescent="0.3">
      <c r="A6" s="1" t="s">
        <v>76</v>
      </c>
      <c r="B6" s="1">
        <v>0.7</v>
      </c>
      <c r="C6" s="1">
        <v>51</v>
      </c>
      <c r="E6" s="80">
        <f t="shared" ref="E6:N6" si="1">E4*0.7</f>
        <v>1081431.855</v>
      </c>
      <c r="F6" s="80">
        <f t="shared" si="1"/>
        <v>412697.54367218603</v>
      </c>
      <c r="G6" s="80">
        <f t="shared" si="1"/>
        <v>937458.74249999982</v>
      </c>
      <c r="H6" s="80">
        <f t="shared" si="1"/>
        <v>1005792.69</v>
      </c>
      <c r="I6" s="80">
        <f t="shared" si="1"/>
        <v>118557.54749999999</v>
      </c>
      <c r="J6" s="80">
        <f t="shared" si="1"/>
        <v>192750.78375</v>
      </c>
      <c r="K6" s="80">
        <f t="shared" si="1"/>
        <v>192750.78375</v>
      </c>
      <c r="L6" s="80">
        <f t="shared" si="1"/>
        <v>245405.44874999995</v>
      </c>
      <c r="M6" s="80">
        <f t="shared" si="1"/>
        <v>245405.44874999995</v>
      </c>
      <c r="N6" s="80">
        <f t="shared" si="1"/>
        <v>245405.44874999995</v>
      </c>
      <c r="O6" s="80">
        <f>SUM(Table427[[#This Row],[Payment 2 - 12/15/22]:[Payment 11 -2031]])</f>
        <v>4677656.2924221847</v>
      </c>
    </row>
    <row r="7" spans="1:15" x14ac:dyDescent="0.3">
      <c r="A7" s="1" t="s">
        <v>48</v>
      </c>
      <c r="B7" s="1">
        <v>0.25</v>
      </c>
      <c r="C7" s="1">
        <v>23</v>
      </c>
      <c r="E7" s="80">
        <f t="shared" ref="E7:N7" si="2">E4*0.25</f>
        <v>386225.66249999998</v>
      </c>
      <c r="F7" s="80">
        <f t="shared" si="2"/>
        <v>147391.9798829236</v>
      </c>
      <c r="G7" s="80">
        <f t="shared" si="2"/>
        <v>334806.69374999998</v>
      </c>
      <c r="H7" s="80">
        <f t="shared" si="2"/>
        <v>359211.67499999999</v>
      </c>
      <c r="I7" s="80">
        <f t="shared" si="2"/>
        <v>42341.981249999997</v>
      </c>
      <c r="J7" s="80">
        <f t="shared" si="2"/>
        <v>68839.565625000003</v>
      </c>
      <c r="K7" s="80">
        <f t="shared" si="2"/>
        <v>68839.565625000003</v>
      </c>
      <c r="L7" s="80">
        <f t="shared" si="2"/>
        <v>87644.803124999991</v>
      </c>
      <c r="M7" s="80">
        <f t="shared" si="2"/>
        <v>87644.803124999991</v>
      </c>
      <c r="N7" s="80">
        <f t="shared" si="2"/>
        <v>87644.803124999991</v>
      </c>
      <c r="O7" s="80">
        <f>SUM(Table427[[#This Row],[Payment 2 - 12/15/22]:[Payment 11 -2031]])</f>
        <v>1670591.5330079237</v>
      </c>
    </row>
    <row r="8" spans="1:15" x14ac:dyDescent="0.3">
      <c r="A8" s="1" t="s">
        <v>38</v>
      </c>
      <c r="B8" s="1">
        <v>0.05</v>
      </c>
      <c r="C8" s="1">
        <v>13</v>
      </c>
      <c r="E8" s="80">
        <f t="shared" ref="E8:N8" si="3">E4*0.05</f>
        <v>77245.132499999992</v>
      </c>
      <c r="F8" s="80">
        <f t="shared" si="3"/>
        <v>29478.395976584721</v>
      </c>
      <c r="G8" s="80">
        <f t="shared" si="3"/>
        <v>66961.338749999995</v>
      </c>
      <c r="H8" s="80">
        <f t="shared" si="3"/>
        <v>71842.335000000006</v>
      </c>
      <c r="I8" s="80">
        <f t="shared" si="3"/>
        <v>8468.3962499999998</v>
      </c>
      <c r="J8" s="80">
        <f t="shared" si="3"/>
        <v>13767.913125000001</v>
      </c>
      <c r="K8" s="80">
        <f t="shared" si="3"/>
        <v>13767.913125000001</v>
      </c>
      <c r="L8" s="80">
        <f t="shared" si="3"/>
        <v>17528.960625</v>
      </c>
      <c r="M8" s="80">
        <f t="shared" si="3"/>
        <v>17528.960625</v>
      </c>
      <c r="N8" s="80">
        <f t="shared" si="3"/>
        <v>17528.960625</v>
      </c>
      <c r="O8" s="80">
        <f>SUM(Table427[[#This Row],[Payment 2 - 12/15/22]:[Payment 11 -2031]])</f>
        <v>334118.30660158477</v>
      </c>
    </row>
    <row r="9" spans="1:15" x14ac:dyDescent="0.3">
      <c r="A9" s="91">
        <v>0.75</v>
      </c>
      <c r="E9" s="80">
        <f t="shared" ref="E9:N9" si="4">E2*0.75</f>
        <v>4634707.9499999993</v>
      </c>
      <c r="F9" s="80">
        <f t="shared" si="4"/>
        <v>1768703.7585950831</v>
      </c>
      <c r="G9" s="80">
        <f t="shared" si="4"/>
        <v>4017680.3249999997</v>
      </c>
      <c r="H9" s="80">
        <f t="shared" si="4"/>
        <v>4310540.0999999996</v>
      </c>
      <c r="I9" s="80">
        <f t="shared" si="4"/>
        <v>508103.77499999997</v>
      </c>
      <c r="J9" s="80">
        <f t="shared" si="4"/>
        <v>826074.78750000009</v>
      </c>
      <c r="K9" s="80">
        <f t="shared" si="4"/>
        <v>826074.78750000009</v>
      </c>
      <c r="L9" s="80">
        <f t="shared" si="4"/>
        <v>1051737.6375</v>
      </c>
      <c r="M9" s="80">
        <f t="shared" si="4"/>
        <v>1051737.6375</v>
      </c>
      <c r="N9" s="80">
        <f t="shared" si="4"/>
        <v>1051737.6375</v>
      </c>
    </row>
    <row r="11" spans="1:15" x14ac:dyDescent="0.3">
      <c r="A11" s="1" t="s">
        <v>117</v>
      </c>
      <c r="B11" s="1" t="s">
        <v>24</v>
      </c>
      <c r="C11" s="1" t="s">
        <v>476</v>
      </c>
      <c r="D11" s="1" t="s">
        <v>484</v>
      </c>
      <c r="E11" s="80" t="s">
        <v>483</v>
      </c>
      <c r="F11" s="80" t="s">
        <v>433</v>
      </c>
      <c r="G11" s="80" t="s">
        <v>432</v>
      </c>
      <c r="H11" s="80" t="s">
        <v>431</v>
      </c>
      <c r="I11" s="80" t="s">
        <v>430</v>
      </c>
      <c r="J11" s="80" t="s">
        <v>429</v>
      </c>
      <c r="K11" s="80" t="s">
        <v>428</v>
      </c>
      <c r="L11" s="80" t="s">
        <v>482</v>
      </c>
      <c r="M11" s="80" t="s">
        <v>481</v>
      </c>
      <c r="N11" s="80" t="s">
        <v>480</v>
      </c>
      <c r="O11" s="80" t="s">
        <v>6</v>
      </c>
    </row>
    <row r="12" spans="1:15" x14ac:dyDescent="0.3">
      <c r="A12" s="1" t="s">
        <v>474</v>
      </c>
      <c r="B12" s="1">
        <v>8.8888888888888906E-3</v>
      </c>
      <c r="C12" s="1">
        <v>1</v>
      </c>
      <c r="E12" s="80">
        <f t="shared" ref="E12:E43" si="5">B12*$E$9</f>
        <v>41197.404000000002</v>
      </c>
      <c r="F12" s="80">
        <f t="shared" ref="F12:F43" si="6">B12*$F$9</f>
        <v>15721.811187511854</v>
      </c>
      <c r="G12" s="80">
        <f t="shared" ref="G12:G43" si="7">B12*$G$9</f>
        <v>35712.714000000007</v>
      </c>
      <c r="H12" s="80">
        <f t="shared" ref="H12:H43" si="8">B12*$H$9</f>
        <v>38315.912000000004</v>
      </c>
      <c r="I12" s="80">
        <f t="shared" ref="I12:I43" si="9">B12*$I$9</f>
        <v>4516.478000000001</v>
      </c>
      <c r="J12" s="80">
        <f t="shared" ref="J12:J43" si="10">B12*$J$9</f>
        <v>7342.8870000000024</v>
      </c>
      <c r="K12" s="80">
        <f t="shared" ref="K12:K43" si="11">B12*$K$9</f>
        <v>7342.8870000000024</v>
      </c>
      <c r="L12" s="80">
        <f t="shared" ref="L12:L43" si="12">B12*$L$9</f>
        <v>9348.7790000000023</v>
      </c>
      <c r="M12" s="80">
        <f t="shared" ref="M12:M43" si="13">B12*$M$9</f>
        <v>9348.7790000000023</v>
      </c>
      <c r="N12" s="80">
        <f t="shared" ref="N12:N43" si="14">B12*$N$9</f>
        <v>9348.7790000000023</v>
      </c>
      <c r="O12" s="80">
        <f>SUM(Table311[[#This Row],[Payment 2 - 12/15/22]:[Payment 11 -2031]])</f>
        <v>178196.43018751187</v>
      </c>
    </row>
    <row r="13" spans="1:15" x14ac:dyDescent="0.3">
      <c r="A13" s="1" t="s">
        <v>473</v>
      </c>
      <c r="B13" s="1">
        <v>8.3307205013187738E-2</v>
      </c>
      <c r="C13" s="1">
        <v>2</v>
      </c>
      <c r="E13" s="80">
        <f t="shared" si="5"/>
        <v>386104.56536690099</v>
      </c>
      <c r="F13" s="80">
        <f t="shared" si="6"/>
        <v>147345.7666248763</v>
      </c>
      <c r="G13" s="80">
        <f t="shared" si="7"/>
        <v>334701.71851222572</v>
      </c>
      <c r="H13" s="80">
        <f t="shared" si="8"/>
        <v>359099.04782826675</v>
      </c>
      <c r="I13" s="80">
        <f t="shared" si="9"/>
        <v>42328.705351899611</v>
      </c>
      <c r="J13" s="80">
        <f t="shared" si="10"/>
        <v>68817.981678488009</v>
      </c>
      <c r="K13" s="80">
        <f t="shared" si="11"/>
        <v>68817.981678488009</v>
      </c>
      <c r="L13" s="80">
        <f t="shared" si="12"/>
        <v>87617.322987298219</v>
      </c>
      <c r="M13" s="80">
        <f t="shared" si="13"/>
        <v>87617.322987298219</v>
      </c>
      <c r="N13" s="80">
        <f t="shared" si="14"/>
        <v>87617.322987298219</v>
      </c>
      <c r="O13" s="80">
        <f>SUM(Table311[[#This Row],[Payment 2 - 12/15/22]:[Payment 11 -2031]])</f>
        <v>1670067.7360030399</v>
      </c>
    </row>
    <row r="14" spans="1:15" x14ac:dyDescent="0.3">
      <c r="A14" s="1" t="s">
        <v>472</v>
      </c>
      <c r="B14" s="1">
        <v>4.4444444444444453E-3</v>
      </c>
      <c r="C14" s="1">
        <v>3</v>
      </c>
      <c r="E14" s="80">
        <f t="shared" si="5"/>
        <v>20598.702000000001</v>
      </c>
      <c r="F14" s="80">
        <f t="shared" si="6"/>
        <v>7860.9055937559269</v>
      </c>
      <c r="G14" s="80">
        <f t="shared" si="7"/>
        <v>17856.357000000004</v>
      </c>
      <c r="H14" s="80">
        <f t="shared" si="8"/>
        <v>19157.956000000002</v>
      </c>
      <c r="I14" s="80">
        <f t="shared" si="9"/>
        <v>2258.2390000000005</v>
      </c>
      <c r="J14" s="80">
        <f t="shared" si="10"/>
        <v>3671.4435000000012</v>
      </c>
      <c r="K14" s="80">
        <f t="shared" si="11"/>
        <v>3671.4435000000012</v>
      </c>
      <c r="L14" s="80">
        <f t="shared" si="12"/>
        <v>4674.3895000000011</v>
      </c>
      <c r="M14" s="80">
        <f t="shared" si="13"/>
        <v>4674.3895000000011</v>
      </c>
      <c r="N14" s="80">
        <f t="shared" si="14"/>
        <v>4674.3895000000011</v>
      </c>
      <c r="O14" s="80">
        <f>SUM(Table311[[#This Row],[Payment 2 - 12/15/22]:[Payment 11 -2031]])</f>
        <v>89098.215093755935</v>
      </c>
    </row>
    <row r="15" spans="1:15" x14ac:dyDescent="0.3">
      <c r="A15" s="1" t="s">
        <v>471</v>
      </c>
      <c r="B15" s="1">
        <v>1.1205635707083744E-2</v>
      </c>
      <c r="C15" s="1">
        <v>4</v>
      </c>
      <c r="E15" s="80">
        <f t="shared" si="5"/>
        <v>51934.84889642489</v>
      </c>
      <c r="F15" s="80">
        <f t="shared" si="6"/>
        <v>19819.449992566289</v>
      </c>
      <c r="G15" s="80">
        <f t="shared" si="7"/>
        <v>45020.662109467819</v>
      </c>
      <c r="H15" s="80">
        <f t="shared" si="8"/>
        <v>48302.34206137633</v>
      </c>
      <c r="I15" s="80">
        <f t="shared" si="9"/>
        <v>5693.6258040440443</v>
      </c>
      <c r="J15" s="80">
        <f t="shared" si="10"/>
        <v>9256.6931355316174</v>
      </c>
      <c r="K15" s="80">
        <f t="shared" si="11"/>
        <v>9256.6931355316174</v>
      </c>
      <c r="L15" s="80">
        <f t="shared" si="12"/>
        <v>11785.388825253898</v>
      </c>
      <c r="M15" s="80">
        <f t="shared" si="13"/>
        <v>11785.388825253898</v>
      </c>
      <c r="N15" s="80">
        <f t="shared" si="14"/>
        <v>11785.388825253898</v>
      </c>
      <c r="O15" s="80">
        <f>SUM(Table311[[#This Row],[Payment 2 - 12/15/22]:[Payment 11 -2031]])</f>
        <v>224640.48161070433</v>
      </c>
    </row>
    <row r="16" spans="1:15" x14ac:dyDescent="0.3">
      <c r="A16" s="1" t="s">
        <v>470</v>
      </c>
      <c r="B16" s="1">
        <v>3.1693400115086249E-3</v>
      </c>
      <c r="C16" s="1">
        <v>5</v>
      </c>
      <c r="E16" s="80">
        <f t="shared" si="5"/>
        <v>14688.965347592113</v>
      </c>
      <c r="F16" s="80">
        <f t="shared" si="6"/>
        <v>5605.6235906210886</v>
      </c>
      <c r="G16" s="80">
        <f t="shared" si="7"/>
        <v>12733.395007473475</v>
      </c>
      <c r="H16" s="80">
        <f t="shared" si="8"/>
        <v>13661.567210142388</v>
      </c>
      <c r="I16" s="80">
        <f t="shared" si="9"/>
        <v>1610.3536241060756</v>
      </c>
      <c r="J16" s="80">
        <f t="shared" si="10"/>
        <v>2618.111876522235</v>
      </c>
      <c r="K16" s="80">
        <f t="shared" si="11"/>
        <v>2618.111876522235</v>
      </c>
      <c r="L16" s="80">
        <f t="shared" si="12"/>
        <v>3333.314176138304</v>
      </c>
      <c r="M16" s="80">
        <f t="shared" si="13"/>
        <v>3333.314176138304</v>
      </c>
      <c r="N16" s="80">
        <f t="shared" si="14"/>
        <v>3333.314176138304</v>
      </c>
      <c r="O16" s="80">
        <f>SUM(Table311[[#This Row],[Payment 2 - 12/15/22]:[Payment 11 -2031]])</f>
        <v>63536.071061394512</v>
      </c>
    </row>
    <row r="17" spans="1:15" x14ac:dyDescent="0.3">
      <c r="A17" s="1" t="s">
        <v>469</v>
      </c>
      <c r="B17" s="1">
        <v>2.2222222222222227E-3</v>
      </c>
      <c r="C17" s="1">
        <v>8</v>
      </c>
      <c r="E17" s="80">
        <f t="shared" si="5"/>
        <v>10299.351000000001</v>
      </c>
      <c r="F17" s="80">
        <f t="shared" si="6"/>
        <v>3930.4527968779635</v>
      </c>
      <c r="G17" s="80">
        <f t="shared" si="7"/>
        <v>8928.1785000000018</v>
      </c>
      <c r="H17" s="80">
        <f t="shared" si="8"/>
        <v>9578.978000000001</v>
      </c>
      <c r="I17" s="80">
        <f t="shared" si="9"/>
        <v>1129.1195000000002</v>
      </c>
      <c r="J17" s="80">
        <f t="shared" si="10"/>
        <v>1835.7217500000006</v>
      </c>
      <c r="K17" s="80">
        <f t="shared" si="11"/>
        <v>1835.7217500000006</v>
      </c>
      <c r="L17" s="80">
        <f t="shared" si="12"/>
        <v>2337.1947500000006</v>
      </c>
      <c r="M17" s="80">
        <f t="shared" si="13"/>
        <v>2337.1947500000006</v>
      </c>
      <c r="N17" s="80">
        <f t="shared" si="14"/>
        <v>2337.1947500000006</v>
      </c>
      <c r="O17" s="80">
        <f>SUM(Table311[[#This Row],[Payment 2 - 12/15/22]:[Payment 11 -2031]])</f>
        <v>44549.107546877967</v>
      </c>
    </row>
    <row r="18" spans="1:15" x14ac:dyDescent="0.3">
      <c r="A18" s="1" t="s">
        <v>468</v>
      </c>
      <c r="B18" s="1">
        <v>4.3069103818247544E-2</v>
      </c>
      <c r="C18" s="1">
        <v>9</v>
      </c>
      <c r="E18" s="80">
        <f t="shared" si="5"/>
        <v>199612.71786580721</v>
      </c>
      <c r="F18" s="80">
        <f t="shared" si="6"/>
        <v>76176.485802656272</v>
      </c>
      <c r="G18" s="80">
        <f t="shared" si="7"/>
        <v>173037.89102595553</v>
      </c>
      <c r="H18" s="80">
        <f t="shared" si="8"/>
        <v>185651.09907961913</v>
      </c>
      <c r="I18" s="80">
        <f t="shared" si="9"/>
        <v>21883.574235918488</v>
      </c>
      <c r="J18" s="80">
        <f t="shared" si="10"/>
        <v>35578.300784474282</v>
      </c>
      <c r="K18" s="80">
        <f t="shared" si="11"/>
        <v>35578.300784474282</v>
      </c>
      <c r="L18" s="80">
        <f t="shared" si="12"/>
        <v>45297.397499045896</v>
      </c>
      <c r="M18" s="80">
        <f t="shared" si="13"/>
        <v>45297.397499045896</v>
      </c>
      <c r="N18" s="80">
        <f t="shared" si="14"/>
        <v>45297.397499045896</v>
      </c>
      <c r="O18" s="80">
        <f>SUM(Table311[[#This Row],[Payment 2 - 12/15/22]:[Payment 11 -2031]])</f>
        <v>863410.56207604299</v>
      </c>
    </row>
    <row r="19" spans="1:15" x14ac:dyDescent="0.3">
      <c r="A19" s="1" t="s">
        <v>467</v>
      </c>
      <c r="B19" s="1">
        <v>8.8888888888888906E-3</v>
      </c>
      <c r="C19" s="1">
        <v>11</v>
      </c>
      <c r="E19" s="80">
        <f t="shared" si="5"/>
        <v>41197.404000000002</v>
      </c>
      <c r="F19" s="80">
        <f t="shared" si="6"/>
        <v>15721.811187511854</v>
      </c>
      <c r="G19" s="80">
        <f t="shared" si="7"/>
        <v>35712.714000000007</v>
      </c>
      <c r="H19" s="80">
        <f t="shared" si="8"/>
        <v>38315.912000000004</v>
      </c>
      <c r="I19" s="80">
        <f t="shared" si="9"/>
        <v>4516.478000000001</v>
      </c>
      <c r="J19" s="80">
        <f t="shared" si="10"/>
        <v>7342.8870000000024</v>
      </c>
      <c r="K19" s="80">
        <f t="shared" si="11"/>
        <v>7342.8870000000024</v>
      </c>
      <c r="L19" s="80">
        <f t="shared" si="12"/>
        <v>9348.7790000000023</v>
      </c>
      <c r="M19" s="80">
        <f t="shared" si="13"/>
        <v>9348.7790000000023</v>
      </c>
      <c r="N19" s="80">
        <f t="shared" si="14"/>
        <v>9348.7790000000023</v>
      </c>
      <c r="O19" s="80">
        <f>SUM(Table311[[#This Row],[Payment 2 - 12/15/22]:[Payment 11 -2031]])</f>
        <v>178196.43018751187</v>
      </c>
    </row>
    <row r="20" spans="1:15" x14ac:dyDescent="0.3">
      <c r="A20" s="1" t="s">
        <v>466</v>
      </c>
      <c r="B20" s="1">
        <v>4.4444444444444453E-3</v>
      </c>
      <c r="C20" s="1">
        <v>13</v>
      </c>
      <c r="E20" s="80">
        <f t="shared" si="5"/>
        <v>20598.702000000001</v>
      </c>
      <c r="F20" s="80">
        <f t="shared" si="6"/>
        <v>7860.9055937559269</v>
      </c>
      <c r="G20" s="80">
        <f t="shared" si="7"/>
        <v>17856.357000000004</v>
      </c>
      <c r="H20" s="80">
        <f t="shared" si="8"/>
        <v>19157.956000000002</v>
      </c>
      <c r="I20" s="80">
        <f t="shared" si="9"/>
        <v>2258.2390000000005</v>
      </c>
      <c r="J20" s="80">
        <f t="shared" si="10"/>
        <v>3671.4435000000012</v>
      </c>
      <c r="K20" s="80">
        <f t="shared" si="11"/>
        <v>3671.4435000000012</v>
      </c>
      <c r="L20" s="80">
        <f t="shared" si="12"/>
        <v>4674.3895000000011</v>
      </c>
      <c r="M20" s="80">
        <f t="shared" si="13"/>
        <v>4674.3895000000011</v>
      </c>
      <c r="N20" s="80">
        <f t="shared" si="14"/>
        <v>4674.3895000000011</v>
      </c>
      <c r="O20" s="80">
        <f>SUM(Table311[[#This Row],[Payment 2 - 12/15/22]:[Payment 11 -2031]])</f>
        <v>89098.215093755935</v>
      </c>
    </row>
    <row r="21" spans="1:15" x14ac:dyDescent="0.3">
      <c r="A21" s="1" t="s">
        <v>465</v>
      </c>
      <c r="B21" s="1">
        <v>3.5599901287814678E-2</v>
      </c>
      <c r="C21" s="1">
        <v>15</v>
      </c>
      <c r="E21" s="80">
        <f t="shared" si="5"/>
        <v>164995.14551784989</v>
      </c>
      <c r="F21" s="80">
        <f t="shared" si="6"/>
        <v>62965.679213371761</v>
      </c>
      <c r="G21" s="80">
        <f t="shared" si="7"/>
        <v>143029.02297599518</v>
      </c>
      <c r="H21" s="80">
        <f t="shared" si="8"/>
        <v>153454.80205716679</v>
      </c>
      <c r="I21" s="80">
        <f t="shared" si="9"/>
        <v>18088.444233965998</v>
      </c>
      <c r="J21" s="80">
        <f t="shared" si="10"/>
        <v>29408.180891352491</v>
      </c>
      <c r="K21" s="80">
        <f t="shared" si="11"/>
        <v>29408.180891352491</v>
      </c>
      <c r="L21" s="80">
        <f t="shared" si="12"/>
        <v>37441.756075679412</v>
      </c>
      <c r="M21" s="80">
        <f t="shared" si="13"/>
        <v>37441.756075679412</v>
      </c>
      <c r="N21" s="80">
        <f t="shared" si="14"/>
        <v>37441.756075679412</v>
      </c>
      <c r="O21" s="80">
        <f>SUM(Table311[[#This Row],[Payment 2 - 12/15/22]:[Payment 11 -2031]])</f>
        <v>713674.72400809289</v>
      </c>
    </row>
    <row r="22" spans="1:15" x14ac:dyDescent="0.3">
      <c r="A22" s="1" t="s">
        <v>464</v>
      </c>
      <c r="B22" s="1">
        <v>2.4808077720031257E-3</v>
      </c>
      <c r="C22" s="1">
        <v>16</v>
      </c>
      <c r="E22" s="80">
        <f t="shared" si="5"/>
        <v>11497.819503324672</v>
      </c>
      <c r="F22" s="80">
        <f t="shared" si="6"/>
        <v>4387.8140306938221</v>
      </c>
      <c r="G22" s="80">
        <f t="shared" si="7"/>
        <v>9967.0925756840443</v>
      </c>
      <c r="H22" s="80">
        <f t="shared" si="8"/>
        <v>10693.62138161113</v>
      </c>
      <c r="I22" s="80">
        <f t="shared" si="9"/>
        <v>1260.5077940041274</v>
      </c>
      <c r="J22" s="80">
        <f t="shared" si="10"/>
        <v>2049.332753085831</v>
      </c>
      <c r="K22" s="80">
        <f t="shared" si="11"/>
        <v>2049.332753085831</v>
      </c>
      <c r="L22" s="80">
        <f t="shared" si="12"/>
        <v>2609.1589052182062</v>
      </c>
      <c r="M22" s="80">
        <f t="shared" si="13"/>
        <v>2609.1589052182062</v>
      </c>
      <c r="N22" s="80">
        <f t="shared" si="14"/>
        <v>2609.1589052182062</v>
      </c>
      <c r="O22" s="80">
        <f>SUM(Table311[[#This Row],[Payment 2 - 12/15/22]:[Payment 11 -2031]])</f>
        <v>49732.997507144086</v>
      </c>
    </row>
    <row r="23" spans="1:15" x14ac:dyDescent="0.3">
      <c r="A23" s="1" t="s">
        <v>463</v>
      </c>
      <c r="B23" s="1">
        <v>5.3666345084212507E-3</v>
      </c>
      <c r="C23" s="1">
        <v>17</v>
      </c>
      <c r="E23" s="80">
        <f t="shared" si="5"/>
        <v>24872.783620924311</v>
      </c>
      <c r="F23" s="80">
        <f t="shared" si="6"/>
        <v>9491.9866260507424</v>
      </c>
      <c r="G23" s="80">
        <f t="shared" si="7"/>
        <v>21561.421875950105</v>
      </c>
      <c r="H23" s="80">
        <f t="shared" si="8"/>
        <v>23133.093250593585</v>
      </c>
      <c r="I23" s="80">
        <f t="shared" si="9"/>
        <v>2726.8072527741065</v>
      </c>
      <c r="J23" s="80">
        <f t="shared" si="10"/>
        <v>4433.2414611342519</v>
      </c>
      <c r="K23" s="80">
        <f t="shared" si="11"/>
        <v>4433.2414611342519</v>
      </c>
      <c r="L23" s="80">
        <f t="shared" si="12"/>
        <v>5644.2914992129399</v>
      </c>
      <c r="M23" s="80">
        <f t="shared" si="13"/>
        <v>5644.2914992129399</v>
      </c>
      <c r="N23" s="80">
        <f t="shared" si="14"/>
        <v>5644.2914992129399</v>
      </c>
      <c r="O23" s="80">
        <f>SUM(Table311[[#This Row],[Payment 2 - 12/15/22]:[Payment 11 -2031]])</f>
        <v>107585.45004620016</v>
      </c>
    </row>
    <row r="24" spans="1:15" x14ac:dyDescent="0.3">
      <c r="A24" s="1" t="s">
        <v>462</v>
      </c>
      <c r="B24" s="1">
        <v>2.494730298904891E-3</v>
      </c>
      <c r="C24" s="1">
        <v>18</v>
      </c>
      <c r="E24" s="80">
        <f t="shared" si="5"/>
        <v>11562.346349440373</v>
      </c>
      <c r="F24" s="80">
        <f t="shared" si="6"/>
        <v>4412.4388563541161</v>
      </c>
      <c r="G24" s="80">
        <f t="shared" si="7"/>
        <v>10023.028838091548</v>
      </c>
      <c r="H24" s="80">
        <f t="shared" si="8"/>
        <v>10753.634992114517</v>
      </c>
      <c r="I24" s="80">
        <f t="shared" si="9"/>
        <v>1267.5818824804535</v>
      </c>
      <c r="J24" s="80">
        <f t="shared" si="10"/>
        <v>2060.8338015376694</v>
      </c>
      <c r="K24" s="80">
        <f t="shared" si="11"/>
        <v>2060.8338015376694</v>
      </c>
      <c r="L24" s="80">
        <f t="shared" si="12"/>
        <v>2623.8017507698987</v>
      </c>
      <c r="M24" s="80">
        <f t="shared" si="13"/>
        <v>2623.8017507698987</v>
      </c>
      <c r="N24" s="80">
        <f t="shared" si="14"/>
        <v>2623.8017507698987</v>
      </c>
      <c r="O24" s="80">
        <f>SUM(Table311[[#This Row],[Payment 2 - 12/15/22]:[Payment 11 -2031]])</f>
        <v>50012.103773866038</v>
      </c>
    </row>
    <row r="25" spans="1:15" x14ac:dyDescent="0.3">
      <c r="A25" s="1" t="s">
        <v>461</v>
      </c>
      <c r="B25" s="1">
        <v>4.4444444444444453E-3</v>
      </c>
      <c r="C25" s="1">
        <v>19</v>
      </c>
      <c r="E25" s="80">
        <f t="shared" si="5"/>
        <v>20598.702000000001</v>
      </c>
      <c r="F25" s="80">
        <f t="shared" si="6"/>
        <v>7860.9055937559269</v>
      </c>
      <c r="G25" s="80">
        <f t="shared" si="7"/>
        <v>17856.357000000004</v>
      </c>
      <c r="H25" s="80">
        <f t="shared" si="8"/>
        <v>19157.956000000002</v>
      </c>
      <c r="I25" s="80">
        <f t="shared" si="9"/>
        <v>2258.2390000000005</v>
      </c>
      <c r="J25" s="80">
        <f t="shared" si="10"/>
        <v>3671.4435000000012</v>
      </c>
      <c r="K25" s="80">
        <f t="shared" si="11"/>
        <v>3671.4435000000012</v>
      </c>
      <c r="L25" s="80">
        <f t="shared" si="12"/>
        <v>4674.3895000000011</v>
      </c>
      <c r="M25" s="80">
        <f t="shared" si="13"/>
        <v>4674.3895000000011</v>
      </c>
      <c r="N25" s="80">
        <f t="shared" si="14"/>
        <v>4674.3895000000011</v>
      </c>
      <c r="O25" s="80">
        <f>SUM(Table311[[#This Row],[Payment 2 - 12/15/22]:[Payment 11 -2031]])</f>
        <v>89098.215093755935</v>
      </c>
    </row>
    <row r="26" spans="1:15" x14ac:dyDescent="0.3">
      <c r="A26" s="1" t="s">
        <v>460</v>
      </c>
      <c r="B26" s="1">
        <v>1.7284517381216374E-2</v>
      </c>
      <c r="C26" s="1">
        <v>21</v>
      </c>
      <c r="E26" s="80">
        <f t="shared" si="5"/>
        <v>80108.690118636689</v>
      </c>
      <c r="F26" s="80">
        <f t="shared" si="6"/>
        <v>30571.190857659443</v>
      </c>
      <c r="G26" s="80">
        <f t="shared" si="7"/>
        <v>69443.665409633541</v>
      </c>
      <c r="H26" s="80">
        <f t="shared" si="8"/>
        <v>74505.605280880161</v>
      </c>
      <c r="I26" s="80">
        <f t="shared" si="9"/>
        <v>8782.3285304491528</v>
      </c>
      <c r="J26" s="80">
        <f t="shared" si="10"/>
        <v>14278.304022728375</v>
      </c>
      <c r="K26" s="80">
        <f t="shared" si="11"/>
        <v>14278.304022728375</v>
      </c>
      <c r="L26" s="80">
        <f t="shared" si="12"/>
        <v>18178.777475848194</v>
      </c>
      <c r="M26" s="80">
        <f t="shared" si="13"/>
        <v>18178.777475848194</v>
      </c>
      <c r="N26" s="80">
        <f t="shared" si="14"/>
        <v>18178.777475848194</v>
      </c>
      <c r="O26" s="80">
        <f>SUM(Table311[[#This Row],[Payment 2 - 12/15/22]:[Payment 11 -2031]])</f>
        <v>346504.42067026033</v>
      </c>
    </row>
    <row r="27" spans="1:15" x14ac:dyDescent="0.3">
      <c r="A27" s="1" t="s">
        <v>479</v>
      </c>
      <c r="B27" s="1">
        <v>1.9078591517667817E-2</v>
      </c>
      <c r="C27" s="1">
        <v>22</v>
      </c>
      <c r="E27" s="80">
        <f t="shared" si="5"/>
        <v>88423.699781737581</v>
      </c>
      <c r="F27" s="80">
        <f t="shared" si="6"/>
        <v>33744.376525999338</v>
      </c>
      <c r="G27" s="80">
        <f t="shared" si="7"/>
        <v>76651.681769245872</v>
      </c>
      <c r="H27" s="80">
        <f t="shared" si="8"/>
        <v>82239.033788426983</v>
      </c>
      <c r="I27" s="80">
        <f t="shared" si="9"/>
        <v>9693.9043718099965</v>
      </c>
      <c r="J27" s="80">
        <f t="shared" si="10"/>
        <v>15760.343433756747</v>
      </c>
      <c r="K27" s="80">
        <f t="shared" si="11"/>
        <v>15760.343433756747</v>
      </c>
      <c r="L27" s="80">
        <f t="shared" si="12"/>
        <v>20065.67276961949</v>
      </c>
      <c r="M27" s="80">
        <f t="shared" si="13"/>
        <v>20065.67276961949</v>
      </c>
      <c r="N27" s="80">
        <f t="shared" si="14"/>
        <v>20065.67276961949</v>
      </c>
      <c r="O27" s="80">
        <f>SUM(Table311[[#This Row],[Payment 2 - 12/15/22]:[Payment 11 -2031]])</f>
        <v>382470.40141359175</v>
      </c>
    </row>
    <row r="28" spans="1:15" x14ac:dyDescent="0.3">
      <c r="A28" s="1" t="s">
        <v>459</v>
      </c>
      <c r="B28" s="1">
        <v>3.8425508099260569E-2</v>
      </c>
      <c r="C28" s="1">
        <v>23</v>
      </c>
      <c r="E28" s="80">
        <f t="shared" si="5"/>
        <v>178091.00787043231</v>
      </c>
      <c r="F28" s="80">
        <f t="shared" si="6"/>
        <v>67963.340601087984</v>
      </c>
      <c r="G28" s="80">
        <f t="shared" si="7"/>
        <v>154381.40786852731</v>
      </c>
      <c r="H28" s="80">
        <f t="shared" si="8"/>
        <v>165634.69352473743</v>
      </c>
      <c r="I28" s="80">
        <f t="shared" si="9"/>
        <v>19524.145721527369</v>
      </c>
      <c r="J28" s="80">
        <f t="shared" si="10"/>
        <v>31742.343437676209</v>
      </c>
      <c r="K28" s="80">
        <f t="shared" si="11"/>
        <v>31742.343437676209</v>
      </c>
      <c r="L28" s="80">
        <f t="shared" si="12"/>
        <v>40413.553108053427</v>
      </c>
      <c r="M28" s="80">
        <f t="shared" si="13"/>
        <v>40413.553108053427</v>
      </c>
      <c r="N28" s="80">
        <f t="shared" si="14"/>
        <v>40413.553108053427</v>
      </c>
      <c r="O28" s="80">
        <f>SUM(Table311[[#This Row],[Payment 2 - 12/15/22]:[Payment 11 -2031]])</f>
        <v>770319.94178582495</v>
      </c>
    </row>
    <row r="29" spans="1:15" x14ac:dyDescent="0.3">
      <c r="A29" s="1" t="s">
        <v>458</v>
      </c>
      <c r="B29" s="1">
        <v>1.8044394244223265E-2</v>
      </c>
      <c r="C29" s="1">
        <v>25</v>
      </c>
      <c r="E29" s="80">
        <f t="shared" si="5"/>
        <v>83630.4974566358</v>
      </c>
      <c r="F29" s="80">
        <f t="shared" si="6"/>
        <v>31915.187921329172</v>
      </c>
      <c r="G29" s="80">
        <f t="shared" si="7"/>
        <v>72496.607731559052</v>
      </c>
      <c r="H29" s="80">
        <f t="shared" si="8"/>
        <v>77781.084969933567</v>
      </c>
      <c r="I29" s="80">
        <f t="shared" si="9"/>
        <v>9168.424833078112</v>
      </c>
      <c r="J29" s="80">
        <f t="shared" si="10"/>
        <v>14906.019140862958</v>
      </c>
      <c r="K29" s="80">
        <f t="shared" si="11"/>
        <v>14906.019140862958</v>
      </c>
      <c r="L29" s="80">
        <f t="shared" si="12"/>
        <v>18977.968572537975</v>
      </c>
      <c r="M29" s="80">
        <f t="shared" si="13"/>
        <v>18977.968572537975</v>
      </c>
      <c r="N29" s="80">
        <f t="shared" si="14"/>
        <v>18977.968572537975</v>
      </c>
      <c r="O29" s="80">
        <f>SUM(Table311[[#This Row],[Payment 2 - 12/15/22]:[Payment 11 -2031]])</f>
        <v>361737.74691187561</v>
      </c>
    </row>
    <row r="30" spans="1:15" x14ac:dyDescent="0.3">
      <c r="A30" s="1" t="s">
        <v>457</v>
      </c>
      <c r="B30" s="1">
        <v>8.8888888888888906E-3</v>
      </c>
      <c r="C30" s="1">
        <v>26</v>
      </c>
      <c r="E30" s="80">
        <f t="shared" si="5"/>
        <v>41197.404000000002</v>
      </c>
      <c r="F30" s="80">
        <f t="shared" si="6"/>
        <v>15721.811187511854</v>
      </c>
      <c r="G30" s="80">
        <f t="shared" si="7"/>
        <v>35712.714000000007</v>
      </c>
      <c r="H30" s="80">
        <f t="shared" si="8"/>
        <v>38315.912000000004</v>
      </c>
      <c r="I30" s="80">
        <f t="shared" si="9"/>
        <v>4516.478000000001</v>
      </c>
      <c r="J30" s="80">
        <f t="shared" si="10"/>
        <v>7342.8870000000024</v>
      </c>
      <c r="K30" s="80">
        <f t="shared" si="11"/>
        <v>7342.8870000000024</v>
      </c>
      <c r="L30" s="80">
        <f t="shared" si="12"/>
        <v>9348.7790000000023</v>
      </c>
      <c r="M30" s="80">
        <f t="shared" si="13"/>
        <v>9348.7790000000023</v>
      </c>
      <c r="N30" s="80">
        <f t="shared" si="14"/>
        <v>9348.7790000000023</v>
      </c>
      <c r="O30" s="80">
        <f>SUM(Table311[[#This Row],[Payment 2 - 12/15/22]:[Payment 11 -2031]])</f>
        <v>178196.43018751187</v>
      </c>
    </row>
    <row r="31" spans="1:15" x14ac:dyDescent="0.3">
      <c r="A31" s="1" t="s">
        <v>456</v>
      </c>
      <c r="B31" s="1">
        <v>1.0387404138019692E-2</v>
      </c>
      <c r="C31" s="1">
        <v>28</v>
      </c>
      <c r="E31" s="80">
        <f t="shared" si="5"/>
        <v>48142.584538342759</v>
      </c>
      <c r="F31" s="80">
        <f t="shared" si="6"/>
        <v>18372.240740961548</v>
      </c>
      <c r="G31" s="80">
        <f t="shared" si="7"/>
        <v>41733.2692331453</v>
      </c>
      <c r="H31" s="80">
        <f t="shared" si="8"/>
        <v>44775.322071839815</v>
      </c>
      <c r="I31" s="80">
        <f t="shared" si="9"/>
        <v>5277.8792549784266</v>
      </c>
      <c r="J31" s="80">
        <f t="shared" si="10"/>
        <v>8580.7726659912387</v>
      </c>
      <c r="K31" s="80">
        <f t="shared" si="11"/>
        <v>8580.7726659912387</v>
      </c>
      <c r="L31" s="80">
        <f t="shared" si="12"/>
        <v>10924.823887878554</v>
      </c>
      <c r="M31" s="80">
        <f t="shared" si="13"/>
        <v>10924.823887878554</v>
      </c>
      <c r="N31" s="80">
        <f t="shared" si="14"/>
        <v>10924.823887878554</v>
      </c>
      <c r="O31" s="80">
        <f>SUM(Table311[[#This Row],[Payment 2 - 12/15/22]:[Payment 11 -2031]])</f>
        <v>208237.31283488602</v>
      </c>
    </row>
    <row r="32" spans="1:15" x14ac:dyDescent="0.3">
      <c r="A32" s="1" t="s">
        <v>455</v>
      </c>
      <c r="B32" s="1">
        <v>2.3950743168712008E-3</v>
      </c>
      <c r="C32" s="1">
        <v>30</v>
      </c>
      <c r="E32" s="80">
        <f t="shared" si="5"/>
        <v>11100.469977243773</v>
      </c>
      <c r="F32" s="80">
        <f t="shared" si="6"/>
        <v>4236.1769463646442</v>
      </c>
      <c r="G32" s="80">
        <f t="shared" si="7"/>
        <v>9622.6429598062387</v>
      </c>
      <c r="H32" s="80">
        <f t="shared" si="8"/>
        <v>10324.063885353416</v>
      </c>
      <c r="I32" s="80">
        <f t="shared" si="9"/>
        <v>1216.9463018078031</v>
      </c>
      <c r="J32" s="80">
        <f t="shared" si="10"/>
        <v>1978.5105073560851</v>
      </c>
      <c r="K32" s="80">
        <f t="shared" si="11"/>
        <v>1978.5105073560851</v>
      </c>
      <c r="L32" s="80">
        <f t="shared" si="12"/>
        <v>2518.9898036630429</v>
      </c>
      <c r="M32" s="80">
        <f t="shared" si="13"/>
        <v>2518.9898036630429</v>
      </c>
      <c r="N32" s="80">
        <f t="shared" si="14"/>
        <v>2518.9898036630429</v>
      </c>
      <c r="O32" s="80">
        <f>SUM(Table311[[#This Row],[Payment 2 - 12/15/22]:[Payment 11 -2031]])</f>
        <v>48014.290496277164</v>
      </c>
    </row>
    <row r="33" spans="1:15" x14ac:dyDescent="0.3">
      <c r="A33" s="1" t="s">
        <v>454</v>
      </c>
      <c r="B33" s="1">
        <v>2.9371868715437773E-3</v>
      </c>
      <c r="C33" s="1">
        <v>31</v>
      </c>
      <c r="E33" s="80">
        <f t="shared" si="5"/>
        <v>13613.003344179571</v>
      </c>
      <c r="F33" s="80">
        <f t="shared" si="6"/>
        <v>5195.0134593956127</v>
      </c>
      <c r="G33" s="80">
        <f t="shared" si="7"/>
        <v>11800.677904649736</v>
      </c>
      <c r="H33" s="80">
        <f t="shared" si="8"/>
        <v>12660.861790982999</v>
      </c>
      <c r="I33" s="80">
        <f t="shared" si="9"/>
        <v>1492.3957373118333</v>
      </c>
      <c r="J33" s="80">
        <f t="shared" si="10"/>
        <v>2426.336020758316</v>
      </c>
      <c r="K33" s="80">
        <f t="shared" si="11"/>
        <v>2426.336020758316</v>
      </c>
      <c r="L33" s="80">
        <f t="shared" si="12"/>
        <v>3089.1499811734684</v>
      </c>
      <c r="M33" s="80">
        <f t="shared" si="13"/>
        <v>3089.1499811734684</v>
      </c>
      <c r="N33" s="80">
        <f t="shared" si="14"/>
        <v>3089.1499811734684</v>
      </c>
      <c r="O33" s="80">
        <f>SUM(Table311[[#This Row],[Payment 2 - 12/15/22]:[Payment 11 -2031]])</f>
        <v>58882.074221556788</v>
      </c>
    </row>
    <row r="34" spans="1:15" x14ac:dyDescent="0.3">
      <c r="A34" s="1" t="s">
        <v>453</v>
      </c>
      <c r="B34" s="1">
        <v>5.5454290644228717E-3</v>
      </c>
      <c r="C34" s="1">
        <v>32</v>
      </c>
      <c r="E34" s="80">
        <f t="shared" si="5"/>
        <v>25701.444171041741</v>
      </c>
      <c r="F34" s="80">
        <f t="shared" si="6"/>
        <v>9808.2212292671484</v>
      </c>
      <c r="G34" s="80">
        <f t="shared" si="7"/>
        <v>22279.761245814927</v>
      </c>
      <c r="H34" s="80">
        <f t="shared" si="8"/>
        <v>23903.79435390027</v>
      </c>
      <c r="I34" s="80">
        <f t="shared" si="9"/>
        <v>2817.6534416279792</v>
      </c>
      <c r="J34" s="80">
        <f t="shared" si="10"/>
        <v>4580.939135989448</v>
      </c>
      <c r="K34" s="80">
        <f t="shared" si="11"/>
        <v>4580.939135989448</v>
      </c>
      <c r="L34" s="80">
        <f t="shared" si="12"/>
        <v>5832.3364631399463</v>
      </c>
      <c r="M34" s="80">
        <f t="shared" si="13"/>
        <v>5832.3364631399463</v>
      </c>
      <c r="N34" s="80">
        <f t="shared" si="14"/>
        <v>5832.3364631399463</v>
      </c>
      <c r="O34" s="80">
        <f>SUM(Table311[[#This Row],[Payment 2 - 12/15/22]:[Payment 11 -2031]])</f>
        <v>111169.7621030508</v>
      </c>
    </row>
    <row r="35" spans="1:15" x14ac:dyDescent="0.3">
      <c r="A35" s="1" t="s">
        <v>452</v>
      </c>
      <c r="B35" s="1">
        <v>1.4381903674562628E-2</v>
      </c>
      <c r="C35" s="1">
        <v>35</v>
      </c>
      <c r="E35" s="80">
        <f t="shared" si="5"/>
        <v>66655.923296629611</v>
      </c>
      <c r="F35" s="80">
        <f t="shared" si="6"/>
        <v>25437.327084951357</v>
      </c>
      <c r="G35" s="80">
        <f t="shared" si="7"/>
        <v>57781.891429335468</v>
      </c>
      <c r="H35" s="80">
        <f t="shared" si="8"/>
        <v>61993.772503539549</v>
      </c>
      <c r="I35" s="80">
        <f t="shared" si="9"/>
        <v>7307.4995487316419</v>
      </c>
      <c r="J35" s="80">
        <f t="shared" si="10"/>
        <v>11880.528021809792</v>
      </c>
      <c r="K35" s="80">
        <f t="shared" si="11"/>
        <v>11880.528021809792</v>
      </c>
      <c r="L35" s="80">
        <f t="shared" si="12"/>
        <v>15125.989393437067</v>
      </c>
      <c r="M35" s="80">
        <f t="shared" si="13"/>
        <v>15125.989393437067</v>
      </c>
      <c r="N35" s="80">
        <f t="shared" si="14"/>
        <v>15125.989393437067</v>
      </c>
      <c r="O35" s="80">
        <f>SUM(Table311[[#This Row],[Payment 2 - 12/15/22]:[Payment 11 -2031]])</f>
        <v>288315.43808711838</v>
      </c>
    </row>
    <row r="36" spans="1:15" x14ac:dyDescent="0.3">
      <c r="A36" s="1" t="s">
        <v>451</v>
      </c>
      <c r="B36" s="1">
        <v>5.733549714999839E-3</v>
      </c>
      <c r="C36" s="1">
        <v>37</v>
      </c>
      <c r="E36" s="80">
        <f t="shared" si="5"/>
        <v>26573.328445829982</v>
      </c>
      <c r="F36" s="80">
        <f t="shared" si="6"/>
        <v>10140.950931011983</v>
      </c>
      <c r="G36" s="80">
        <f t="shared" si="7"/>
        <v>23035.569882364209</v>
      </c>
      <c r="H36" s="80">
        <f t="shared" si="8"/>
        <v>24714.695961850375</v>
      </c>
      <c r="I36" s="80">
        <f t="shared" si="9"/>
        <v>2913.238254341592</v>
      </c>
      <c r="J36" s="80">
        <f t="shared" si="10"/>
        <v>4736.3408624391777</v>
      </c>
      <c r="K36" s="80">
        <f t="shared" si="11"/>
        <v>4736.3408624391777</v>
      </c>
      <c r="L36" s="80">
        <f t="shared" si="12"/>
        <v>6030.1900317427289</v>
      </c>
      <c r="M36" s="80">
        <f t="shared" si="13"/>
        <v>6030.1900317427289</v>
      </c>
      <c r="N36" s="80">
        <f t="shared" si="14"/>
        <v>6030.1900317427289</v>
      </c>
      <c r="O36" s="80">
        <f>SUM(Table311[[#This Row],[Payment 2 - 12/15/22]:[Payment 11 -2031]])</f>
        <v>114941.0352955047</v>
      </c>
    </row>
    <row r="37" spans="1:15" x14ac:dyDescent="0.3">
      <c r="A37" s="1" t="s">
        <v>450</v>
      </c>
      <c r="B37" s="1">
        <v>2.4951100041840302E-2</v>
      </c>
      <c r="C37" s="1">
        <v>39</v>
      </c>
      <c r="E37" s="80">
        <f t="shared" si="5"/>
        <v>115641.06172516257</v>
      </c>
      <c r="F37" s="80">
        <f t="shared" si="6"/>
        <v>44131.104425084879</v>
      </c>
      <c r="G37" s="80">
        <f t="shared" si="7"/>
        <v>100245.54372520845</v>
      </c>
      <c r="H37" s="80">
        <f t="shared" si="8"/>
        <v>107552.71726946429</v>
      </c>
      <c r="I37" s="80">
        <f t="shared" si="9"/>
        <v>12677.748121661714</v>
      </c>
      <c r="J37" s="80">
        <f t="shared" si="10"/>
        <v>20611.474664954472</v>
      </c>
      <c r="K37" s="80">
        <f t="shared" si="11"/>
        <v>20611.474664954472</v>
      </c>
      <c r="L37" s="80">
        <f t="shared" si="12"/>
        <v>26242.011011031271</v>
      </c>
      <c r="M37" s="80">
        <f t="shared" si="13"/>
        <v>26242.011011031271</v>
      </c>
      <c r="N37" s="80">
        <f t="shared" si="14"/>
        <v>26242.011011031271</v>
      </c>
      <c r="O37" s="80">
        <f>SUM(Table311[[#This Row],[Payment 2 - 12/15/22]:[Payment 11 -2031]])</f>
        <v>500197.15762958466</v>
      </c>
    </row>
    <row r="38" spans="1:15" x14ac:dyDescent="0.3">
      <c r="A38" s="1" t="s">
        <v>449</v>
      </c>
      <c r="B38" s="1">
        <v>2.1689431694035758E-2</v>
      </c>
      <c r="C38" s="1">
        <v>40</v>
      </c>
      <c r="E38" s="80">
        <f t="shared" si="5"/>
        <v>100524.18150332948</v>
      </c>
      <c r="F38" s="80">
        <f t="shared" si="6"/>
        <v>38362.179359032365</v>
      </c>
      <c r="G38" s="80">
        <f t="shared" si="7"/>
        <v>87141.202977558874</v>
      </c>
      <c r="H38" s="80">
        <f t="shared" si="8"/>
        <v>93493.165063352062</v>
      </c>
      <c r="I38" s="80">
        <f t="shared" si="9"/>
        <v>11020.482121344214</v>
      </c>
      <c r="J38" s="80">
        <f t="shared" si="10"/>
        <v>17917.092677646357</v>
      </c>
      <c r="K38" s="80">
        <f t="shared" si="11"/>
        <v>17917.092677646357</v>
      </c>
      <c r="L38" s="80">
        <f t="shared" si="12"/>
        <v>22811.591648602789</v>
      </c>
      <c r="M38" s="80">
        <f t="shared" si="13"/>
        <v>22811.591648602789</v>
      </c>
      <c r="N38" s="80">
        <f t="shared" si="14"/>
        <v>22811.591648602789</v>
      </c>
      <c r="O38" s="80">
        <f>SUM(Table311[[#This Row],[Payment 2 - 12/15/22]:[Payment 11 -2031]])</f>
        <v>434810.17132571811</v>
      </c>
    </row>
    <row r="39" spans="1:15" x14ac:dyDescent="0.3">
      <c r="A39" s="1" t="s">
        <v>448</v>
      </c>
      <c r="B39" s="1">
        <v>8.8888888888888906E-3</v>
      </c>
      <c r="C39" s="1">
        <v>41</v>
      </c>
      <c r="E39" s="80">
        <f t="shared" si="5"/>
        <v>41197.404000000002</v>
      </c>
      <c r="F39" s="80">
        <f t="shared" si="6"/>
        <v>15721.811187511854</v>
      </c>
      <c r="G39" s="80">
        <f t="shared" si="7"/>
        <v>35712.714000000007</v>
      </c>
      <c r="H39" s="80">
        <f t="shared" si="8"/>
        <v>38315.912000000004</v>
      </c>
      <c r="I39" s="80">
        <f t="shared" si="9"/>
        <v>4516.478000000001</v>
      </c>
      <c r="J39" s="80">
        <f t="shared" si="10"/>
        <v>7342.8870000000024</v>
      </c>
      <c r="K39" s="80">
        <f t="shared" si="11"/>
        <v>7342.8870000000024</v>
      </c>
      <c r="L39" s="80">
        <f t="shared" si="12"/>
        <v>9348.7790000000023</v>
      </c>
      <c r="M39" s="80">
        <f t="shared" si="13"/>
        <v>9348.7790000000023</v>
      </c>
      <c r="N39" s="80">
        <f t="shared" si="14"/>
        <v>9348.7790000000023</v>
      </c>
      <c r="O39" s="80">
        <f>SUM(Table311[[#This Row],[Payment 2 - 12/15/22]:[Payment 11 -2031]])</f>
        <v>178196.43018751187</v>
      </c>
    </row>
    <row r="40" spans="1:15" x14ac:dyDescent="0.3">
      <c r="A40" s="1" t="s">
        <v>447</v>
      </c>
      <c r="B40" s="1">
        <v>8.8888888888888906E-3</v>
      </c>
      <c r="C40" s="1">
        <v>43</v>
      </c>
      <c r="E40" s="80">
        <f t="shared" si="5"/>
        <v>41197.404000000002</v>
      </c>
      <c r="F40" s="80">
        <f t="shared" si="6"/>
        <v>15721.811187511854</v>
      </c>
      <c r="G40" s="80">
        <f t="shared" si="7"/>
        <v>35712.714000000007</v>
      </c>
      <c r="H40" s="80">
        <f t="shared" si="8"/>
        <v>38315.912000000004</v>
      </c>
      <c r="I40" s="80">
        <f t="shared" si="9"/>
        <v>4516.478000000001</v>
      </c>
      <c r="J40" s="80">
        <f t="shared" si="10"/>
        <v>7342.8870000000024</v>
      </c>
      <c r="K40" s="80">
        <f t="shared" si="11"/>
        <v>7342.8870000000024</v>
      </c>
      <c r="L40" s="80">
        <f t="shared" si="12"/>
        <v>9348.7790000000023</v>
      </c>
      <c r="M40" s="80">
        <f t="shared" si="13"/>
        <v>9348.7790000000023</v>
      </c>
      <c r="N40" s="80">
        <f t="shared" si="14"/>
        <v>9348.7790000000023</v>
      </c>
      <c r="O40" s="80">
        <f>SUM(Table311[[#This Row],[Payment 2 - 12/15/22]:[Payment 11 -2031]])</f>
        <v>178196.43018751187</v>
      </c>
    </row>
    <row r="41" spans="1:15" x14ac:dyDescent="0.3">
      <c r="A41" s="1" t="s">
        <v>446</v>
      </c>
      <c r="B41" s="1">
        <v>1.1213096582744022E-2</v>
      </c>
      <c r="C41" s="1">
        <v>45</v>
      </c>
      <c r="E41" s="80">
        <f t="shared" si="5"/>
        <v>51969.427876161542</v>
      </c>
      <c r="F41" s="80">
        <f t="shared" si="6"/>
        <v>19832.646071389034</v>
      </c>
      <c r="G41" s="80">
        <f t="shared" si="7"/>
        <v>45050.637522815392</v>
      </c>
      <c r="H41" s="80">
        <f t="shared" si="8"/>
        <v>48334.502465091071</v>
      </c>
      <c r="I41" s="80">
        <f t="shared" si="9"/>
        <v>5697.4167031318366</v>
      </c>
      <c r="J41" s="80">
        <f t="shared" si="10"/>
        <v>9262.8563768072454</v>
      </c>
      <c r="K41" s="80">
        <f t="shared" si="11"/>
        <v>9262.8563768072454</v>
      </c>
      <c r="L41" s="80">
        <f t="shared" si="12"/>
        <v>11793.23570899452</v>
      </c>
      <c r="M41" s="80">
        <f t="shared" si="13"/>
        <v>11793.23570899452</v>
      </c>
      <c r="N41" s="80">
        <f t="shared" si="14"/>
        <v>11793.23570899452</v>
      </c>
      <c r="O41" s="80">
        <f>SUM(Table311[[#This Row],[Payment 2 - 12/15/22]:[Payment 11 -2031]])</f>
        <v>224790.05051918695</v>
      </c>
    </row>
    <row r="42" spans="1:15" x14ac:dyDescent="0.3">
      <c r="A42" s="1" t="s">
        <v>478</v>
      </c>
      <c r="B42" s="1">
        <v>2.0847218738920818E-2</v>
      </c>
      <c r="C42" s="1">
        <v>48</v>
      </c>
      <c r="E42" s="80">
        <f t="shared" si="5"/>
        <v>96620.770424665272</v>
      </c>
      <c r="F42" s="80">
        <f t="shared" si="6"/>
        <v>36872.554139783097</v>
      </c>
      <c r="G42" s="80">
        <f t="shared" si="7"/>
        <v>83757.460558333478</v>
      </c>
      <c r="H42" s="80">
        <f t="shared" si="8"/>
        <v>89862.772347589605</v>
      </c>
      <c r="I42" s="80">
        <f t="shared" si="9"/>
        <v>10592.550539496406</v>
      </c>
      <c r="J42" s="80">
        <f t="shared" si="10"/>
        <v>17221.361789720035</v>
      </c>
      <c r="K42" s="80">
        <f t="shared" si="11"/>
        <v>17221.361789720035</v>
      </c>
      <c r="L42" s="80">
        <f t="shared" si="12"/>
        <v>21925.804584918307</v>
      </c>
      <c r="M42" s="80">
        <f t="shared" si="13"/>
        <v>21925.804584918307</v>
      </c>
      <c r="N42" s="80">
        <f t="shared" si="14"/>
        <v>21925.804584918307</v>
      </c>
      <c r="O42" s="80">
        <f>SUM(Table311[[#This Row],[Payment 2 - 12/15/22]:[Payment 11 -2031]])</f>
        <v>417926.24534406286</v>
      </c>
    </row>
    <row r="43" spans="1:15" x14ac:dyDescent="0.3">
      <c r="A43" s="1" t="s">
        <v>445</v>
      </c>
      <c r="B43" s="1">
        <v>6.1050613539048483E-3</v>
      </c>
      <c r="C43" s="1">
        <v>49</v>
      </c>
      <c r="E43" s="80">
        <f t="shared" si="5"/>
        <v>28295.176392180558</v>
      </c>
      <c r="F43" s="80">
        <f t="shared" si="6"/>
        <v>10798.044963105092</v>
      </c>
      <c r="G43" s="80">
        <f t="shared" si="7"/>
        <v>24528.18488450137</v>
      </c>
      <c r="H43" s="80">
        <f t="shared" si="8"/>
        <v>26316.111778967137</v>
      </c>
      <c r="I43" s="80">
        <f t="shared" si="9"/>
        <v>3102.0047205256642</v>
      </c>
      <c r="J43" s="80">
        <f t="shared" si="10"/>
        <v>5043.2372606014105</v>
      </c>
      <c r="K43" s="80">
        <f t="shared" si="11"/>
        <v>5043.2372606014105</v>
      </c>
      <c r="L43" s="80">
        <f t="shared" si="12"/>
        <v>6420.9228051484361</v>
      </c>
      <c r="M43" s="80">
        <f t="shared" si="13"/>
        <v>6420.9228051484361</v>
      </c>
      <c r="N43" s="80">
        <f t="shared" si="14"/>
        <v>6420.9228051484361</v>
      </c>
      <c r="O43" s="80">
        <f>SUM(Table311[[#This Row],[Payment 2 - 12/15/22]:[Payment 11 -2031]])</f>
        <v>122388.76567592796</v>
      </c>
    </row>
    <row r="44" spans="1:15" x14ac:dyDescent="0.3">
      <c r="A44" s="1" t="s">
        <v>444</v>
      </c>
      <c r="B44" s="1">
        <v>0.10683687501182292</v>
      </c>
      <c r="C44" s="1">
        <v>51</v>
      </c>
      <c r="E44" s="80">
        <f t="shared" ref="E44:E75" si="15">B44*$E$9</f>
        <v>495157.71397045191</v>
      </c>
      <c r="F44" s="80">
        <f t="shared" ref="F44:F75" si="16">B44*$F$9</f>
        <v>188962.7823899643</v>
      </c>
      <c r="G44" s="80">
        <f t="shared" ref="G44:G75" si="17">B44*$G$9</f>
        <v>429236.41071948502</v>
      </c>
      <c r="H44" s="80">
        <f t="shared" ref="H44:H75" si="18">B44*$H$9</f>
        <v>460524.63389715063</v>
      </c>
      <c r="I44" s="80">
        <f t="shared" ref="I44:I75" si="19">B44*$I$9</f>
        <v>54284.219502710388</v>
      </c>
      <c r="J44" s="80">
        <f t="shared" ref="J44:J75" si="20">B44*$J$9</f>
        <v>88255.248822555688</v>
      </c>
      <c r="K44" s="80">
        <f t="shared" ref="K44:K75" si="21">B44*$K$9</f>
        <v>88255.248822555688</v>
      </c>
      <c r="L44" s="80">
        <f t="shared" ref="L44:L75" si="22">B44*$L$9</f>
        <v>112364.36252281741</v>
      </c>
      <c r="M44" s="80">
        <f t="shared" ref="M44:M75" si="23">B44*$M$9</f>
        <v>112364.36252281741</v>
      </c>
      <c r="N44" s="80">
        <f t="shared" ref="N44:N75" si="24">B44*$N$9</f>
        <v>112364.36252281741</v>
      </c>
      <c r="O44" s="80">
        <f>SUM(Table311[[#This Row],[Payment 2 - 12/15/22]:[Payment 11 -2031]])</f>
        <v>2141769.3456933256</v>
      </c>
    </row>
    <row r="45" spans="1:15" x14ac:dyDescent="0.3">
      <c r="A45" s="1" t="s">
        <v>443</v>
      </c>
      <c r="B45" s="1">
        <v>4.4444444444444453E-3</v>
      </c>
      <c r="C45" s="1">
        <v>52</v>
      </c>
      <c r="E45" s="80">
        <f t="shared" si="15"/>
        <v>20598.702000000001</v>
      </c>
      <c r="F45" s="80">
        <f t="shared" si="16"/>
        <v>7860.9055937559269</v>
      </c>
      <c r="G45" s="80">
        <f t="shared" si="17"/>
        <v>17856.357000000004</v>
      </c>
      <c r="H45" s="80">
        <f t="shared" si="18"/>
        <v>19157.956000000002</v>
      </c>
      <c r="I45" s="80">
        <f t="shared" si="19"/>
        <v>2258.2390000000005</v>
      </c>
      <c r="J45" s="80">
        <f t="shared" si="20"/>
        <v>3671.4435000000012</v>
      </c>
      <c r="K45" s="80">
        <f t="shared" si="21"/>
        <v>3671.4435000000012</v>
      </c>
      <c r="L45" s="80">
        <f t="shared" si="22"/>
        <v>4674.3895000000011</v>
      </c>
      <c r="M45" s="80">
        <f t="shared" si="23"/>
        <v>4674.3895000000011</v>
      </c>
      <c r="N45" s="80">
        <f t="shared" si="24"/>
        <v>4674.3895000000011</v>
      </c>
      <c r="O45" s="80">
        <f>SUM(Table311[[#This Row],[Payment 2 - 12/15/22]:[Payment 11 -2031]])</f>
        <v>89098.215093755935</v>
      </c>
    </row>
    <row r="46" spans="1:15" x14ac:dyDescent="0.3">
      <c r="A46" s="1" t="s">
        <v>442</v>
      </c>
      <c r="B46" s="1">
        <v>9.529203592204159E-3</v>
      </c>
      <c r="C46" s="1">
        <v>54</v>
      </c>
      <c r="E46" s="80">
        <f t="shared" si="15"/>
        <v>44165.075645957164</v>
      </c>
      <c r="F46" s="80">
        <f t="shared" si="16"/>
        <v>16854.338209949263</v>
      </c>
      <c r="G46" s="80">
        <f t="shared" si="17"/>
        <v>38285.293785317968</v>
      </c>
      <c r="H46" s="80">
        <f t="shared" si="18"/>
        <v>41076.014205260071</v>
      </c>
      <c r="I46" s="80">
        <f t="shared" si="19"/>
        <v>4841.8243179424935</v>
      </c>
      <c r="J46" s="80">
        <f t="shared" si="20"/>
        <v>7871.8348324742883</v>
      </c>
      <c r="K46" s="80">
        <f t="shared" si="21"/>
        <v>7871.8348324742883</v>
      </c>
      <c r="L46" s="80">
        <f t="shared" si="22"/>
        <v>10022.222073321314</v>
      </c>
      <c r="M46" s="80">
        <f t="shared" si="23"/>
        <v>10022.222073321314</v>
      </c>
      <c r="N46" s="80">
        <f t="shared" si="24"/>
        <v>10022.222073321314</v>
      </c>
      <c r="O46" s="80">
        <f>SUM(Table311[[#This Row],[Payment 2 - 12/15/22]:[Payment 11 -2031]])</f>
        <v>191032.8820493395</v>
      </c>
    </row>
    <row r="47" spans="1:15" x14ac:dyDescent="0.3">
      <c r="A47" s="1" t="s">
        <v>441</v>
      </c>
      <c r="B47" s="1">
        <v>2.7342110846075101E-3</v>
      </c>
      <c r="C47" s="1">
        <v>59</v>
      </c>
      <c r="E47" s="80">
        <f t="shared" si="15"/>
        <v>12672.269850808547</v>
      </c>
      <c r="F47" s="80">
        <f t="shared" si="16"/>
        <v>4836.0094221376421</v>
      </c>
      <c r="G47" s="80">
        <f t="shared" si="17"/>
        <v>10985.186079024503</v>
      </c>
      <c r="H47" s="80">
        <f t="shared" si="18"/>
        <v>11785.926522065163</v>
      </c>
      <c r="I47" s="80">
        <f t="shared" si="19"/>
        <v>1389.2629737359202</v>
      </c>
      <c r="J47" s="80">
        <f t="shared" si="20"/>
        <v>2258.6628406972936</v>
      </c>
      <c r="K47" s="80">
        <f t="shared" si="21"/>
        <v>2258.6628406972936</v>
      </c>
      <c r="L47" s="80">
        <f t="shared" si="22"/>
        <v>2875.6727065514151</v>
      </c>
      <c r="M47" s="80">
        <f t="shared" si="23"/>
        <v>2875.6727065514151</v>
      </c>
      <c r="N47" s="80">
        <f t="shared" si="24"/>
        <v>2875.6727065514151</v>
      </c>
      <c r="O47" s="80">
        <f>SUM(Table311[[#This Row],[Payment 2 - 12/15/22]:[Payment 11 -2031]])</f>
        <v>54812.998648820605</v>
      </c>
    </row>
    <row r="48" spans="1:15" x14ac:dyDescent="0.3">
      <c r="A48" s="1" t="s">
        <v>440</v>
      </c>
      <c r="B48" s="1">
        <v>1.3945775523242724E-2</v>
      </c>
      <c r="C48" s="1">
        <v>63</v>
      </c>
      <c r="E48" s="80">
        <f t="shared" si="15"/>
        <v>64634.596686488454</v>
      </c>
      <c r="F48" s="80">
        <f t="shared" si="16"/>
        <v>24665.945584482717</v>
      </c>
      <c r="G48" s="80">
        <f t="shared" si="17"/>
        <v>56029.667936598868</v>
      </c>
      <c r="H48" s="80">
        <f t="shared" si="18"/>
        <v>60113.824618536237</v>
      </c>
      <c r="I48" s="80">
        <f t="shared" si="19"/>
        <v>7085.9011886622275</v>
      </c>
      <c r="J48" s="80">
        <f t="shared" si="20"/>
        <v>11520.253551885437</v>
      </c>
      <c r="K48" s="80">
        <f t="shared" si="21"/>
        <v>11520.253551885437</v>
      </c>
      <c r="L48" s="80">
        <f t="shared" si="22"/>
        <v>14667.297001920628</v>
      </c>
      <c r="M48" s="80">
        <f t="shared" si="23"/>
        <v>14667.297001920628</v>
      </c>
      <c r="N48" s="80">
        <f t="shared" si="24"/>
        <v>14667.297001920628</v>
      </c>
      <c r="O48" s="80">
        <f>SUM(Table311[[#This Row],[Payment 2 - 12/15/22]:[Payment 11 -2031]])</f>
        <v>279572.33412430127</v>
      </c>
    </row>
    <row r="49" spans="1:15" x14ac:dyDescent="0.3">
      <c r="A49" s="1" t="s">
        <v>439</v>
      </c>
      <c r="B49" s="1">
        <v>2.3625862002683726E-2</v>
      </c>
      <c r="C49" s="1">
        <v>65</v>
      </c>
      <c r="E49" s="80">
        <f t="shared" si="15"/>
        <v>109498.97044944117</v>
      </c>
      <c r="F49" s="80">
        <f t="shared" si="16"/>
        <v>41787.150924195463</v>
      </c>
      <c r="G49" s="80">
        <f t="shared" si="17"/>
        <v>94921.16092934749</v>
      </c>
      <c r="H49" s="80">
        <f t="shared" si="18"/>
        <v>101840.22555963451</v>
      </c>
      <c r="I49" s="80">
        <f t="shared" si="19"/>
        <v>12004.389671192661</v>
      </c>
      <c r="J49" s="80">
        <f t="shared" si="20"/>
        <v>19516.728933371287</v>
      </c>
      <c r="K49" s="80">
        <f t="shared" si="21"/>
        <v>19516.728933371287</v>
      </c>
      <c r="L49" s="80">
        <f t="shared" si="22"/>
        <v>24848.2082866036</v>
      </c>
      <c r="M49" s="80">
        <f t="shared" si="23"/>
        <v>24848.2082866036</v>
      </c>
      <c r="N49" s="80">
        <f t="shared" si="24"/>
        <v>24848.2082866036</v>
      </c>
      <c r="O49" s="80">
        <f>SUM(Table311[[#This Row],[Payment 2 - 12/15/22]:[Payment 11 -2031]])</f>
        <v>473629.98026036483</v>
      </c>
    </row>
    <row r="50" spans="1:15" x14ac:dyDescent="0.3">
      <c r="A50" s="1" t="s">
        <v>438</v>
      </c>
      <c r="B50" s="1">
        <v>2.2222222222222227E-3</v>
      </c>
      <c r="C50" s="1">
        <v>66</v>
      </c>
      <c r="E50" s="80">
        <f t="shared" si="15"/>
        <v>10299.351000000001</v>
      </c>
      <c r="F50" s="80">
        <f t="shared" si="16"/>
        <v>3930.4527968779635</v>
      </c>
      <c r="G50" s="80">
        <f t="shared" si="17"/>
        <v>8928.1785000000018</v>
      </c>
      <c r="H50" s="80">
        <f t="shared" si="18"/>
        <v>9578.978000000001</v>
      </c>
      <c r="I50" s="80">
        <f t="shared" si="19"/>
        <v>1129.1195000000002</v>
      </c>
      <c r="J50" s="80">
        <f t="shared" si="20"/>
        <v>1835.7217500000006</v>
      </c>
      <c r="K50" s="80">
        <f t="shared" si="21"/>
        <v>1835.7217500000006</v>
      </c>
      <c r="L50" s="80">
        <f t="shared" si="22"/>
        <v>2337.1947500000006</v>
      </c>
      <c r="M50" s="80">
        <f t="shared" si="23"/>
        <v>2337.1947500000006</v>
      </c>
      <c r="N50" s="80">
        <f t="shared" si="24"/>
        <v>2337.1947500000006</v>
      </c>
      <c r="O50" s="80">
        <f>SUM(Table311[[#This Row],[Payment 2 - 12/15/22]:[Payment 11 -2031]])</f>
        <v>44549.107546877967</v>
      </c>
    </row>
    <row r="51" spans="1:15" x14ac:dyDescent="0.3">
      <c r="A51" s="1" t="s">
        <v>437</v>
      </c>
      <c r="B51" s="1">
        <v>3.0405599684153559E-2</v>
      </c>
      <c r="C51" s="1">
        <v>67</v>
      </c>
      <c r="E51" s="80">
        <f t="shared" si="15"/>
        <v>140921.07458066396</v>
      </c>
      <c r="F51" s="80">
        <f t="shared" si="16"/>
        <v>53778.498443699871</v>
      </c>
      <c r="G51" s="80">
        <f t="shared" si="17"/>
        <v>122159.97962084996</v>
      </c>
      <c r="H51" s="80">
        <f t="shared" si="18"/>
        <v>131064.55670309124</v>
      </c>
      <c r="I51" s="80">
        <f t="shared" si="19"/>
        <v>15449.199980657229</v>
      </c>
      <c r="J51" s="80">
        <f t="shared" si="20"/>
        <v>25117.299297897222</v>
      </c>
      <c r="K51" s="80">
        <f t="shared" si="21"/>
        <v>25117.299297897222</v>
      </c>
      <c r="L51" s="80">
        <f t="shared" si="22"/>
        <v>31978.71357858241</v>
      </c>
      <c r="M51" s="80">
        <f t="shared" si="23"/>
        <v>31978.71357858241</v>
      </c>
      <c r="N51" s="80">
        <f t="shared" si="24"/>
        <v>31978.71357858241</v>
      </c>
      <c r="O51" s="80">
        <f>SUM(Table311[[#This Row],[Payment 2 - 12/15/22]:[Payment 11 -2031]])</f>
        <v>609544.04866050393</v>
      </c>
    </row>
    <row r="52" spans="1:15" x14ac:dyDescent="0.3">
      <c r="A52" s="1" t="s">
        <v>248</v>
      </c>
      <c r="B52" s="1">
        <v>3.7431457946075969E-2</v>
      </c>
      <c r="C52" s="1">
        <v>68</v>
      </c>
      <c r="E52" s="80">
        <f t="shared" si="15"/>
        <v>173483.87572276895</v>
      </c>
      <c r="F52" s="80">
        <f t="shared" si="16"/>
        <v>66205.160358918351</v>
      </c>
      <c r="G52" s="80">
        <f t="shared" si="17"/>
        <v>150387.63212601433</v>
      </c>
      <c r="H52" s="80">
        <f t="shared" si="18"/>
        <v>161349.80047802409</v>
      </c>
      <c r="I52" s="80">
        <f t="shared" si="19"/>
        <v>19019.065086154944</v>
      </c>
      <c r="J52" s="80">
        <f t="shared" si="20"/>
        <v>30921.183668619895</v>
      </c>
      <c r="K52" s="80">
        <f t="shared" si="21"/>
        <v>30921.183668619895</v>
      </c>
      <c r="L52" s="80">
        <f t="shared" si="22"/>
        <v>39368.073148386538</v>
      </c>
      <c r="M52" s="80">
        <f t="shared" si="23"/>
        <v>39368.073148386538</v>
      </c>
      <c r="N52" s="80">
        <f t="shared" si="24"/>
        <v>39368.073148386538</v>
      </c>
      <c r="O52" s="80">
        <f>SUM(Table311[[#This Row],[Payment 2 - 12/15/22]:[Payment 11 -2031]])</f>
        <v>750392.12055428023</v>
      </c>
    </row>
    <row r="53" spans="1:15" x14ac:dyDescent="0.3">
      <c r="A53" s="1" t="s">
        <v>249</v>
      </c>
      <c r="B53" s="1">
        <v>3.3395698144633425E-2</v>
      </c>
      <c r="C53" s="1">
        <v>69</v>
      </c>
      <c r="E53" s="80">
        <f t="shared" si="15"/>
        <v>154779.30768673276</v>
      </c>
      <c r="F53" s="80">
        <f t="shared" si="16"/>
        <v>59067.096829319984</v>
      </c>
      <c r="G53" s="80">
        <f t="shared" si="17"/>
        <v>134173.23937533272</v>
      </c>
      <c r="H53" s="80">
        <f t="shared" si="18"/>
        <v>143953.49601993797</v>
      </c>
      <c r="I53" s="80">
        <f t="shared" si="19"/>
        <v>16968.48029604874</v>
      </c>
      <c r="J53" s="80">
        <f t="shared" si="20"/>
        <v>27587.344248242203</v>
      </c>
      <c r="K53" s="80">
        <f t="shared" si="21"/>
        <v>27587.344248242203</v>
      </c>
      <c r="L53" s="80">
        <f t="shared" si="22"/>
        <v>35123.512669299889</v>
      </c>
      <c r="M53" s="80">
        <f t="shared" si="23"/>
        <v>35123.512669299889</v>
      </c>
      <c r="N53" s="80">
        <f t="shared" si="24"/>
        <v>35123.512669299889</v>
      </c>
      <c r="O53" s="80">
        <f>SUM(Table311[[#This Row],[Payment 2 - 12/15/22]:[Payment 11 -2031]])</f>
        <v>669486.84671175608</v>
      </c>
    </row>
    <row r="54" spans="1:15" x14ac:dyDescent="0.3">
      <c r="A54" s="1" t="s">
        <v>250</v>
      </c>
      <c r="B54" s="1">
        <v>2.168511676864519E-2</v>
      </c>
      <c r="C54" s="1">
        <v>70</v>
      </c>
      <c r="E54" s="80">
        <f t="shared" si="15"/>
        <v>100504.18308431815</v>
      </c>
      <c r="F54" s="80">
        <f t="shared" si="16"/>
        <v>38354.547534276011</v>
      </c>
      <c r="G54" s="80">
        <f t="shared" si="17"/>
        <v>87123.866986713358</v>
      </c>
      <c r="H54" s="80">
        <f t="shared" si="18"/>
        <v>93474.5654044275</v>
      </c>
      <c r="I54" s="80">
        <f t="shared" si="19"/>
        <v>11018.289691464423</v>
      </c>
      <c r="J54" s="80">
        <f t="shared" si="20"/>
        <v>17913.528226571263</v>
      </c>
      <c r="K54" s="80">
        <f t="shared" si="21"/>
        <v>17913.528226571263</v>
      </c>
      <c r="L54" s="80">
        <f t="shared" si="22"/>
        <v>22807.053479166527</v>
      </c>
      <c r="M54" s="80">
        <f t="shared" si="23"/>
        <v>22807.053479166527</v>
      </c>
      <c r="N54" s="80">
        <f t="shared" si="24"/>
        <v>22807.053479166527</v>
      </c>
      <c r="O54" s="80">
        <f>SUM(Table311[[#This Row],[Payment 2 - 12/15/22]:[Payment 11 -2031]])</f>
        <v>434723.66959184158</v>
      </c>
    </row>
    <row r="55" spans="1:15" x14ac:dyDescent="0.3">
      <c r="A55" s="1" t="s">
        <v>251</v>
      </c>
      <c r="B55" s="1">
        <v>2.053334931742154E-2</v>
      </c>
      <c r="C55" s="1">
        <v>71</v>
      </c>
      <c r="E55" s="80">
        <f t="shared" si="15"/>
        <v>95166.077321580669</v>
      </c>
      <c r="F55" s="80">
        <f t="shared" si="16"/>
        <v>36317.41211426926</v>
      </c>
      <c r="G55" s="80">
        <f t="shared" si="17"/>
        <v>82496.433558956691</v>
      </c>
      <c r="H55" s="80">
        <f t="shared" si="18"/>
        <v>88509.825620053161</v>
      </c>
      <c r="I55" s="80">
        <f t="shared" si="19"/>
        <v>10433.072301575558</v>
      </c>
      <c r="J55" s="80">
        <f t="shared" si="20"/>
        <v>16962.08217405227</v>
      </c>
      <c r="K55" s="80">
        <f t="shared" si="21"/>
        <v>16962.08217405227</v>
      </c>
      <c r="L55" s="80">
        <f t="shared" si="22"/>
        <v>21595.696301067168</v>
      </c>
      <c r="M55" s="80">
        <f t="shared" si="23"/>
        <v>21595.696301067168</v>
      </c>
      <c r="N55" s="80">
        <f t="shared" si="24"/>
        <v>21595.696301067168</v>
      </c>
      <c r="O55" s="80">
        <f>SUM(Table311[[#This Row],[Payment 2 - 12/15/22]:[Payment 11 -2031]])</f>
        <v>411634.0741677414</v>
      </c>
    </row>
    <row r="56" spans="1:15" x14ac:dyDescent="0.3">
      <c r="A56" s="1" t="s">
        <v>382</v>
      </c>
      <c r="B56" s="1">
        <v>1.5682424857628285E-2</v>
      </c>
      <c r="C56" s="1">
        <v>72</v>
      </c>
      <c r="E56" s="80">
        <f t="shared" si="15"/>
        <v>72683.459162927422</v>
      </c>
      <c r="F56" s="80">
        <f t="shared" si="16"/>
        <v>27737.563789572108</v>
      </c>
      <c r="G56" s="80">
        <f t="shared" si="17"/>
        <v>63006.969798784085</v>
      </c>
      <c r="H56" s="80">
        <f t="shared" si="18"/>
        <v>67599.7212140435</v>
      </c>
      <c r="I56" s="80">
        <f t="shared" si="19"/>
        <v>7968.2992713147687</v>
      </c>
      <c r="J56" s="80">
        <f t="shared" si="20"/>
        <v>12954.855781750004</v>
      </c>
      <c r="K56" s="80">
        <f t="shared" si="21"/>
        <v>12954.855781750004</v>
      </c>
      <c r="L56" s="80">
        <f t="shared" si="22"/>
        <v>16493.796470033245</v>
      </c>
      <c r="M56" s="80">
        <f t="shared" si="23"/>
        <v>16493.796470033245</v>
      </c>
      <c r="N56" s="80">
        <f t="shared" si="24"/>
        <v>16493.796470033245</v>
      </c>
      <c r="O56" s="80">
        <f>SUM(Table311[[#This Row],[Payment 2 - 12/15/22]:[Payment 11 -2031]])</f>
        <v>314387.11421024159</v>
      </c>
    </row>
    <row r="57" spans="1:15" x14ac:dyDescent="0.3">
      <c r="A57" s="1" t="s">
        <v>252</v>
      </c>
      <c r="B57" s="1">
        <v>3.0940014611351919E-2</v>
      </c>
      <c r="C57" s="1">
        <v>73</v>
      </c>
      <c r="E57" s="80">
        <f t="shared" si="15"/>
        <v>143397.93169234888</v>
      </c>
      <c r="F57" s="80">
        <f t="shared" si="16"/>
        <v>54723.720134084928</v>
      </c>
      <c r="G57" s="80">
        <f t="shared" si="17"/>
        <v>124307.08795924112</v>
      </c>
      <c r="H57" s="80">
        <f t="shared" si="18"/>
        <v>133368.17367681835</v>
      </c>
      <c r="I57" s="80">
        <f t="shared" si="19"/>
        <v>15720.738222583066</v>
      </c>
      <c r="J57" s="80">
        <f t="shared" si="20"/>
        <v>25558.765995319434</v>
      </c>
      <c r="K57" s="80">
        <f t="shared" si="21"/>
        <v>25558.765995319434</v>
      </c>
      <c r="L57" s="80">
        <f t="shared" si="22"/>
        <v>32540.777871558745</v>
      </c>
      <c r="M57" s="80">
        <f t="shared" si="23"/>
        <v>32540.777871558745</v>
      </c>
      <c r="N57" s="80">
        <f t="shared" si="24"/>
        <v>32540.777871558745</v>
      </c>
      <c r="O57" s="80">
        <f>SUM(Table311[[#This Row],[Payment 2 - 12/15/22]:[Payment 11 -2031]])</f>
        <v>620257.51729039161</v>
      </c>
    </row>
    <row r="58" spans="1:15" x14ac:dyDescent="0.3">
      <c r="A58" s="1" t="s">
        <v>253</v>
      </c>
      <c r="B58" s="1">
        <v>1.8118424017057572E-2</v>
      </c>
      <c r="C58" s="1">
        <v>74</v>
      </c>
      <c r="E58" s="80">
        <f t="shared" si="15"/>
        <v>83973.603833327652</v>
      </c>
      <c r="F58" s="80">
        <f t="shared" si="16"/>
        <v>32046.124658789151</v>
      </c>
      <c r="G58" s="80">
        <f t="shared" si="17"/>
        <v>72794.035693339669</v>
      </c>
      <c r="H58" s="80">
        <f t="shared" si="18"/>
        <v>78100.193274329737</v>
      </c>
      <c r="I58" s="80">
        <f t="shared" si="19"/>
        <v>9206.0396401176167</v>
      </c>
      <c r="J58" s="80">
        <f t="shared" si="20"/>
        <v>14967.173269725732</v>
      </c>
      <c r="K58" s="80">
        <f t="shared" si="21"/>
        <v>14967.173269725732</v>
      </c>
      <c r="L58" s="80">
        <f t="shared" si="22"/>
        <v>19055.828470923389</v>
      </c>
      <c r="M58" s="80">
        <f t="shared" si="23"/>
        <v>19055.828470923389</v>
      </c>
      <c r="N58" s="80">
        <f t="shared" si="24"/>
        <v>19055.828470923389</v>
      </c>
      <c r="O58" s="80">
        <f>SUM(Table311[[#This Row],[Payment 2 - 12/15/22]:[Payment 11 -2031]])</f>
        <v>363221.82905212557</v>
      </c>
    </row>
    <row r="59" spans="1:15" x14ac:dyDescent="0.3">
      <c r="A59" s="1" t="s">
        <v>254</v>
      </c>
      <c r="B59" s="1">
        <v>1.6581306000068134E-2</v>
      </c>
      <c r="C59" s="1">
        <v>75</v>
      </c>
      <c r="E59" s="80">
        <f t="shared" si="15"/>
        <v>76849.510739898469</v>
      </c>
      <c r="F59" s="80">
        <f t="shared" si="16"/>
        <v>29327.418244735713</v>
      </c>
      <c r="G59" s="80">
        <f t="shared" si="17"/>
        <v>66618.386879278187</v>
      </c>
      <c r="H59" s="80">
        <f t="shared" si="18"/>
        <v>71474.384423664291</v>
      </c>
      <c r="I59" s="80">
        <f t="shared" si="19"/>
        <v>8425.0241730647685</v>
      </c>
      <c r="J59" s="80">
        <f t="shared" si="20"/>
        <v>13697.39883047876</v>
      </c>
      <c r="K59" s="80">
        <f t="shared" si="21"/>
        <v>13697.39883047876</v>
      </c>
      <c r="L59" s="80">
        <f t="shared" si="22"/>
        <v>17439.183599176235</v>
      </c>
      <c r="M59" s="80">
        <f t="shared" si="23"/>
        <v>17439.183599176235</v>
      </c>
      <c r="N59" s="80">
        <f t="shared" si="24"/>
        <v>17439.183599176235</v>
      </c>
      <c r="O59" s="80">
        <f>SUM(Table311[[#This Row],[Payment 2 - 12/15/22]:[Payment 11 -2031]])</f>
        <v>332407.07291912765</v>
      </c>
    </row>
    <row r="60" spans="1:15" x14ac:dyDescent="0.3">
      <c r="A60" s="1" t="s">
        <v>255</v>
      </c>
      <c r="B60" s="1">
        <v>2.4828363901541257E-2</v>
      </c>
      <c r="C60" s="1">
        <v>76</v>
      </c>
      <c r="E60" s="80">
        <f t="shared" si="15"/>
        <v>115072.21555996627</v>
      </c>
      <c r="F60" s="80">
        <f t="shared" si="16"/>
        <v>43914.020552422502</v>
      </c>
      <c r="G60" s="80">
        <f t="shared" si="17"/>
        <v>99752.429149162534</v>
      </c>
      <c r="H60" s="80">
        <f t="shared" si="18"/>
        <v>107023.65821498603</v>
      </c>
      <c r="I60" s="80">
        <f t="shared" si="19"/>
        <v>12615.385425446841</v>
      </c>
      <c r="J60" s="80">
        <f t="shared" si="20"/>
        <v>20510.085433938366</v>
      </c>
      <c r="K60" s="80">
        <f t="shared" si="21"/>
        <v>20510.085433938366</v>
      </c>
      <c r="L60" s="80">
        <f t="shared" si="22"/>
        <v>26112.924792797283</v>
      </c>
      <c r="M60" s="80">
        <f t="shared" si="23"/>
        <v>26112.924792797283</v>
      </c>
      <c r="N60" s="80">
        <f t="shared" si="24"/>
        <v>26112.924792797283</v>
      </c>
      <c r="O60" s="80">
        <f>SUM(Table311[[#This Row],[Payment 2 - 12/15/22]:[Payment 11 -2031]])</f>
        <v>497736.65414825286</v>
      </c>
    </row>
    <row r="61" spans="1:15" x14ac:dyDescent="0.3">
      <c r="A61" s="1" t="s">
        <v>256</v>
      </c>
      <c r="B61" s="1">
        <v>4.6641544890660292E-3</v>
      </c>
      <c r="C61" s="1">
        <v>77</v>
      </c>
      <c r="E61" s="80">
        <f t="shared" si="15"/>
        <v>21616.993890502512</v>
      </c>
      <c r="F61" s="80">
        <f t="shared" si="16"/>
        <v>8249.507575479216</v>
      </c>
      <c r="G61" s="80">
        <f t="shared" si="17"/>
        <v>18739.081723481013</v>
      </c>
      <c r="H61" s="80">
        <f t="shared" si="18"/>
        <v>20105.024957714129</v>
      </c>
      <c r="I61" s="80">
        <f t="shared" si="19"/>
        <v>2369.8745030776454</v>
      </c>
      <c r="J61" s="80">
        <f t="shared" si="20"/>
        <v>3852.9404284223915</v>
      </c>
      <c r="K61" s="80">
        <f t="shared" si="21"/>
        <v>3852.9404284223915</v>
      </c>
      <c r="L61" s="80">
        <f t="shared" si="22"/>
        <v>4905.4668232653248</v>
      </c>
      <c r="M61" s="80">
        <f t="shared" si="23"/>
        <v>4905.4668232653248</v>
      </c>
      <c r="N61" s="80">
        <f t="shared" si="24"/>
        <v>4905.4668232653248</v>
      </c>
      <c r="O61" s="80">
        <f>SUM(Table311[[#This Row],[Payment 2 - 12/15/22]:[Payment 11 -2031]])</f>
        <v>93502.76397689525</v>
      </c>
    </row>
    <row r="62" spans="1:15" x14ac:dyDescent="0.3">
      <c r="A62" s="1" t="s">
        <v>377</v>
      </c>
      <c r="B62" s="1">
        <v>8.8888888888888904E-4</v>
      </c>
      <c r="C62" s="1">
        <v>78</v>
      </c>
      <c r="E62" s="80">
        <f t="shared" si="15"/>
        <v>4119.7403999999997</v>
      </c>
      <c r="F62" s="80">
        <f t="shared" si="16"/>
        <v>1572.1811187511853</v>
      </c>
      <c r="G62" s="80">
        <f t="shared" si="17"/>
        <v>3571.2714000000005</v>
      </c>
      <c r="H62" s="80">
        <f t="shared" si="18"/>
        <v>3831.5912000000003</v>
      </c>
      <c r="I62" s="80">
        <f t="shared" si="19"/>
        <v>451.64780000000002</v>
      </c>
      <c r="J62" s="80">
        <f t="shared" si="20"/>
        <v>734.28870000000018</v>
      </c>
      <c r="K62" s="80">
        <f t="shared" si="21"/>
        <v>734.28870000000018</v>
      </c>
      <c r="L62" s="80">
        <f t="shared" si="22"/>
        <v>934.87790000000007</v>
      </c>
      <c r="M62" s="80">
        <f t="shared" si="23"/>
        <v>934.87790000000007</v>
      </c>
      <c r="N62" s="80">
        <f t="shared" si="24"/>
        <v>934.87790000000007</v>
      </c>
      <c r="O62" s="80">
        <f>SUM(Table311[[#This Row],[Payment 2 - 12/15/22]:[Payment 11 -2031]])</f>
        <v>17819.643018751187</v>
      </c>
    </row>
    <row r="63" spans="1:15" x14ac:dyDescent="0.3">
      <c r="A63" s="1" t="s">
        <v>376</v>
      </c>
      <c r="B63" s="1">
        <v>8.8888888888888906E-3</v>
      </c>
      <c r="C63" s="1">
        <v>79</v>
      </c>
      <c r="E63" s="80">
        <f t="shared" si="15"/>
        <v>41197.404000000002</v>
      </c>
      <c r="F63" s="80">
        <f t="shared" si="16"/>
        <v>15721.811187511854</v>
      </c>
      <c r="G63" s="80">
        <f t="shared" si="17"/>
        <v>35712.714000000007</v>
      </c>
      <c r="H63" s="80">
        <f t="shared" si="18"/>
        <v>38315.912000000004</v>
      </c>
      <c r="I63" s="80">
        <f t="shared" si="19"/>
        <v>4516.478000000001</v>
      </c>
      <c r="J63" s="80">
        <f t="shared" si="20"/>
        <v>7342.8870000000024</v>
      </c>
      <c r="K63" s="80">
        <f t="shared" si="21"/>
        <v>7342.8870000000024</v>
      </c>
      <c r="L63" s="80">
        <f t="shared" si="22"/>
        <v>9348.7790000000023</v>
      </c>
      <c r="M63" s="80">
        <f t="shared" si="23"/>
        <v>9348.7790000000023</v>
      </c>
      <c r="N63" s="80">
        <f t="shared" si="24"/>
        <v>9348.7790000000023</v>
      </c>
      <c r="O63" s="80">
        <f>SUM(Table311[[#This Row],[Payment 2 - 12/15/22]:[Payment 11 -2031]])</f>
        <v>178196.43018751187</v>
      </c>
    </row>
    <row r="64" spans="1:15" x14ac:dyDescent="0.3">
      <c r="A64" s="1" t="s">
        <v>375</v>
      </c>
      <c r="B64" s="1">
        <v>4.4444444444444453E-3</v>
      </c>
      <c r="C64" s="1">
        <v>80</v>
      </c>
      <c r="E64" s="80">
        <f t="shared" si="15"/>
        <v>20598.702000000001</v>
      </c>
      <c r="F64" s="80">
        <f t="shared" si="16"/>
        <v>7860.9055937559269</v>
      </c>
      <c r="G64" s="80">
        <f t="shared" si="17"/>
        <v>17856.357000000004</v>
      </c>
      <c r="H64" s="80">
        <f t="shared" si="18"/>
        <v>19157.956000000002</v>
      </c>
      <c r="I64" s="80">
        <f t="shared" si="19"/>
        <v>2258.2390000000005</v>
      </c>
      <c r="J64" s="80">
        <f t="shared" si="20"/>
        <v>3671.4435000000012</v>
      </c>
      <c r="K64" s="80">
        <f t="shared" si="21"/>
        <v>3671.4435000000012</v>
      </c>
      <c r="L64" s="80">
        <f t="shared" si="22"/>
        <v>4674.3895000000011</v>
      </c>
      <c r="M64" s="80">
        <f t="shared" si="23"/>
        <v>4674.3895000000011</v>
      </c>
      <c r="N64" s="80">
        <f t="shared" si="24"/>
        <v>4674.3895000000011</v>
      </c>
      <c r="O64" s="80">
        <f>SUM(Table311[[#This Row],[Payment 2 - 12/15/22]:[Payment 11 -2031]])</f>
        <v>89098.215093755935</v>
      </c>
    </row>
    <row r="65" spans="1:15" x14ac:dyDescent="0.3">
      <c r="A65" s="1" t="s">
        <v>374</v>
      </c>
      <c r="B65" s="1">
        <v>4.4444444444444453E-3</v>
      </c>
      <c r="C65" s="1">
        <v>81</v>
      </c>
      <c r="E65" s="80">
        <f t="shared" si="15"/>
        <v>20598.702000000001</v>
      </c>
      <c r="F65" s="80">
        <f t="shared" si="16"/>
        <v>7860.9055937559269</v>
      </c>
      <c r="G65" s="80">
        <f t="shared" si="17"/>
        <v>17856.357000000004</v>
      </c>
      <c r="H65" s="80">
        <f t="shared" si="18"/>
        <v>19157.956000000002</v>
      </c>
      <c r="I65" s="80">
        <f t="shared" si="19"/>
        <v>2258.2390000000005</v>
      </c>
      <c r="J65" s="80">
        <f t="shared" si="20"/>
        <v>3671.4435000000012</v>
      </c>
      <c r="K65" s="80">
        <f t="shared" si="21"/>
        <v>3671.4435000000012</v>
      </c>
      <c r="L65" s="80">
        <f t="shared" si="22"/>
        <v>4674.3895000000011</v>
      </c>
      <c r="M65" s="80">
        <f t="shared" si="23"/>
        <v>4674.3895000000011</v>
      </c>
      <c r="N65" s="80">
        <f t="shared" si="24"/>
        <v>4674.3895000000011</v>
      </c>
      <c r="O65" s="80">
        <f>SUM(Table311[[#This Row],[Payment 2 - 12/15/22]:[Payment 11 -2031]])</f>
        <v>89098.215093755935</v>
      </c>
    </row>
    <row r="66" spans="1:15" x14ac:dyDescent="0.3">
      <c r="A66" s="1" t="s">
        <v>373</v>
      </c>
      <c r="B66" s="1">
        <v>8.8888888888888904E-4</v>
      </c>
      <c r="C66" s="1">
        <v>82</v>
      </c>
      <c r="E66" s="80">
        <f t="shared" si="15"/>
        <v>4119.7403999999997</v>
      </c>
      <c r="F66" s="80">
        <f t="shared" si="16"/>
        <v>1572.1811187511853</v>
      </c>
      <c r="G66" s="80">
        <f t="shared" si="17"/>
        <v>3571.2714000000005</v>
      </c>
      <c r="H66" s="80">
        <f t="shared" si="18"/>
        <v>3831.5912000000003</v>
      </c>
      <c r="I66" s="80">
        <f t="shared" si="19"/>
        <v>451.64780000000002</v>
      </c>
      <c r="J66" s="80">
        <f t="shared" si="20"/>
        <v>734.28870000000018</v>
      </c>
      <c r="K66" s="80">
        <f t="shared" si="21"/>
        <v>734.28870000000018</v>
      </c>
      <c r="L66" s="80">
        <f t="shared" si="22"/>
        <v>934.87790000000007</v>
      </c>
      <c r="M66" s="80">
        <f t="shared" si="23"/>
        <v>934.87790000000007</v>
      </c>
      <c r="N66" s="80">
        <f t="shared" si="24"/>
        <v>934.87790000000007</v>
      </c>
      <c r="O66" s="80">
        <f>SUM(Table311[[#This Row],[Payment 2 - 12/15/22]:[Payment 11 -2031]])</f>
        <v>17819.643018751187</v>
      </c>
    </row>
    <row r="67" spans="1:15" x14ac:dyDescent="0.3">
      <c r="A67" s="1" t="s">
        <v>372</v>
      </c>
      <c r="B67" s="1">
        <v>2.2222222222222227E-3</v>
      </c>
      <c r="C67" s="1">
        <v>83</v>
      </c>
      <c r="E67" s="80">
        <f t="shared" si="15"/>
        <v>10299.351000000001</v>
      </c>
      <c r="F67" s="80">
        <f t="shared" si="16"/>
        <v>3930.4527968779635</v>
      </c>
      <c r="G67" s="80">
        <f t="shared" si="17"/>
        <v>8928.1785000000018</v>
      </c>
      <c r="H67" s="80">
        <f t="shared" si="18"/>
        <v>9578.978000000001</v>
      </c>
      <c r="I67" s="80">
        <f t="shared" si="19"/>
        <v>1129.1195000000002</v>
      </c>
      <c r="J67" s="80">
        <f t="shared" si="20"/>
        <v>1835.7217500000006</v>
      </c>
      <c r="K67" s="80">
        <f t="shared" si="21"/>
        <v>1835.7217500000006</v>
      </c>
      <c r="L67" s="80">
        <f t="shared" si="22"/>
        <v>2337.1947500000006</v>
      </c>
      <c r="M67" s="80">
        <f t="shared" si="23"/>
        <v>2337.1947500000006</v>
      </c>
      <c r="N67" s="80">
        <f t="shared" si="24"/>
        <v>2337.1947500000006</v>
      </c>
      <c r="O67" s="80">
        <f>SUM(Table311[[#This Row],[Payment 2 - 12/15/22]:[Payment 11 -2031]])</f>
        <v>44549.107546877967</v>
      </c>
    </row>
    <row r="68" spans="1:15" x14ac:dyDescent="0.3">
      <c r="A68" s="1" t="s">
        <v>371</v>
      </c>
      <c r="B68" s="1">
        <v>8.8888888888888904E-4</v>
      </c>
      <c r="C68" s="1">
        <v>84</v>
      </c>
      <c r="E68" s="80">
        <f t="shared" si="15"/>
        <v>4119.7403999999997</v>
      </c>
      <c r="F68" s="80">
        <f t="shared" si="16"/>
        <v>1572.1811187511853</v>
      </c>
      <c r="G68" s="80">
        <f t="shared" si="17"/>
        <v>3571.2714000000005</v>
      </c>
      <c r="H68" s="80">
        <f t="shared" si="18"/>
        <v>3831.5912000000003</v>
      </c>
      <c r="I68" s="80">
        <f t="shared" si="19"/>
        <v>451.64780000000002</v>
      </c>
      <c r="J68" s="80">
        <f t="shared" si="20"/>
        <v>734.28870000000018</v>
      </c>
      <c r="K68" s="80">
        <f t="shared" si="21"/>
        <v>734.28870000000018</v>
      </c>
      <c r="L68" s="80">
        <f t="shared" si="22"/>
        <v>934.87790000000007</v>
      </c>
      <c r="M68" s="80">
        <f t="shared" si="23"/>
        <v>934.87790000000007</v>
      </c>
      <c r="N68" s="80">
        <f t="shared" si="24"/>
        <v>934.87790000000007</v>
      </c>
      <c r="O68" s="80">
        <f>SUM(Table311[[#This Row],[Payment 2 - 12/15/22]:[Payment 11 -2031]])</f>
        <v>17819.643018751187</v>
      </c>
    </row>
    <row r="69" spans="1:15" x14ac:dyDescent="0.3">
      <c r="A69" s="1" t="s">
        <v>370</v>
      </c>
      <c r="B69" s="1">
        <v>8.8888888888888904E-4</v>
      </c>
      <c r="C69" s="1">
        <v>85</v>
      </c>
      <c r="E69" s="80">
        <f t="shared" si="15"/>
        <v>4119.7403999999997</v>
      </c>
      <c r="F69" s="80">
        <f t="shared" si="16"/>
        <v>1572.1811187511853</v>
      </c>
      <c r="G69" s="80">
        <f t="shared" si="17"/>
        <v>3571.2714000000005</v>
      </c>
      <c r="H69" s="80">
        <f t="shared" si="18"/>
        <v>3831.5912000000003</v>
      </c>
      <c r="I69" s="80">
        <f t="shared" si="19"/>
        <v>451.64780000000002</v>
      </c>
      <c r="J69" s="80">
        <f t="shared" si="20"/>
        <v>734.28870000000018</v>
      </c>
      <c r="K69" s="80">
        <f t="shared" si="21"/>
        <v>734.28870000000018</v>
      </c>
      <c r="L69" s="80">
        <f t="shared" si="22"/>
        <v>934.87790000000007</v>
      </c>
      <c r="M69" s="80">
        <f t="shared" si="23"/>
        <v>934.87790000000007</v>
      </c>
      <c r="N69" s="80">
        <f t="shared" si="24"/>
        <v>934.87790000000007</v>
      </c>
      <c r="O69" s="80">
        <f>SUM(Table311[[#This Row],[Payment 2 - 12/15/22]:[Payment 11 -2031]])</f>
        <v>17819.643018751187</v>
      </c>
    </row>
    <row r="70" spans="1:15" x14ac:dyDescent="0.3">
      <c r="A70" s="1" t="s">
        <v>436</v>
      </c>
      <c r="B70" s="1">
        <v>2.2222222222222227E-3</v>
      </c>
      <c r="C70" s="1">
        <v>86</v>
      </c>
      <c r="E70" s="80">
        <f t="shared" si="15"/>
        <v>10299.351000000001</v>
      </c>
      <c r="F70" s="80">
        <f t="shared" si="16"/>
        <v>3930.4527968779635</v>
      </c>
      <c r="G70" s="80">
        <f t="shared" si="17"/>
        <v>8928.1785000000018</v>
      </c>
      <c r="H70" s="80">
        <f t="shared" si="18"/>
        <v>9578.978000000001</v>
      </c>
      <c r="I70" s="80">
        <f t="shared" si="19"/>
        <v>1129.1195000000002</v>
      </c>
      <c r="J70" s="80">
        <f t="shared" si="20"/>
        <v>1835.7217500000006</v>
      </c>
      <c r="K70" s="80">
        <f t="shared" si="21"/>
        <v>1835.7217500000006</v>
      </c>
      <c r="L70" s="80">
        <f t="shared" si="22"/>
        <v>2337.1947500000006</v>
      </c>
      <c r="M70" s="80">
        <f t="shared" si="23"/>
        <v>2337.1947500000006</v>
      </c>
      <c r="N70" s="80">
        <f t="shared" si="24"/>
        <v>2337.1947500000006</v>
      </c>
      <c r="O70" s="80">
        <f>SUM(Table311[[#This Row],[Payment 2 - 12/15/22]:[Payment 11 -2031]])</f>
        <v>44549.107546877967</v>
      </c>
    </row>
    <row r="71" spans="1:15" x14ac:dyDescent="0.3">
      <c r="A71" s="1" t="s">
        <v>368</v>
      </c>
      <c r="B71" s="1">
        <v>8.8888888888888904E-4</v>
      </c>
      <c r="C71" s="1">
        <v>87</v>
      </c>
      <c r="E71" s="80">
        <f t="shared" si="15"/>
        <v>4119.7403999999997</v>
      </c>
      <c r="F71" s="80">
        <f t="shared" si="16"/>
        <v>1572.1811187511853</v>
      </c>
      <c r="G71" s="80">
        <f t="shared" si="17"/>
        <v>3571.2714000000005</v>
      </c>
      <c r="H71" s="80">
        <f t="shared" si="18"/>
        <v>3831.5912000000003</v>
      </c>
      <c r="I71" s="80">
        <f t="shared" si="19"/>
        <v>451.64780000000002</v>
      </c>
      <c r="J71" s="80">
        <f t="shared" si="20"/>
        <v>734.28870000000018</v>
      </c>
      <c r="K71" s="80">
        <f t="shared" si="21"/>
        <v>734.28870000000018</v>
      </c>
      <c r="L71" s="80">
        <f t="shared" si="22"/>
        <v>934.87790000000007</v>
      </c>
      <c r="M71" s="80">
        <f t="shared" si="23"/>
        <v>934.87790000000007</v>
      </c>
      <c r="N71" s="80">
        <f t="shared" si="24"/>
        <v>934.87790000000007</v>
      </c>
      <c r="O71" s="80">
        <f>SUM(Table311[[#This Row],[Payment 2 - 12/15/22]:[Payment 11 -2031]])</f>
        <v>17819.643018751187</v>
      </c>
    </row>
    <row r="72" spans="1:15" x14ac:dyDescent="0.3">
      <c r="A72" s="1" t="s">
        <v>367</v>
      </c>
      <c r="B72" s="1">
        <v>2.2222222222222227E-3</v>
      </c>
      <c r="C72" s="1">
        <v>88</v>
      </c>
      <c r="E72" s="80">
        <f t="shared" si="15"/>
        <v>10299.351000000001</v>
      </c>
      <c r="F72" s="80">
        <f t="shared" si="16"/>
        <v>3930.4527968779635</v>
      </c>
      <c r="G72" s="80">
        <f t="shared" si="17"/>
        <v>8928.1785000000018</v>
      </c>
      <c r="H72" s="80">
        <f t="shared" si="18"/>
        <v>9578.978000000001</v>
      </c>
      <c r="I72" s="80">
        <f t="shared" si="19"/>
        <v>1129.1195000000002</v>
      </c>
      <c r="J72" s="80">
        <f t="shared" si="20"/>
        <v>1835.7217500000006</v>
      </c>
      <c r="K72" s="80">
        <f t="shared" si="21"/>
        <v>1835.7217500000006</v>
      </c>
      <c r="L72" s="80">
        <f t="shared" si="22"/>
        <v>2337.1947500000006</v>
      </c>
      <c r="M72" s="80">
        <f t="shared" si="23"/>
        <v>2337.1947500000006</v>
      </c>
      <c r="N72" s="80">
        <f t="shared" si="24"/>
        <v>2337.1947500000006</v>
      </c>
      <c r="O72" s="80">
        <f>SUM(Table311[[#This Row],[Payment 2 - 12/15/22]:[Payment 11 -2031]])</f>
        <v>44549.107546877967</v>
      </c>
    </row>
    <row r="73" spans="1:15" x14ac:dyDescent="0.3">
      <c r="A73" s="1" t="s">
        <v>366</v>
      </c>
      <c r="B73" s="1">
        <v>2.2222222222222227E-3</v>
      </c>
      <c r="C73" s="1">
        <v>89</v>
      </c>
      <c r="E73" s="80">
        <f t="shared" si="15"/>
        <v>10299.351000000001</v>
      </c>
      <c r="F73" s="80">
        <f t="shared" si="16"/>
        <v>3930.4527968779635</v>
      </c>
      <c r="G73" s="80">
        <f t="shared" si="17"/>
        <v>8928.1785000000018</v>
      </c>
      <c r="H73" s="80">
        <f t="shared" si="18"/>
        <v>9578.978000000001</v>
      </c>
      <c r="I73" s="80">
        <f t="shared" si="19"/>
        <v>1129.1195000000002</v>
      </c>
      <c r="J73" s="80">
        <f t="shared" si="20"/>
        <v>1835.7217500000006</v>
      </c>
      <c r="K73" s="80">
        <f t="shared" si="21"/>
        <v>1835.7217500000006</v>
      </c>
      <c r="L73" s="80">
        <f t="shared" si="22"/>
        <v>2337.1947500000006</v>
      </c>
      <c r="M73" s="80">
        <f t="shared" si="23"/>
        <v>2337.1947500000006</v>
      </c>
      <c r="N73" s="80">
        <f t="shared" si="24"/>
        <v>2337.1947500000006</v>
      </c>
      <c r="O73" s="80">
        <f>SUM(Table311[[#This Row],[Payment 2 - 12/15/22]:[Payment 11 -2031]])</f>
        <v>44549.107546877967</v>
      </c>
    </row>
    <row r="74" spans="1:15" x14ac:dyDescent="0.3">
      <c r="A74" s="1" t="s">
        <v>365</v>
      </c>
      <c r="B74" s="1">
        <v>2.2222222222222227E-3</v>
      </c>
      <c r="C74" s="1">
        <v>90</v>
      </c>
      <c r="E74" s="80">
        <f t="shared" si="15"/>
        <v>10299.351000000001</v>
      </c>
      <c r="F74" s="80">
        <f t="shared" si="16"/>
        <v>3930.4527968779635</v>
      </c>
      <c r="G74" s="80">
        <f t="shared" si="17"/>
        <v>8928.1785000000018</v>
      </c>
      <c r="H74" s="80">
        <f t="shared" si="18"/>
        <v>9578.978000000001</v>
      </c>
      <c r="I74" s="80">
        <f t="shared" si="19"/>
        <v>1129.1195000000002</v>
      </c>
      <c r="J74" s="80">
        <f t="shared" si="20"/>
        <v>1835.7217500000006</v>
      </c>
      <c r="K74" s="80">
        <f t="shared" si="21"/>
        <v>1835.7217500000006</v>
      </c>
      <c r="L74" s="80">
        <f t="shared" si="22"/>
        <v>2337.1947500000006</v>
      </c>
      <c r="M74" s="80">
        <f t="shared" si="23"/>
        <v>2337.1947500000006</v>
      </c>
      <c r="N74" s="80">
        <f t="shared" si="24"/>
        <v>2337.1947500000006</v>
      </c>
      <c r="O74" s="80">
        <f>SUM(Table311[[#This Row],[Payment 2 - 12/15/22]:[Payment 11 -2031]])</f>
        <v>44549.107546877967</v>
      </c>
    </row>
    <row r="75" spans="1:15" x14ac:dyDescent="0.3">
      <c r="A75" s="1" t="s">
        <v>257</v>
      </c>
      <c r="B75" s="1">
        <v>2.2222222222222227E-3</v>
      </c>
      <c r="C75" s="1">
        <v>91</v>
      </c>
      <c r="E75" s="80">
        <f t="shared" si="15"/>
        <v>10299.351000000001</v>
      </c>
      <c r="F75" s="80">
        <f t="shared" si="16"/>
        <v>3930.4527968779635</v>
      </c>
      <c r="G75" s="80">
        <f t="shared" si="17"/>
        <v>8928.1785000000018</v>
      </c>
      <c r="H75" s="80">
        <f t="shared" si="18"/>
        <v>9578.978000000001</v>
      </c>
      <c r="I75" s="80">
        <f t="shared" si="19"/>
        <v>1129.1195000000002</v>
      </c>
      <c r="J75" s="80">
        <f t="shared" si="20"/>
        <v>1835.7217500000006</v>
      </c>
      <c r="K75" s="80">
        <f t="shared" si="21"/>
        <v>1835.7217500000006</v>
      </c>
      <c r="L75" s="80">
        <f t="shared" si="22"/>
        <v>2337.1947500000006</v>
      </c>
      <c r="M75" s="80">
        <f t="shared" si="23"/>
        <v>2337.1947500000006</v>
      </c>
      <c r="N75" s="80">
        <f t="shared" si="24"/>
        <v>2337.1947500000006</v>
      </c>
      <c r="O75" s="80">
        <f>SUM(Table311[[#This Row],[Payment 2 - 12/15/22]:[Payment 11 -2031]])</f>
        <v>44549.107546877967</v>
      </c>
    </row>
    <row r="76" spans="1:15" x14ac:dyDescent="0.3">
      <c r="A76" s="1" t="s">
        <v>258</v>
      </c>
      <c r="B76" s="1">
        <v>2.2222222222222227E-3</v>
      </c>
      <c r="C76" s="1">
        <v>92</v>
      </c>
      <c r="E76" s="80">
        <f t="shared" ref="E76:E97" si="25">B76*$E$9</f>
        <v>10299.351000000001</v>
      </c>
      <c r="F76" s="80">
        <f t="shared" ref="F76:F97" si="26">B76*$F$9</f>
        <v>3930.4527968779635</v>
      </c>
      <c r="G76" s="80">
        <f t="shared" ref="G76:G97" si="27">B76*$G$9</f>
        <v>8928.1785000000018</v>
      </c>
      <c r="H76" s="80">
        <f t="shared" ref="H76:H97" si="28">B76*$H$9</f>
        <v>9578.978000000001</v>
      </c>
      <c r="I76" s="80">
        <f t="shared" ref="I76:I97" si="29">B76*$I$9</f>
        <v>1129.1195000000002</v>
      </c>
      <c r="J76" s="80">
        <f t="shared" ref="J76:J97" si="30">B76*$J$9</f>
        <v>1835.7217500000006</v>
      </c>
      <c r="K76" s="80">
        <f t="shared" ref="K76:K97" si="31">B76*$K$9</f>
        <v>1835.7217500000006</v>
      </c>
      <c r="L76" s="80">
        <f t="shared" ref="L76:L97" si="32">B76*$L$9</f>
        <v>2337.1947500000006</v>
      </c>
      <c r="M76" s="80">
        <f t="shared" ref="M76:M97" si="33">B76*$M$9</f>
        <v>2337.1947500000006</v>
      </c>
      <c r="N76" s="80">
        <f t="shared" ref="N76:N97" si="34">B76*$N$9</f>
        <v>2337.1947500000006</v>
      </c>
      <c r="O76" s="80">
        <f>SUM(Table311[[#This Row],[Payment 2 - 12/15/22]:[Payment 11 -2031]])</f>
        <v>44549.107546877967</v>
      </c>
    </row>
    <row r="77" spans="1:15" x14ac:dyDescent="0.3">
      <c r="A77" s="1" t="s">
        <v>477</v>
      </c>
      <c r="B77" s="1">
        <v>8.8888888888888904E-4</v>
      </c>
      <c r="C77" s="1">
        <v>93</v>
      </c>
      <c r="E77" s="80">
        <f t="shared" si="25"/>
        <v>4119.7403999999997</v>
      </c>
      <c r="F77" s="80">
        <f t="shared" si="26"/>
        <v>1572.1811187511853</v>
      </c>
      <c r="G77" s="80">
        <f t="shared" si="27"/>
        <v>3571.2714000000005</v>
      </c>
      <c r="H77" s="80">
        <f t="shared" si="28"/>
        <v>3831.5912000000003</v>
      </c>
      <c r="I77" s="80">
        <f t="shared" si="29"/>
        <v>451.64780000000002</v>
      </c>
      <c r="J77" s="80">
        <f t="shared" si="30"/>
        <v>734.28870000000018</v>
      </c>
      <c r="K77" s="80">
        <f t="shared" si="31"/>
        <v>734.28870000000018</v>
      </c>
      <c r="L77" s="80">
        <f t="shared" si="32"/>
        <v>934.87790000000007</v>
      </c>
      <c r="M77" s="80">
        <f t="shared" si="33"/>
        <v>934.87790000000007</v>
      </c>
      <c r="N77" s="80">
        <f t="shared" si="34"/>
        <v>934.87790000000007</v>
      </c>
      <c r="O77" s="80">
        <f>SUM(Table311[[#This Row],[Payment 2 - 12/15/22]:[Payment 11 -2031]])</f>
        <v>17819.643018751187</v>
      </c>
    </row>
    <row r="78" spans="1:15" x14ac:dyDescent="0.3">
      <c r="A78" s="1" t="s">
        <v>260</v>
      </c>
      <c r="B78" s="1">
        <v>3.0669528160635834E-3</v>
      </c>
      <c r="C78" s="1">
        <v>94</v>
      </c>
      <c r="E78" s="80">
        <f t="shared" si="25"/>
        <v>14214.430598884775</v>
      </c>
      <c r="F78" s="80">
        <f t="shared" si="26"/>
        <v>5424.5309732054347</v>
      </c>
      <c r="G78" s="80">
        <f t="shared" si="27"/>
        <v>12322.035986802002</v>
      </c>
      <c r="H78" s="80">
        <f t="shared" si="28"/>
        <v>13220.22309845</v>
      </c>
      <c r="I78" s="80">
        <f t="shared" si="29"/>
        <v>1558.3303035887873</v>
      </c>
      <c r="J78" s="80">
        <f t="shared" si="30"/>
        <v>2533.5323958022514</v>
      </c>
      <c r="K78" s="80">
        <f t="shared" si="31"/>
        <v>2533.5323958022514</v>
      </c>
      <c r="L78" s="80">
        <f t="shared" si="32"/>
        <v>3225.6297090906851</v>
      </c>
      <c r="M78" s="80">
        <f t="shared" si="33"/>
        <v>3225.6297090906851</v>
      </c>
      <c r="N78" s="80">
        <f t="shared" si="34"/>
        <v>3225.6297090906851</v>
      </c>
      <c r="O78" s="80">
        <f>SUM(Table311[[#This Row],[Payment 2 - 12/15/22]:[Payment 11 -2031]])</f>
        <v>61483.504879807566</v>
      </c>
    </row>
    <row r="79" spans="1:15" x14ac:dyDescent="0.3">
      <c r="A79" s="1" t="s">
        <v>261</v>
      </c>
      <c r="B79" s="1">
        <v>8.8888888888888904E-4</v>
      </c>
      <c r="C79" s="1">
        <v>95</v>
      </c>
      <c r="E79" s="80">
        <f t="shared" si="25"/>
        <v>4119.7403999999997</v>
      </c>
      <c r="F79" s="80">
        <f t="shared" si="26"/>
        <v>1572.1811187511853</v>
      </c>
      <c r="G79" s="80">
        <f t="shared" si="27"/>
        <v>3571.2714000000005</v>
      </c>
      <c r="H79" s="80">
        <f t="shared" si="28"/>
        <v>3831.5912000000003</v>
      </c>
      <c r="I79" s="80">
        <f t="shared" si="29"/>
        <v>451.64780000000002</v>
      </c>
      <c r="J79" s="80">
        <f t="shared" si="30"/>
        <v>734.28870000000018</v>
      </c>
      <c r="K79" s="80">
        <f t="shared" si="31"/>
        <v>734.28870000000018</v>
      </c>
      <c r="L79" s="80">
        <f t="shared" si="32"/>
        <v>934.87790000000007</v>
      </c>
      <c r="M79" s="80">
        <f t="shared" si="33"/>
        <v>934.87790000000007</v>
      </c>
      <c r="N79" s="80">
        <f t="shared" si="34"/>
        <v>934.87790000000007</v>
      </c>
      <c r="O79" s="80">
        <f>SUM(Table311[[#This Row],[Payment 2 - 12/15/22]:[Payment 11 -2031]])</f>
        <v>17819.643018751187</v>
      </c>
    </row>
    <row r="80" spans="1:15" x14ac:dyDescent="0.3">
      <c r="A80" s="1" t="s">
        <v>262</v>
      </c>
      <c r="B80" s="1">
        <v>2.2222222222222227E-3</v>
      </c>
      <c r="C80" s="1">
        <v>96</v>
      </c>
      <c r="E80" s="80">
        <f t="shared" si="25"/>
        <v>10299.351000000001</v>
      </c>
      <c r="F80" s="80">
        <f t="shared" si="26"/>
        <v>3930.4527968779635</v>
      </c>
      <c r="G80" s="80">
        <f t="shared" si="27"/>
        <v>8928.1785000000018</v>
      </c>
      <c r="H80" s="80">
        <f t="shared" si="28"/>
        <v>9578.978000000001</v>
      </c>
      <c r="I80" s="80">
        <f t="shared" si="29"/>
        <v>1129.1195000000002</v>
      </c>
      <c r="J80" s="80">
        <f t="shared" si="30"/>
        <v>1835.7217500000006</v>
      </c>
      <c r="K80" s="80">
        <f t="shared" si="31"/>
        <v>1835.7217500000006</v>
      </c>
      <c r="L80" s="80">
        <f t="shared" si="32"/>
        <v>2337.1947500000006</v>
      </c>
      <c r="M80" s="80">
        <f t="shared" si="33"/>
        <v>2337.1947500000006</v>
      </c>
      <c r="N80" s="80">
        <f t="shared" si="34"/>
        <v>2337.1947500000006</v>
      </c>
      <c r="O80" s="80">
        <f>SUM(Table311[[#This Row],[Payment 2 - 12/15/22]:[Payment 11 -2031]])</f>
        <v>44549.107546877967</v>
      </c>
    </row>
    <row r="81" spans="1:15" x14ac:dyDescent="0.3">
      <c r="A81" s="1" t="s">
        <v>263</v>
      </c>
      <c r="B81" s="1">
        <v>2.2222222222222227E-3</v>
      </c>
      <c r="C81" s="1">
        <v>97</v>
      </c>
      <c r="E81" s="80">
        <f t="shared" si="25"/>
        <v>10299.351000000001</v>
      </c>
      <c r="F81" s="80">
        <f t="shared" si="26"/>
        <v>3930.4527968779635</v>
      </c>
      <c r="G81" s="80">
        <f t="shared" si="27"/>
        <v>8928.1785000000018</v>
      </c>
      <c r="H81" s="80">
        <f t="shared" si="28"/>
        <v>9578.978000000001</v>
      </c>
      <c r="I81" s="80">
        <f t="shared" si="29"/>
        <v>1129.1195000000002</v>
      </c>
      <c r="J81" s="80">
        <f t="shared" si="30"/>
        <v>1835.7217500000006</v>
      </c>
      <c r="K81" s="80">
        <f t="shared" si="31"/>
        <v>1835.7217500000006</v>
      </c>
      <c r="L81" s="80">
        <f t="shared" si="32"/>
        <v>2337.1947500000006</v>
      </c>
      <c r="M81" s="80">
        <f t="shared" si="33"/>
        <v>2337.1947500000006</v>
      </c>
      <c r="N81" s="80">
        <f t="shared" si="34"/>
        <v>2337.1947500000006</v>
      </c>
      <c r="O81" s="80">
        <f>SUM(Table311[[#This Row],[Payment 2 - 12/15/22]:[Payment 11 -2031]])</f>
        <v>44549.107546877967</v>
      </c>
    </row>
    <row r="82" spans="1:15" x14ac:dyDescent="0.3">
      <c r="A82" s="1" t="s">
        <v>264</v>
      </c>
      <c r="B82" s="1">
        <v>2.2222222222222227E-3</v>
      </c>
      <c r="C82" s="1">
        <v>98</v>
      </c>
      <c r="E82" s="80">
        <f t="shared" si="25"/>
        <v>10299.351000000001</v>
      </c>
      <c r="F82" s="80">
        <f t="shared" si="26"/>
        <v>3930.4527968779635</v>
      </c>
      <c r="G82" s="80">
        <f t="shared" si="27"/>
        <v>8928.1785000000018</v>
      </c>
      <c r="H82" s="80">
        <f t="shared" si="28"/>
        <v>9578.978000000001</v>
      </c>
      <c r="I82" s="80">
        <f t="shared" si="29"/>
        <v>1129.1195000000002</v>
      </c>
      <c r="J82" s="80">
        <f t="shared" si="30"/>
        <v>1835.7217500000006</v>
      </c>
      <c r="K82" s="80">
        <f t="shared" si="31"/>
        <v>1835.7217500000006</v>
      </c>
      <c r="L82" s="80">
        <f t="shared" si="32"/>
        <v>2337.1947500000006</v>
      </c>
      <c r="M82" s="80">
        <f t="shared" si="33"/>
        <v>2337.1947500000006</v>
      </c>
      <c r="N82" s="80">
        <f t="shared" si="34"/>
        <v>2337.1947500000006</v>
      </c>
      <c r="O82" s="80">
        <f>SUM(Table311[[#This Row],[Payment 2 - 12/15/22]:[Payment 11 -2031]])</f>
        <v>44549.107546877967</v>
      </c>
    </row>
    <row r="83" spans="1:15" x14ac:dyDescent="0.3">
      <c r="A83" s="1" t="s">
        <v>265</v>
      </c>
      <c r="B83" s="1">
        <v>2.3813516348531925E-3</v>
      </c>
      <c r="C83" s="1">
        <v>99</v>
      </c>
      <c r="E83" s="80">
        <f t="shared" si="25"/>
        <v>11036.869353799586</v>
      </c>
      <c r="F83" s="80">
        <f t="shared" si="26"/>
        <v>4211.905587101387</v>
      </c>
      <c r="G83" s="80">
        <f t="shared" si="27"/>
        <v>9567.5096102562547</v>
      </c>
      <c r="H83" s="80">
        <f t="shared" si="28"/>
        <v>10264.911714235242</v>
      </c>
      <c r="I83" s="80">
        <f t="shared" si="29"/>
        <v>1209.9737552713286</v>
      </c>
      <c r="J83" s="80">
        <f t="shared" si="30"/>
        <v>1967.1745457241288</v>
      </c>
      <c r="K83" s="80">
        <f t="shared" si="31"/>
        <v>1967.1745457241288</v>
      </c>
      <c r="L83" s="80">
        <f t="shared" si="32"/>
        <v>2504.5571424972591</v>
      </c>
      <c r="M83" s="80">
        <f t="shared" si="33"/>
        <v>2504.5571424972591</v>
      </c>
      <c r="N83" s="80">
        <f t="shared" si="34"/>
        <v>2504.5571424972591</v>
      </c>
      <c r="O83" s="80">
        <f>SUM(Table311[[#This Row],[Payment 2 - 12/15/22]:[Payment 11 -2031]])</f>
        <v>47739.190539603827</v>
      </c>
    </row>
    <row r="84" spans="1:15" x14ac:dyDescent="0.3">
      <c r="A84" s="1" t="s">
        <v>266</v>
      </c>
      <c r="B84" s="1">
        <v>2.0182401425621197E-2</v>
      </c>
      <c r="C84" s="1">
        <v>100</v>
      </c>
      <c r="E84" s="80">
        <f t="shared" si="25"/>
        <v>93539.536337417885</v>
      </c>
      <c r="F84" s="80">
        <f t="shared" si="26"/>
        <v>35696.689258970975</v>
      </c>
      <c r="G84" s="80">
        <f t="shared" si="27"/>
        <v>81086.437118970236</v>
      </c>
      <c r="H84" s="80">
        <f t="shared" si="28"/>
        <v>86997.050659437329</v>
      </c>
      <c r="I84" s="80">
        <f t="shared" si="29"/>
        <v>10254.754352923512</v>
      </c>
      <c r="J84" s="80">
        <f t="shared" si="30"/>
        <v>16672.17296890973</v>
      </c>
      <c r="K84" s="80">
        <f t="shared" si="31"/>
        <v>16672.17296890973</v>
      </c>
      <c r="L84" s="80">
        <f t="shared" si="32"/>
        <v>21226.59119445947</v>
      </c>
      <c r="M84" s="80">
        <f t="shared" si="33"/>
        <v>21226.59119445947</v>
      </c>
      <c r="N84" s="80">
        <f t="shared" si="34"/>
        <v>21226.59119445947</v>
      </c>
      <c r="O84" s="80">
        <f>SUM(Table311[[#This Row],[Payment 2 - 12/15/22]:[Payment 11 -2031]])</f>
        <v>404598.58724891779</v>
      </c>
    </row>
    <row r="85" spans="1:15" x14ac:dyDescent="0.3">
      <c r="A85" s="1" t="s">
        <v>267</v>
      </c>
      <c r="B85" s="1">
        <v>8.8888888888888904E-4</v>
      </c>
      <c r="C85" s="1">
        <v>101</v>
      </c>
      <c r="E85" s="80">
        <f t="shared" si="25"/>
        <v>4119.7403999999997</v>
      </c>
      <c r="F85" s="80">
        <f t="shared" si="26"/>
        <v>1572.1811187511853</v>
      </c>
      <c r="G85" s="80">
        <f t="shared" si="27"/>
        <v>3571.2714000000005</v>
      </c>
      <c r="H85" s="80">
        <f t="shared" si="28"/>
        <v>3831.5912000000003</v>
      </c>
      <c r="I85" s="80">
        <f t="shared" si="29"/>
        <v>451.64780000000002</v>
      </c>
      <c r="J85" s="80">
        <f t="shared" si="30"/>
        <v>734.28870000000018</v>
      </c>
      <c r="K85" s="80">
        <f t="shared" si="31"/>
        <v>734.28870000000018</v>
      </c>
      <c r="L85" s="80">
        <f t="shared" si="32"/>
        <v>934.87790000000007</v>
      </c>
      <c r="M85" s="80">
        <f t="shared" si="33"/>
        <v>934.87790000000007</v>
      </c>
      <c r="N85" s="80">
        <f t="shared" si="34"/>
        <v>934.87790000000007</v>
      </c>
      <c r="O85" s="80">
        <f>SUM(Table311[[#This Row],[Payment 2 - 12/15/22]:[Payment 11 -2031]])</f>
        <v>17819.643018751187</v>
      </c>
    </row>
    <row r="86" spans="1:15" x14ac:dyDescent="0.3">
      <c r="A86" s="1" t="s">
        <v>268</v>
      </c>
      <c r="B86" s="1">
        <v>2.8099056650786883E-2</v>
      </c>
      <c r="C86" s="1">
        <v>102</v>
      </c>
      <c r="E86" s="80">
        <f t="shared" si="25"/>
        <v>130230.92124690232</v>
      </c>
      <c r="F86" s="80">
        <f t="shared" si="26"/>
        <v>49698.907111222929</v>
      </c>
      <c r="G86" s="80">
        <f t="shared" si="27"/>
        <v>112893.02705692685</v>
      </c>
      <c r="H86" s="80">
        <f t="shared" si="28"/>
        <v>121122.11046538854</v>
      </c>
      <c r="I86" s="80">
        <f t="shared" si="29"/>
        <v>14277.236758203671</v>
      </c>
      <c r="J86" s="80">
        <f t="shared" si="30"/>
        <v>23211.922251749238</v>
      </c>
      <c r="K86" s="80">
        <f t="shared" si="31"/>
        <v>23211.922251749238</v>
      </c>
      <c r="L86" s="80">
        <f t="shared" si="32"/>
        <v>29552.83545787726</v>
      </c>
      <c r="M86" s="80">
        <f t="shared" si="33"/>
        <v>29552.83545787726</v>
      </c>
      <c r="N86" s="80">
        <f t="shared" si="34"/>
        <v>29552.83545787726</v>
      </c>
      <c r="O86" s="80">
        <f>SUM(Table311[[#This Row],[Payment 2 - 12/15/22]:[Payment 11 -2031]])</f>
        <v>563304.55351577466</v>
      </c>
    </row>
    <row r="87" spans="1:15" x14ac:dyDescent="0.3">
      <c r="A87" s="1" t="s">
        <v>269</v>
      </c>
      <c r="B87" s="1">
        <v>8.8888888888888904E-4</v>
      </c>
      <c r="C87" s="1">
        <v>103</v>
      </c>
      <c r="E87" s="80">
        <f t="shared" si="25"/>
        <v>4119.7403999999997</v>
      </c>
      <c r="F87" s="80">
        <f t="shared" si="26"/>
        <v>1572.1811187511853</v>
      </c>
      <c r="G87" s="80">
        <f t="shared" si="27"/>
        <v>3571.2714000000005</v>
      </c>
      <c r="H87" s="80">
        <f t="shared" si="28"/>
        <v>3831.5912000000003</v>
      </c>
      <c r="I87" s="80">
        <f t="shared" si="29"/>
        <v>451.64780000000002</v>
      </c>
      <c r="J87" s="80">
        <f t="shared" si="30"/>
        <v>734.28870000000018</v>
      </c>
      <c r="K87" s="80">
        <f t="shared" si="31"/>
        <v>734.28870000000018</v>
      </c>
      <c r="L87" s="80">
        <f t="shared" si="32"/>
        <v>934.87790000000007</v>
      </c>
      <c r="M87" s="80">
        <f t="shared" si="33"/>
        <v>934.87790000000007</v>
      </c>
      <c r="N87" s="80">
        <f t="shared" si="34"/>
        <v>934.87790000000007</v>
      </c>
      <c r="O87" s="80">
        <f>SUM(Table311[[#This Row],[Payment 2 - 12/15/22]:[Payment 11 -2031]])</f>
        <v>17819.643018751187</v>
      </c>
    </row>
    <row r="88" spans="1:15" x14ac:dyDescent="0.3">
      <c r="A88" s="1" t="s">
        <v>270</v>
      </c>
      <c r="B88" s="1">
        <v>8.8888888888888904E-4</v>
      </c>
      <c r="C88" s="1">
        <v>104</v>
      </c>
      <c r="E88" s="80">
        <f t="shared" si="25"/>
        <v>4119.7403999999997</v>
      </c>
      <c r="F88" s="80">
        <f t="shared" si="26"/>
        <v>1572.1811187511853</v>
      </c>
      <c r="G88" s="80">
        <f t="shared" si="27"/>
        <v>3571.2714000000005</v>
      </c>
      <c r="H88" s="80">
        <f t="shared" si="28"/>
        <v>3831.5912000000003</v>
      </c>
      <c r="I88" s="80">
        <f t="shared" si="29"/>
        <v>451.64780000000002</v>
      </c>
      <c r="J88" s="80">
        <f t="shared" si="30"/>
        <v>734.28870000000018</v>
      </c>
      <c r="K88" s="80">
        <f t="shared" si="31"/>
        <v>734.28870000000018</v>
      </c>
      <c r="L88" s="80">
        <f t="shared" si="32"/>
        <v>934.87790000000007</v>
      </c>
      <c r="M88" s="80">
        <f t="shared" si="33"/>
        <v>934.87790000000007</v>
      </c>
      <c r="N88" s="80">
        <f t="shared" si="34"/>
        <v>934.87790000000007</v>
      </c>
      <c r="O88" s="80">
        <f>SUM(Table311[[#This Row],[Payment 2 - 12/15/22]:[Payment 11 -2031]])</f>
        <v>17819.643018751187</v>
      </c>
    </row>
    <row r="89" spans="1:15" x14ac:dyDescent="0.3">
      <c r="A89" s="1" t="s">
        <v>271</v>
      </c>
      <c r="B89" s="1">
        <v>8.8888888888888904E-4</v>
      </c>
      <c r="C89" s="1">
        <v>105</v>
      </c>
      <c r="E89" s="80">
        <f t="shared" si="25"/>
        <v>4119.7403999999997</v>
      </c>
      <c r="F89" s="80">
        <f t="shared" si="26"/>
        <v>1572.1811187511853</v>
      </c>
      <c r="G89" s="80">
        <f t="shared" si="27"/>
        <v>3571.2714000000005</v>
      </c>
      <c r="H89" s="80">
        <f t="shared" si="28"/>
        <v>3831.5912000000003</v>
      </c>
      <c r="I89" s="80">
        <f t="shared" si="29"/>
        <v>451.64780000000002</v>
      </c>
      <c r="J89" s="80">
        <f t="shared" si="30"/>
        <v>734.28870000000018</v>
      </c>
      <c r="K89" s="80">
        <f t="shared" si="31"/>
        <v>734.28870000000018</v>
      </c>
      <c r="L89" s="80">
        <f t="shared" si="32"/>
        <v>934.87790000000007</v>
      </c>
      <c r="M89" s="80">
        <f t="shared" si="33"/>
        <v>934.87790000000007</v>
      </c>
      <c r="N89" s="80">
        <f t="shared" si="34"/>
        <v>934.87790000000007</v>
      </c>
      <c r="O89" s="80">
        <f>SUM(Table311[[#This Row],[Payment 2 - 12/15/22]:[Payment 11 -2031]])</f>
        <v>17819.643018751187</v>
      </c>
    </row>
    <row r="90" spans="1:15" x14ac:dyDescent="0.3">
      <c r="A90" s="1" t="s">
        <v>272</v>
      </c>
      <c r="B90" s="1">
        <v>2.2222222222222227E-3</v>
      </c>
      <c r="C90" s="1">
        <v>106</v>
      </c>
      <c r="E90" s="80">
        <f t="shared" si="25"/>
        <v>10299.351000000001</v>
      </c>
      <c r="F90" s="80">
        <f t="shared" si="26"/>
        <v>3930.4527968779635</v>
      </c>
      <c r="G90" s="80">
        <f t="shared" si="27"/>
        <v>8928.1785000000018</v>
      </c>
      <c r="H90" s="80">
        <f t="shared" si="28"/>
        <v>9578.978000000001</v>
      </c>
      <c r="I90" s="80">
        <f t="shared" si="29"/>
        <v>1129.1195000000002</v>
      </c>
      <c r="J90" s="80">
        <f t="shared" si="30"/>
        <v>1835.7217500000006</v>
      </c>
      <c r="K90" s="80">
        <f t="shared" si="31"/>
        <v>1835.7217500000006</v>
      </c>
      <c r="L90" s="80">
        <f t="shared" si="32"/>
        <v>2337.1947500000006</v>
      </c>
      <c r="M90" s="80">
        <f t="shared" si="33"/>
        <v>2337.1947500000006</v>
      </c>
      <c r="N90" s="80">
        <f t="shared" si="34"/>
        <v>2337.1947500000006</v>
      </c>
      <c r="O90" s="80">
        <f>SUM(Table311[[#This Row],[Payment 2 - 12/15/22]:[Payment 11 -2031]])</f>
        <v>44549.107546877967</v>
      </c>
    </row>
    <row r="91" spans="1:15" x14ac:dyDescent="0.3">
      <c r="A91" s="1" t="s">
        <v>273</v>
      </c>
      <c r="B91" s="1">
        <v>2.2222222222222227E-3</v>
      </c>
      <c r="C91" s="1">
        <v>107</v>
      </c>
      <c r="E91" s="80">
        <f t="shared" si="25"/>
        <v>10299.351000000001</v>
      </c>
      <c r="F91" s="80">
        <f t="shared" si="26"/>
        <v>3930.4527968779635</v>
      </c>
      <c r="G91" s="80">
        <f t="shared" si="27"/>
        <v>8928.1785000000018</v>
      </c>
      <c r="H91" s="80">
        <f t="shared" si="28"/>
        <v>9578.978000000001</v>
      </c>
      <c r="I91" s="80">
        <f t="shared" si="29"/>
        <v>1129.1195000000002</v>
      </c>
      <c r="J91" s="80">
        <f t="shared" si="30"/>
        <v>1835.7217500000006</v>
      </c>
      <c r="K91" s="80">
        <f t="shared" si="31"/>
        <v>1835.7217500000006</v>
      </c>
      <c r="L91" s="80">
        <f t="shared" si="32"/>
        <v>2337.1947500000006</v>
      </c>
      <c r="M91" s="80">
        <f t="shared" si="33"/>
        <v>2337.1947500000006</v>
      </c>
      <c r="N91" s="80">
        <f t="shared" si="34"/>
        <v>2337.1947500000006</v>
      </c>
      <c r="O91" s="80">
        <f>SUM(Table311[[#This Row],[Payment 2 - 12/15/22]:[Payment 11 -2031]])</f>
        <v>44549.107546877967</v>
      </c>
    </row>
    <row r="92" spans="1:15" x14ac:dyDescent="0.3">
      <c r="A92" s="1" t="s">
        <v>274</v>
      </c>
      <c r="B92" s="1">
        <v>2.2222222222222227E-3</v>
      </c>
      <c r="C92" s="1">
        <v>108</v>
      </c>
      <c r="E92" s="80">
        <f t="shared" si="25"/>
        <v>10299.351000000001</v>
      </c>
      <c r="F92" s="80">
        <f t="shared" si="26"/>
        <v>3930.4527968779635</v>
      </c>
      <c r="G92" s="80">
        <f t="shared" si="27"/>
        <v>8928.1785000000018</v>
      </c>
      <c r="H92" s="80">
        <f t="shared" si="28"/>
        <v>9578.978000000001</v>
      </c>
      <c r="I92" s="80">
        <f t="shared" si="29"/>
        <v>1129.1195000000002</v>
      </c>
      <c r="J92" s="80">
        <f t="shared" si="30"/>
        <v>1835.7217500000006</v>
      </c>
      <c r="K92" s="80">
        <f t="shared" si="31"/>
        <v>1835.7217500000006</v>
      </c>
      <c r="L92" s="80">
        <f t="shared" si="32"/>
        <v>2337.1947500000006</v>
      </c>
      <c r="M92" s="80">
        <f t="shared" si="33"/>
        <v>2337.1947500000006</v>
      </c>
      <c r="N92" s="80">
        <f t="shared" si="34"/>
        <v>2337.1947500000006</v>
      </c>
      <c r="O92" s="80">
        <f>SUM(Table311[[#This Row],[Payment 2 - 12/15/22]:[Payment 11 -2031]])</f>
        <v>44549.107546877967</v>
      </c>
    </row>
    <row r="93" spans="1:15" x14ac:dyDescent="0.3">
      <c r="A93" s="1" t="s">
        <v>275</v>
      </c>
      <c r="B93" s="1">
        <v>8.8888888888888904E-4</v>
      </c>
      <c r="C93" s="1">
        <v>109</v>
      </c>
      <c r="E93" s="80">
        <f t="shared" si="25"/>
        <v>4119.7403999999997</v>
      </c>
      <c r="F93" s="80">
        <f t="shared" si="26"/>
        <v>1572.1811187511853</v>
      </c>
      <c r="G93" s="80">
        <f t="shared" si="27"/>
        <v>3571.2714000000005</v>
      </c>
      <c r="H93" s="80">
        <f t="shared" si="28"/>
        <v>3831.5912000000003</v>
      </c>
      <c r="I93" s="80">
        <f t="shared" si="29"/>
        <v>451.64780000000002</v>
      </c>
      <c r="J93" s="80">
        <f t="shared" si="30"/>
        <v>734.28870000000018</v>
      </c>
      <c r="K93" s="80">
        <f t="shared" si="31"/>
        <v>734.28870000000018</v>
      </c>
      <c r="L93" s="80">
        <f t="shared" si="32"/>
        <v>934.87790000000007</v>
      </c>
      <c r="M93" s="80">
        <f t="shared" si="33"/>
        <v>934.87790000000007</v>
      </c>
      <c r="N93" s="80">
        <f t="shared" si="34"/>
        <v>934.87790000000007</v>
      </c>
      <c r="O93" s="80">
        <f>SUM(Table311[[#This Row],[Payment 2 - 12/15/22]:[Payment 11 -2031]])</f>
        <v>17819.643018751187</v>
      </c>
    </row>
    <row r="94" spans="1:15" x14ac:dyDescent="0.3">
      <c r="A94" s="1" t="s">
        <v>364</v>
      </c>
      <c r="B94" s="1">
        <v>2.9529080023993595E-3</v>
      </c>
      <c r="C94" s="1">
        <v>110</v>
      </c>
      <c r="E94" s="80">
        <f t="shared" si="25"/>
        <v>13685.866194338929</v>
      </c>
      <c r="F94" s="80">
        <f t="shared" si="26"/>
        <v>5222.8194826292456</v>
      </c>
      <c r="G94" s="80">
        <f t="shared" si="27"/>
        <v>11863.840382774959</v>
      </c>
      <c r="H94" s="80">
        <f t="shared" si="28"/>
        <v>12728.628355953335</v>
      </c>
      <c r="I94" s="80">
        <f t="shared" si="29"/>
        <v>1500.3837032468236</v>
      </c>
      <c r="J94" s="80">
        <f t="shared" si="30"/>
        <v>2439.3228505891007</v>
      </c>
      <c r="K94" s="80">
        <f t="shared" si="31"/>
        <v>2439.3228505891007</v>
      </c>
      <c r="L94" s="80">
        <f t="shared" si="32"/>
        <v>3105.6844861983468</v>
      </c>
      <c r="M94" s="80">
        <f t="shared" si="33"/>
        <v>3105.6844861983468</v>
      </c>
      <c r="N94" s="80">
        <f t="shared" si="34"/>
        <v>3105.6844861983468</v>
      </c>
      <c r="O94" s="80">
        <f>SUM(Table311[[#This Row],[Payment 2 - 12/15/22]:[Payment 11 -2031]])</f>
        <v>59197.237278716537</v>
      </c>
    </row>
    <row r="95" spans="1:15" x14ac:dyDescent="0.3">
      <c r="A95" s="1" t="s">
        <v>363</v>
      </c>
      <c r="B95" s="1">
        <v>8.8888888888888904E-4</v>
      </c>
      <c r="C95" s="1">
        <v>111</v>
      </c>
      <c r="E95" s="80">
        <f t="shared" si="25"/>
        <v>4119.7403999999997</v>
      </c>
      <c r="F95" s="80">
        <f t="shared" si="26"/>
        <v>1572.1811187511853</v>
      </c>
      <c r="G95" s="80">
        <f t="shared" si="27"/>
        <v>3571.2714000000005</v>
      </c>
      <c r="H95" s="80">
        <f t="shared" si="28"/>
        <v>3831.5912000000003</v>
      </c>
      <c r="I95" s="80">
        <f t="shared" si="29"/>
        <v>451.64780000000002</v>
      </c>
      <c r="J95" s="80">
        <f t="shared" si="30"/>
        <v>734.28870000000018</v>
      </c>
      <c r="K95" s="80">
        <f t="shared" si="31"/>
        <v>734.28870000000018</v>
      </c>
      <c r="L95" s="80">
        <f t="shared" si="32"/>
        <v>934.87790000000007</v>
      </c>
      <c r="M95" s="80">
        <f t="shared" si="33"/>
        <v>934.87790000000007</v>
      </c>
      <c r="N95" s="80">
        <f t="shared" si="34"/>
        <v>934.87790000000007</v>
      </c>
      <c r="O95" s="80">
        <f>SUM(Table311[[#This Row],[Payment 2 - 12/15/22]:[Payment 11 -2031]])</f>
        <v>17819.643018751187</v>
      </c>
    </row>
    <row r="96" spans="1:15" x14ac:dyDescent="0.3">
      <c r="A96" s="1" t="s">
        <v>276</v>
      </c>
      <c r="B96" s="1">
        <v>8.8888888888888904E-4</v>
      </c>
      <c r="C96" s="1">
        <v>112</v>
      </c>
      <c r="E96" s="80">
        <f t="shared" si="25"/>
        <v>4119.7403999999997</v>
      </c>
      <c r="F96" s="80">
        <f t="shared" si="26"/>
        <v>1572.1811187511853</v>
      </c>
      <c r="G96" s="80">
        <f t="shared" si="27"/>
        <v>3571.2714000000005</v>
      </c>
      <c r="H96" s="80">
        <f t="shared" si="28"/>
        <v>3831.5912000000003</v>
      </c>
      <c r="I96" s="80">
        <f t="shared" si="29"/>
        <v>451.64780000000002</v>
      </c>
      <c r="J96" s="80">
        <f t="shared" si="30"/>
        <v>734.28870000000018</v>
      </c>
      <c r="K96" s="80">
        <f t="shared" si="31"/>
        <v>734.28870000000018</v>
      </c>
      <c r="L96" s="80">
        <f t="shared" si="32"/>
        <v>934.87790000000007</v>
      </c>
      <c r="M96" s="80">
        <f t="shared" si="33"/>
        <v>934.87790000000007</v>
      </c>
      <c r="N96" s="80">
        <f t="shared" si="34"/>
        <v>934.87790000000007</v>
      </c>
      <c r="O96" s="80">
        <f>SUM(Table311[[#This Row],[Payment 2 - 12/15/22]:[Payment 11 -2031]])</f>
        <v>17819.643018751187</v>
      </c>
    </row>
    <row r="97" spans="1:15" x14ac:dyDescent="0.3">
      <c r="A97" s="1" t="s">
        <v>277</v>
      </c>
      <c r="B97" s="1">
        <v>8.8888888888888904E-4</v>
      </c>
      <c r="C97" s="1">
        <v>113</v>
      </c>
      <c r="E97" s="80">
        <f t="shared" si="25"/>
        <v>4119.7403999999997</v>
      </c>
      <c r="F97" s="80">
        <f t="shared" si="26"/>
        <v>1572.1811187511853</v>
      </c>
      <c r="G97" s="80">
        <f t="shared" si="27"/>
        <v>3571.2714000000005</v>
      </c>
      <c r="H97" s="80">
        <f t="shared" si="28"/>
        <v>3831.5912000000003</v>
      </c>
      <c r="I97" s="80">
        <f t="shared" si="29"/>
        <v>451.64780000000002</v>
      </c>
      <c r="J97" s="80">
        <f t="shared" si="30"/>
        <v>734.28870000000018</v>
      </c>
      <c r="K97" s="80">
        <f t="shared" si="31"/>
        <v>734.28870000000018</v>
      </c>
      <c r="L97" s="80">
        <f t="shared" si="32"/>
        <v>934.87790000000007</v>
      </c>
      <c r="M97" s="80">
        <f t="shared" si="33"/>
        <v>934.87790000000007</v>
      </c>
      <c r="N97" s="80">
        <f t="shared" si="34"/>
        <v>934.87790000000007</v>
      </c>
      <c r="O97" s="80">
        <f>SUM(Table311[[#This Row],[Payment 2 - 12/15/22]:[Payment 11 -2031]])</f>
        <v>17819.643018751187</v>
      </c>
    </row>
  </sheetData>
  <pageMargins left="0.7" right="0.7" top="0.75" bottom="0.75" header="0.3" footer="0.3"/>
  <customProperties>
    <customPr name="OrphanNamesChecked" r:id="rId1"/>
  </customPropertie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workbookViewId="0">
      <selection activeCell="A21" sqref="A21"/>
    </sheetView>
  </sheetViews>
  <sheetFormatPr defaultRowHeight="14.4" x14ac:dyDescent="0.3"/>
  <cols>
    <col min="1" max="1" width="15.33203125" customWidth="1"/>
    <col min="2" max="2" width="17" customWidth="1"/>
    <col min="3" max="3" width="18.5546875" customWidth="1"/>
    <col min="4" max="7" width="19.6640625" customWidth="1"/>
    <col min="8" max="8" width="20.109375" customWidth="1"/>
    <col min="9" max="9" width="24.33203125" customWidth="1"/>
    <col min="10" max="13" width="21.6640625" customWidth="1"/>
    <col min="14" max="14" width="22" customWidth="1"/>
    <col min="15" max="15" width="21.88671875" customWidth="1"/>
    <col min="16" max="16" width="20.33203125" customWidth="1"/>
    <col min="17" max="17" width="17.44140625" customWidth="1"/>
    <col min="18" max="19" width="24.33203125" customWidth="1"/>
    <col min="20" max="20" width="23.88671875" customWidth="1"/>
    <col min="21" max="23" width="20" customWidth="1"/>
    <col min="24" max="24" width="20.88671875" customWidth="1"/>
    <col min="25" max="25" width="19" customWidth="1"/>
  </cols>
  <sheetData>
    <row r="1" spans="1:25" ht="15.6" x14ac:dyDescent="0.3">
      <c r="A1" s="1" t="s">
        <v>0</v>
      </c>
      <c r="B1" s="1" t="s">
        <v>1</v>
      </c>
      <c r="C1" s="1" t="s">
        <v>12</v>
      </c>
      <c r="D1" s="1" t="s">
        <v>13</v>
      </c>
      <c r="E1" s="1" t="s">
        <v>14</v>
      </c>
      <c r="F1" s="1" t="s">
        <v>15</v>
      </c>
      <c r="G1" s="1" t="s">
        <v>16</v>
      </c>
      <c r="H1" s="1" t="s">
        <v>17</v>
      </c>
      <c r="I1" s="1" t="s">
        <v>7</v>
      </c>
      <c r="J1" s="1" t="s">
        <v>8</v>
      </c>
      <c r="K1" s="1" t="s">
        <v>9</v>
      </c>
      <c r="L1" s="1" t="s">
        <v>10</v>
      </c>
      <c r="M1" s="1" t="s">
        <v>11</v>
      </c>
      <c r="N1" s="1" t="s">
        <v>2</v>
      </c>
      <c r="O1" s="1" t="s">
        <v>3</v>
      </c>
      <c r="P1" s="1" t="s">
        <v>4</v>
      </c>
      <c r="Q1" s="1" t="s">
        <v>5</v>
      </c>
      <c r="R1" s="1" t="s">
        <v>18</v>
      </c>
      <c r="S1" s="1" t="s">
        <v>19</v>
      </c>
      <c r="T1" s="3" t="s">
        <v>20</v>
      </c>
      <c r="U1" s="3" t="s">
        <v>21</v>
      </c>
      <c r="V1" s="3" t="s">
        <v>228</v>
      </c>
      <c r="W1" s="3" t="s">
        <v>229</v>
      </c>
      <c r="X1" s="3" t="s">
        <v>22</v>
      </c>
      <c r="Y1" s="3" t="s">
        <v>23</v>
      </c>
    </row>
    <row r="2" spans="1:25" s="9" customFormat="1" ht="15.6" x14ac:dyDescent="0.3">
      <c r="A2" s="3">
        <v>1</v>
      </c>
      <c r="B2" s="3">
        <v>2024</v>
      </c>
      <c r="C2" s="4">
        <f>+C34/2</f>
        <v>0</v>
      </c>
      <c r="D2" s="4">
        <f>+E34/2</f>
        <v>0</v>
      </c>
      <c r="E2" s="4">
        <f>+K34/2</f>
        <v>0</v>
      </c>
      <c r="F2" s="4">
        <f>+I34/2</f>
        <v>0</v>
      </c>
      <c r="G2" s="4">
        <v>119363767.41345163</v>
      </c>
      <c r="H2" s="4">
        <f>SUM(Table14[[#This Row],[Teva]:[Walmart]])</f>
        <v>119363767.41345163</v>
      </c>
      <c r="I2" s="4">
        <f>$I$17*0.2</f>
        <v>556099.9724601449</v>
      </c>
      <c r="J2" s="4">
        <f>$J$17*0.2</f>
        <v>433274.37274822849</v>
      </c>
      <c r="K2" s="4">
        <f>$K$17*0.2</f>
        <v>184914.74061231953</v>
      </c>
      <c r="L2" s="4">
        <f>$L$17*0.2</f>
        <v>249358.97850465254</v>
      </c>
      <c r="M2" s="4">
        <f>$M$17*0.4</f>
        <v>679265.975383766</v>
      </c>
      <c r="N2" s="4">
        <f>Table14[[#This Row],[Pre Fee Total]]-Table14[[#This Row],[Teva Attorney Fees]]-Table14[[#This Row],[Allergan Attorney Fees ]]-Table14[[#This Row],[Walgreens Attorney Fees]]-Table14[[#This Row],[CVS Attorney Fees]]-Table14[[#This Row],[Walmart Attorney Fees]]</f>
        <v>117260853.37374252</v>
      </c>
      <c r="O2" s="4">
        <f>Table14[[#This Row],[Total Less Fees]]*0.15</f>
        <v>17589128.006061379</v>
      </c>
      <c r="P2" s="4">
        <f>Table14[[#This Row],[Total Less Fees]]*0.7</f>
        <v>82082597.361619756</v>
      </c>
      <c r="Q2" s="4">
        <f>Table14[[#This Row],[Total Less Fees]]*0.15</f>
        <v>17589128.006061379</v>
      </c>
      <c r="R2" s="4">
        <f>((Table14[[#This Row],[Teva]]+Table14[[#This Row],[Allergan]])-(Table14[[#This Row],[Teva Attorney Fees]]+Table14[[#This Row],[Allergan Attorney Fees ]]))*0.15</f>
        <v>-148406.15178125599</v>
      </c>
      <c r="S2" s="4">
        <f>((Table14[[#This Row],[Walgreens]]+Table14[[#This Row],[CVS]]+Table14[[#This Row],[Walmart]])-(Table14[[#This Row],[Walgreens Attorney Fees]]+Table14[[#This Row],[CVS Attorney Fees]]+Table14[[#This Row],[Walmart Attorney Fees]]))*0.15</f>
        <v>17737534.157842632</v>
      </c>
      <c r="T2" s="9">
        <f>((Table14[[#This Row],[Teva]]-Table14[[#This Row],[Teva Attorney Fees]])*0.15)+((Table14[[#This Row],[Allergan]]-Table14[[#This Row],[Allergan Attorney Fees ]])*0.15)+((Table14[[#This Row],[Walmart]]-Table14[[#This Row],[Walmart Attorney Fees]])*0.15)</f>
        <v>17654269.063928921</v>
      </c>
      <c r="U2" s="9">
        <v>5917200</v>
      </c>
      <c r="V2" s="9">
        <f>Table14[[#This Row],[Subdivision Escrow Amount]]-W2</f>
        <v>4873602.1164021166</v>
      </c>
      <c r="W2" s="9">
        <f>Table14[[#This Row],[Subdivision Escrow Amount]]/5.67</f>
        <v>1043597.8835978836</v>
      </c>
      <c r="X2" s="9">
        <f>(Table14[[#This Row],[Teva Attorney Fees]]*0.15)+(Table14[[#This Row],[Allergan Attorney Fees ]]*0.15)+(Table14[[#This Row],[Walmart Attorney Fees]]*0.15)+(6000000*0.0138)</f>
        <v>333096.04808882088</v>
      </c>
      <c r="Y2" s="9">
        <f t="shared" ref="Y2:Y16" si="0">SUM(T2,U2,X2)</f>
        <v>23904565.112017743</v>
      </c>
    </row>
    <row r="3" spans="1:25" s="8" customFormat="1" ht="15.6" x14ac:dyDescent="0.3">
      <c r="A3" s="1">
        <v>2</v>
      </c>
      <c r="B3" s="2">
        <v>46006</v>
      </c>
      <c r="C3" s="4">
        <v>13189863.130000001</v>
      </c>
      <c r="D3" s="4">
        <v>13976784.039999999</v>
      </c>
      <c r="E3" s="4">
        <v>12470599.57</v>
      </c>
      <c r="F3" s="4">
        <v>9828174.6300000008</v>
      </c>
      <c r="G3" s="4">
        <v>0</v>
      </c>
      <c r="H3" s="4">
        <f>SUM(Table14[[#This Row],[Teva]:[Walmart]])</f>
        <v>49465421.370000005</v>
      </c>
      <c r="I3" s="4">
        <f t="shared" ref="I3:I6" si="1">$I$17*0.2</f>
        <v>556099.9724601449</v>
      </c>
      <c r="J3" s="4">
        <f t="shared" ref="J3:J6" si="2">$J$17*0.2</f>
        <v>433274.37274822849</v>
      </c>
      <c r="K3" s="4">
        <f t="shared" ref="K3:K6" si="3">$K$17*0.2</f>
        <v>184914.74061231953</v>
      </c>
      <c r="L3" s="4">
        <f t="shared" ref="L3:L6" si="4">$L$17*0.2</f>
        <v>249358.97850465254</v>
      </c>
      <c r="M3" s="4">
        <f>$M$17*0</f>
        <v>0</v>
      </c>
      <c r="N3" s="4">
        <f>Table14[[#This Row],[Pre Fee Total]]-Table14[[#This Row],[Teva Attorney Fees]]-Table14[[#This Row],[Allergan Attorney Fees ]]-Table14[[#This Row],[Walgreens Attorney Fees]]-Table14[[#This Row],[CVS Attorney Fees]]-Table14[[#This Row],[Walmart Attorney Fees]]</f>
        <v>48041773.305674665</v>
      </c>
      <c r="O3" s="4">
        <f>Table14[[#This Row],[Total Less Fees]]*0.15</f>
        <v>7206265.9958511991</v>
      </c>
      <c r="P3" s="4">
        <f>Table14[[#This Row],[Total Less Fees]]*0.7</f>
        <v>33629241.313972265</v>
      </c>
      <c r="Q3" s="4">
        <f>Table14[[#This Row],[Total Less Fees]]*0.15</f>
        <v>7206265.9958511991</v>
      </c>
      <c r="R3" s="4">
        <f>((Table14[[#This Row],[Teva]]+Table14[[#This Row],[Allergan]])-(Table14[[#This Row],[Teva Attorney Fees]]+Table14[[#This Row],[Allergan Attorney Fees ]]))*0.15</f>
        <v>3926590.923718744</v>
      </c>
      <c r="S3" s="4">
        <f>((Table14[[#This Row],[Walgreens]]+Table14[[#This Row],[CVS]]+Table14[[#This Row],[Walmart]])-(Table14[[#This Row],[Walgreens Attorney Fees]]+Table14[[#This Row],[CVS Attorney Fees]]+Table14[[#This Row],[Walmart Attorney Fees]]))*0.15</f>
        <v>3279675.0721324547</v>
      </c>
      <c r="T3" s="8">
        <f>((Table14[[#This Row],[Teva]]-Table14[[#This Row],[Teva Attorney Fees]])*0.15)+((Table14[[#This Row],[Allergan]]-Table14[[#This Row],[Allergan Attorney Fees ]])*0.15)+((Table14[[#This Row],[Walmart]]-Table14[[#This Row],[Walmart Attorney Fees]])*0.15)</f>
        <v>3926590.923718744</v>
      </c>
      <c r="V3" s="8">
        <f>Table14[[#This Row],[Subdivision Escrow Amount]]-W3</f>
        <v>0</v>
      </c>
      <c r="W3" s="8">
        <f>Table14[[#This Row],[Subdivision Escrow Amount]]/5.67</f>
        <v>0</v>
      </c>
      <c r="X3" s="8">
        <f>(Table14[[#This Row],[Teva Attorney Fees]]*0.15)+(Table14[[#This Row],[Allergan Attorney Fees ]]*0.15)+(Table14[[#This Row],[Walmart Attorney Fees]]*0.15)</f>
        <v>148406.15178125602</v>
      </c>
      <c r="Y3" s="8">
        <f t="shared" si="0"/>
        <v>4074997.0754999998</v>
      </c>
    </row>
    <row r="4" spans="1:25" s="7" customFormat="1" ht="15.6" x14ac:dyDescent="0.3">
      <c r="A4" s="1">
        <v>3</v>
      </c>
      <c r="B4" s="2">
        <v>46371</v>
      </c>
      <c r="C4" s="8">
        <v>10396000.192104774</v>
      </c>
      <c r="D4" s="8">
        <v>11793005.910428513</v>
      </c>
      <c r="E4" s="8">
        <v>6237776.3067822102</v>
      </c>
      <c r="F4" s="8">
        <v>10420025.759128511</v>
      </c>
      <c r="G4" s="8">
        <v>922915.72742359492</v>
      </c>
      <c r="H4" s="8">
        <f>SUM(Table14[[#This Row],[Teva]:[Walmart]])</f>
        <v>39769723.895867601</v>
      </c>
      <c r="I4" s="4">
        <f>$I$17*0.2</f>
        <v>556099.9724601449</v>
      </c>
      <c r="J4" s="4">
        <f t="shared" si="2"/>
        <v>433274.37274822849</v>
      </c>
      <c r="K4" s="4">
        <f t="shared" si="3"/>
        <v>184914.74061231953</v>
      </c>
      <c r="L4" s="4">
        <f t="shared" si="4"/>
        <v>249358.97850465254</v>
      </c>
      <c r="M4" s="4">
        <f t="shared" ref="M4:M6" si="5">$M$17*0.2</f>
        <v>339632.987691883</v>
      </c>
      <c r="N4" s="8">
        <f>Table14[[#This Row],[Pre Fee Total]]-Table14[[#This Row],[Teva Attorney Fees]]-Table14[[#This Row],[Allergan Attorney Fees ]]-Table14[[#This Row],[Walgreens Attorney Fees]]-Table14[[#This Row],[CVS Attorney Fees]]-Table14[[#This Row],[Walmart Attorney Fees]]</f>
        <v>38006442.843850374</v>
      </c>
      <c r="O4" s="8">
        <f>Table14[[#This Row],[Total Less Fees]]*0.15</f>
        <v>5700966.4265775559</v>
      </c>
      <c r="P4" s="8">
        <f>Table14[[#This Row],[Total Less Fees]]*0.7</f>
        <v>26604509.99069526</v>
      </c>
      <c r="Q4" s="8">
        <f>Table14[[#This Row],[Total Less Fees]]*0.15</f>
        <v>5700966.4265775559</v>
      </c>
      <c r="R4" s="8">
        <f>((Table14[[#This Row],[Teva]]+Table14[[#This Row],[Allergan]])-(Table14[[#This Row],[Teva Attorney Fees]]+Table14[[#This Row],[Allergan Attorney Fees ]]))*0.15</f>
        <v>3179944.7635987373</v>
      </c>
      <c r="S4" s="10">
        <f>((Table14[[#This Row],[Walgreens]]+Table14[[#This Row],[CVS]]+Table14[[#This Row],[Walmart]])-(Table14[[#This Row],[Walgreens Attorney Fees]]+Table14[[#This Row],[CVS Attorney Fees]]+Table14[[#This Row],[Walmart Attorney Fees]]))*0.15</f>
        <v>2521021.6629788191</v>
      </c>
      <c r="T4" s="9">
        <f>((Table14[[#This Row],[Teva]]-Table14[[#This Row],[Teva Attorney Fees]])*0.15)+((Table14[[#This Row],[Allergan]]-Table14[[#This Row],[Allergan Attorney Fees ]])*0.15)+((Table14[[#This Row],[Walmart]]-Table14[[#This Row],[Walmart Attorney Fees]])*0.15)</f>
        <v>3267437.1745584938</v>
      </c>
      <c r="U4" s="9"/>
      <c r="V4" s="9">
        <f>Table14[[#This Row],[Subdivision Escrow Amount]]-W4</f>
        <v>0</v>
      </c>
      <c r="W4" s="9">
        <f>Table14[[#This Row],[Subdivision Escrow Amount]]/5.67</f>
        <v>0</v>
      </c>
      <c r="X4" s="9">
        <f>(Table14[[#This Row],[Teva Attorney Fees]]*0.15)+(Table14[[#This Row],[Allergan Attorney Fees ]]*0.15)+(Table14[[#This Row],[Walmart Attorney Fees]]*0.15)</f>
        <v>199351.09993503848</v>
      </c>
      <c r="Y4" s="9">
        <f t="shared" si="0"/>
        <v>3466788.2744935323</v>
      </c>
    </row>
    <row r="5" spans="1:25" s="7" customFormat="1" ht="15.6" x14ac:dyDescent="0.3">
      <c r="A5" s="1">
        <v>4</v>
      </c>
      <c r="B5" s="2">
        <v>46736</v>
      </c>
      <c r="C5" s="8">
        <v>10396000.192104774</v>
      </c>
      <c r="D5" s="8">
        <v>11793005.910887336</v>
      </c>
      <c r="E5" s="8">
        <v>6237776.3067822102</v>
      </c>
      <c r="F5" s="8">
        <v>10420025.759128511</v>
      </c>
      <c r="G5" s="8">
        <v>922915.72742359492</v>
      </c>
      <c r="H5" s="8">
        <f>SUM(Table14[[#This Row],[Teva]:[Walmart]])</f>
        <v>39769723.896326423</v>
      </c>
      <c r="I5" s="4">
        <f t="shared" si="1"/>
        <v>556099.9724601449</v>
      </c>
      <c r="J5" s="4">
        <f t="shared" si="2"/>
        <v>433274.37274822849</v>
      </c>
      <c r="K5" s="4">
        <f t="shared" si="3"/>
        <v>184914.74061231953</v>
      </c>
      <c r="L5" s="4">
        <f t="shared" si="4"/>
        <v>249358.97850465254</v>
      </c>
      <c r="M5" s="4">
        <f t="shared" si="5"/>
        <v>339632.987691883</v>
      </c>
      <c r="N5" s="8">
        <f>Table14[[#This Row],[Pre Fee Total]]-Table14[[#This Row],[Teva Attorney Fees]]-Table14[[#This Row],[Allergan Attorney Fees ]]-Table14[[#This Row],[Walgreens Attorney Fees]]-Table14[[#This Row],[CVS Attorney Fees]]-Table14[[#This Row],[Walmart Attorney Fees]]</f>
        <v>38006442.844309196</v>
      </c>
      <c r="O5" s="8">
        <f>Table14[[#This Row],[Total Less Fees]]*0.15</f>
        <v>5700966.4266463788</v>
      </c>
      <c r="P5" s="8">
        <f>Table14[[#This Row],[Total Less Fees]]*0.7</f>
        <v>26604509.991016436</v>
      </c>
      <c r="Q5" s="8">
        <f>Table14[[#This Row],[Total Less Fees]]*0.15</f>
        <v>5700966.4266463788</v>
      </c>
      <c r="R5" s="8">
        <f>((Table14[[#This Row],[Teva]]+Table14[[#This Row],[Allergan]])-(Table14[[#This Row],[Teva Attorney Fees]]+Table14[[#This Row],[Allergan Attorney Fees ]]))*0.15</f>
        <v>3179944.7636675606</v>
      </c>
      <c r="S5" s="8">
        <f>((Table14[[#This Row],[Walgreens]]+Table14[[#This Row],[CVS]]+Table14[[#This Row],[Walmart]])-(Table14[[#This Row],[Walgreens Attorney Fees]]+Table14[[#This Row],[CVS Attorney Fees]]+Table14[[#This Row],[Walmart Attorney Fees]]))*0.15</f>
        <v>2521021.6629788191</v>
      </c>
      <c r="T5" s="9">
        <f>((Table14[[#This Row],[Teva]]-Table14[[#This Row],[Teva Attorney Fees]])*0.15)+((Table14[[#This Row],[Allergan]]-Table14[[#This Row],[Allergan Attorney Fees ]])*0.15)+((Table14[[#This Row],[Walmart]]-Table14[[#This Row],[Walmart Attorney Fees]])*0.15)</f>
        <v>3267437.1746273171</v>
      </c>
      <c r="U5" s="9"/>
      <c r="V5" s="9">
        <f>Table14[[#This Row],[Subdivision Escrow Amount]]-W5</f>
        <v>0</v>
      </c>
      <c r="W5" s="9">
        <f>Table14[[#This Row],[Subdivision Escrow Amount]]/5.67</f>
        <v>0</v>
      </c>
      <c r="X5" s="9">
        <f>(Table14[[#This Row],[Teva Attorney Fees]]*0.15)+(Table14[[#This Row],[Allergan Attorney Fees ]]*0.15)+(Table14[[#This Row],[Walmart Attorney Fees]]*0.15)</f>
        <v>199351.09993503848</v>
      </c>
      <c r="Y5" s="9">
        <f t="shared" si="0"/>
        <v>3466788.2745623556</v>
      </c>
    </row>
    <row r="6" spans="1:25" s="7" customFormat="1" ht="15.6" x14ac:dyDescent="0.3">
      <c r="A6" s="1">
        <v>5</v>
      </c>
      <c r="B6" s="2">
        <v>47102</v>
      </c>
      <c r="C6" s="8">
        <v>10396000.192104774</v>
      </c>
      <c r="D6" s="8">
        <v>11793005.910887336</v>
      </c>
      <c r="E6" s="8">
        <v>6237776.3067822102</v>
      </c>
      <c r="F6" s="8">
        <v>10420025.759128511</v>
      </c>
      <c r="G6" s="8">
        <v>922915.72742359492</v>
      </c>
      <c r="H6" s="8">
        <f>SUM(Table14[[#This Row],[Teva]:[Walmart]])</f>
        <v>39769723.896326423</v>
      </c>
      <c r="I6" s="4">
        <f t="shared" si="1"/>
        <v>556099.9724601449</v>
      </c>
      <c r="J6" s="4">
        <f t="shared" si="2"/>
        <v>433274.37274822849</v>
      </c>
      <c r="K6" s="4">
        <f t="shared" si="3"/>
        <v>184914.74061231953</v>
      </c>
      <c r="L6" s="4">
        <f t="shared" si="4"/>
        <v>249358.97850465254</v>
      </c>
      <c r="M6" s="4">
        <f t="shared" si="5"/>
        <v>339632.987691883</v>
      </c>
      <c r="N6" s="8">
        <f>Table14[[#This Row],[Pre Fee Total]]-Table14[[#This Row],[Teva Attorney Fees]]-Table14[[#This Row],[Allergan Attorney Fees ]]-Table14[[#This Row],[Walgreens Attorney Fees]]-Table14[[#This Row],[CVS Attorney Fees]]-Table14[[#This Row],[Walmart Attorney Fees]]</f>
        <v>38006442.844309196</v>
      </c>
      <c r="O6" s="8">
        <f>Table14[[#This Row],[Total Less Fees]]*0.15</f>
        <v>5700966.4266463788</v>
      </c>
      <c r="P6" s="8">
        <f>Table14[[#This Row],[Total Less Fees]]*0.7</f>
        <v>26604509.991016436</v>
      </c>
      <c r="Q6" s="8">
        <f>Table14[[#This Row],[Total Less Fees]]*0.15</f>
        <v>5700966.4266463788</v>
      </c>
      <c r="R6" s="8">
        <f>((Table14[[#This Row],[Teva]]+Table14[[#This Row],[Allergan]])-(Table14[[#This Row],[Teva Attorney Fees]]+Table14[[#This Row],[Allergan Attorney Fees ]]))*0.15</f>
        <v>3179944.7636675606</v>
      </c>
      <c r="S6" s="8">
        <f>((Table14[[#This Row],[Walgreens]]+Table14[[#This Row],[CVS]]+Table14[[#This Row],[Walmart]])-(Table14[[#This Row],[Walgreens Attorney Fees]]+Table14[[#This Row],[CVS Attorney Fees]]+Table14[[#This Row],[Walmart Attorney Fees]]))*0.15</f>
        <v>2521021.6629788191</v>
      </c>
      <c r="T6" s="9">
        <f>((Table14[[#This Row],[Teva]]-Table14[[#This Row],[Teva Attorney Fees]])*0.15)+((Table14[[#This Row],[Allergan]]-Table14[[#This Row],[Allergan Attorney Fees ]])*0.15)+((Table14[[#This Row],[Walmart]]-Table14[[#This Row],[Walmart Attorney Fees]])*0.15)</f>
        <v>3267437.1746273171</v>
      </c>
      <c r="U6" s="9"/>
      <c r="V6" s="9">
        <f>Table14[[#This Row],[Subdivision Escrow Amount]]-W6</f>
        <v>0</v>
      </c>
      <c r="W6" s="9">
        <f>Table14[[#This Row],[Subdivision Escrow Amount]]/5.67</f>
        <v>0</v>
      </c>
      <c r="X6" s="9">
        <f>(Table14[[#This Row],[Teva Attorney Fees]]*0.15)+(Table14[[#This Row],[Allergan Attorney Fees ]]*0.15)+(Table14[[#This Row],[Walmart Attorney Fees]]*0.15)</f>
        <v>199351.09993503848</v>
      </c>
      <c r="Y6" s="9">
        <f t="shared" si="0"/>
        <v>3466788.2745623556</v>
      </c>
    </row>
    <row r="7" spans="1:25" s="7" customFormat="1" ht="15.6" x14ac:dyDescent="0.3">
      <c r="A7" s="1">
        <v>6</v>
      </c>
      <c r="B7" s="2">
        <v>47467</v>
      </c>
      <c r="C7" s="8">
        <v>10396000.192104774</v>
      </c>
      <c r="D7" s="8">
        <v>11793005.910887336</v>
      </c>
      <c r="E7" s="8">
        <v>8269933.0440857112</v>
      </c>
      <c r="F7" s="8">
        <v>12304872.975783542</v>
      </c>
      <c r="G7" s="8">
        <v>922915.72742359492</v>
      </c>
      <c r="H7" s="8">
        <f>SUM(Table14[[#This Row],[Teva]:[Walmart]])</f>
        <v>43686727.850284956</v>
      </c>
      <c r="I7" s="8"/>
      <c r="J7" s="8"/>
      <c r="K7" s="8"/>
      <c r="L7" s="8"/>
      <c r="M7" s="8"/>
      <c r="N7" s="8">
        <f>Table14[[#This Row],[Pre Fee Total]]-Table14[[#This Row],[Teva Attorney Fees]]-Table14[[#This Row],[Allergan Attorney Fees ]]-Table14[[#This Row],[Walgreens Attorney Fees]]-Table14[[#This Row],[CVS Attorney Fees]]-Table14[[#This Row],[Walmart Attorney Fees]]</f>
        <v>43686727.850284956</v>
      </c>
      <c r="O7" s="8">
        <f>Table14[[#This Row],[Total Less Fees]]*0.15</f>
        <v>6553009.1775427433</v>
      </c>
      <c r="P7" s="8">
        <f>Table14[[#This Row],[Total Less Fees]]*0.7</f>
        <v>30580709.495199468</v>
      </c>
      <c r="Q7" s="8">
        <f>Table14[[#This Row],[Total Less Fees]]*0.15</f>
        <v>6553009.1775427433</v>
      </c>
      <c r="R7" s="8">
        <f>((Table14[[#This Row],[Teva]]+Table14[[#This Row],[Allergan]])-(Table14[[#This Row],[Teva Attorney Fees]]+Table14[[#This Row],[Allergan Attorney Fees ]]))*0.15</f>
        <v>3328350.9154488165</v>
      </c>
      <c r="S7" s="8">
        <f>((Table14[[#This Row],[Walgreens]]+Table14[[#This Row],[CVS]]+Table14[[#This Row],[Walmart]])-(Table14[[#This Row],[Walgreens Attorney Fees]]+Table14[[#This Row],[CVS Attorney Fees]]+Table14[[#This Row],[Walmart Attorney Fees]]))*0.15</f>
        <v>3224658.2620939268</v>
      </c>
      <c r="T7" s="9">
        <f>((Table14[[#This Row],[Teva]]-Table14[[#This Row],[Teva Attorney Fees]])*0.15)+((Table14[[#This Row],[Allergan]]-Table14[[#This Row],[Allergan Attorney Fees ]])*0.15)+((Table14[[#This Row],[Walmart]]-Table14[[#This Row],[Walmart Attorney Fees]])*0.15)</f>
        <v>3466788.2745623556</v>
      </c>
      <c r="U7" s="9"/>
      <c r="V7" s="9">
        <f>Table14[[#This Row],[Subdivision Escrow Amount]]-W7</f>
        <v>0</v>
      </c>
      <c r="W7" s="9">
        <f>Table14[[#This Row],[Subdivision Escrow Amount]]/5.67</f>
        <v>0</v>
      </c>
      <c r="X7" s="9"/>
      <c r="Y7" s="9">
        <f t="shared" si="0"/>
        <v>3466788.2745623556</v>
      </c>
    </row>
    <row r="8" spans="1:25" s="7" customFormat="1" ht="15.6" x14ac:dyDescent="0.3">
      <c r="A8" s="1">
        <v>7</v>
      </c>
      <c r="B8" s="2">
        <v>47832</v>
      </c>
      <c r="C8" s="8">
        <v>10396000.192104772</v>
      </c>
      <c r="D8" s="8">
        <v>11793005.910887336</v>
      </c>
      <c r="E8" s="8">
        <v>8269933.0440857112</v>
      </c>
      <c r="F8" s="8">
        <v>11784284.816807389</v>
      </c>
      <c r="G8" s="8"/>
      <c r="H8" s="8">
        <f>SUM(Table14[[#This Row],[Teva]:[Walmart]])</f>
        <v>42243223.96388521</v>
      </c>
      <c r="I8" s="8"/>
      <c r="J8" s="8"/>
      <c r="K8" s="8"/>
      <c r="L8" s="8"/>
      <c r="M8" s="8"/>
      <c r="N8" s="8">
        <f>Table14[[#This Row],[Pre Fee Total]]-Table14[[#This Row],[Teva Attorney Fees]]-Table14[[#This Row],[Allergan Attorney Fees ]]-Table14[[#This Row],[Walgreens Attorney Fees]]-Table14[[#This Row],[CVS Attorney Fees]]-Table14[[#This Row],[Walmart Attorney Fees]]</f>
        <v>42243223.96388521</v>
      </c>
      <c r="O8" s="8">
        <f>Table14[[#This Row],[Total Less Fees]]*0.15</f>
        <v>6336483.5945827812</v>
      </c>
      <c r="P8" s="8">
        <f>Table14[[#This Row],[Total Less Fees]]*0.7</f>
        <v>29570256.774719644</v>
      </c>
      <c r="Q8" s="8">
        <f>Table14[[#This Row],[Total Less Fees]]*0.15</f>
        <v>6336483.5945827812</v>
      </c>
      <c r="R8" s="8">
        <f>((Table14[[#This Row],[Teva]]+Table14[[#This Row],[Allergan]])-(Table14[[#This Row],[Teva Attorney Fees]]+Table14[[#This Row],[Allergan Attorney Fees ]]))*0.15</f>
        <v>3328350.9154488165</v>
      </c>
      <c r="S8" s="8">
        <f>((Table14[[#This Row],[Walgreens]]+Table14[[#This Row],[CVS]]+Table14[[#This Row],[Walmart]])-(Table14[[#This Row],[Walgreens Attorney Fees]]+Table14[[#This Row],[CVS Attorney Fees]]+Table14[[#This Row],[Walmart Attorney Fees]]))*0.15</f>
        <v>3008132.6791339652</v>
      </c>
      <c r="T8" s="9">
        <f>((Table14[[#This Row],[Teva]]-Table14[[#This Row],[Teva Attorney Fees]])*0.15)+((Table14[[#This Row],[Allergan]]-Table14[[#This Row],[Allergan Attorney Fees ]])*0.15)+((Table14[[#This Row],[Walmart]]-Table14[[#This Row],[Walmart Attorney Fees]])*0.15)</f>
        <v>3328350.9154488165</v>
      </c>
      <c r="U8" s="9"/>
      <c r="V8" s="9">
        <f>Table14[[#This Row],[Subdivision Escrow Amount]]-W8</f>
        <v>0</v>
      </c>
      <c r="W8" s="9">
        <f>Table14[[#This Row],[Subdivision Escrow Amount]]/5.67</f>
        <v>0</v>
      </c>
      <c r="X8" s="9"/>
      <c r="Y8" s="9">
        <f t="shared" si="0"/>
        <v>3328350.9154488165</v>
      </c>
    </row>
    <row r="9" spans="1:25" s="7" customFormat="1" ht="15.6" x14ac:dyDescent="0.3">
      <c r="A9" s="1">
        <v>8</v>
      </c>
      <c r="B9" s="2">
        <v>48197</v>
      </c>
      <c r="C9" s="8">
        <v>10396000.192104772</v>
      </c>
      <c r="D9" s="8"/>
      <c r="E9" s="8">
        <v>10544770.375213776</v>
      </c>
      <c r="F9" s="8">
        <v>11263696.657831237</v>
      </c>
      <c r="G9" s="8"/>
      <c r="H9" s="8">
        <f>SUM(Table14[[#This Row],[Teva]:[Walmart]])</f>
        <v>32204467.225149784</v>
      </c>
      <c r="I9" s="8"/>
      <c r="J9" s="8"/>
      <c r="K9" s="8"/>
      <c r="L9" s="8"/>
      <c r="M9" s="8"/>
      <c r="N9" s="8">
        <f>Table14[[#This Row],[Pre Fee Total]]-Table14[[#This Row],[Teva Attorney Fees]]-Table14[[#This Row],[Allergan Attorney Fees ]]-Table14[[#This Row],[Walgreens Attorney Fees]]-Table14[[#This Row],[CVS Attorney Fees]]-Table14[[#This Row],[Walmart Attorney Fees]]</f>
        <v>32204467.225149784</v>
      </c>
      <c r="O9" s="8">
        <f>Table14[[#This Row],[Total Less Fees]]*0.15</f>
        <v>4830670.0837724674</v>
      </c>
      <c r="P9" s="8">
        <f>Table14[[#This Row],[Total Less Fees]]*0.7</f>
        <v>22543127.057604849</v>
      </c>
      <c r="Q9" s="8">
        <f>Table14[[#This Row],[Total Less Fees]]*0.15</f>
        <v>4830670.0837724674</v>
      </c>
      <c r="R9" s="8">
        <f>((Table14[[#This Row],[Teva]]+Table14[[#This Row],[Allergan]])-(Table14[[#This Row],[Teva Attorney Fees]]+Table14[[#This Row],[Allergan Attorney Fees ]]))*0.15</f>
        <v>1559400.0288157158</v>
      </c>
      <c r="S9" s="8">
        <f>((Table14[[#This Row],[Walgreens]]+Table14[[#This Row],[CVS]]+Table14[[#This Row],[Walmart]])-(Table14[[#This Row],[Walgreens Attorney Fees]]+Table14[[#This Row],[CVS Attorney Fees]]+Table14[[#This Row],[Walmart Attorney Fees]]))*0.15</f>
        <v>3271270.0549567519</v>
      </c>
      <c r="T9" s="9">
        <f>((Table14[[#This Row],[Teva]]-Table14[[#This Row],[Teva Attorney Fees]])*0.15)+((Table14[[#This Row],[Allergan]]-Table14[[#This Row],[Allergan Attorney Fees ]])*0.15)+((Table14[[#This Row],[Walmart]]-Table14[[#This Row],[Walmart Attorney Fees]])*0.15)</f>
        <v>1559400.0288157158</v>
      </c>
      <c r="U9" s="9"/>
      <c r="V9" s="9">
        <f>Table14[[#This Row],[Subdivision Escrow Amount]]-W9</f>
        <v>0</v>
      </c>
      <c r="W9" s="9">
        <f>Table14[[#This Row],[Subdivision Escrow Amount]]/5.67</f>
        <v>0</v>
      </c>
      <c r="X9" s="9"/>
      <c r="Y9" s="9">
        <f t="shared" si="0"/>
        <v>1559400.0288157158</v>
      </c>
    </row>
    <row r="10" spans="1:25" s="7" customFormat="1" ht="15.6" x14ac:dyDescent="0.3">
      <c r="A10" s="1">
        <v>9</v>
      </c>
      <c r="B10" s="2">
        <v>48563</v>
      </c>
      <c r="C10" s="8">
        <v>10396000.192104772</v>
      </c>
      <c r="D10" s="8"/>
      <c r="E10" s="8">
        <v>10544770.375213776</v>
      </c>
      <c r="F10" s="8">
        <v>11255434.610461835</v>
      </c>
      <c r="G10" s="8"/>
      <c r="H10" s="8">
        <f>SUM(Table14[[#This Row],[Teva]:[Walmart]])</f>
        <v>32196205.177780382</v>
      </c>
      <c r="I10" s="8"/>
      <c r="J10" s="8"/>
      <c r="K10" s="8"/>
      <c r="L10" s="8"/>
      <c r="M10" s="8"/>
      <c r="N10" s="8">
        <f>Table14[[#This Row],[Pre Fee Total]]-Table14[[#This Row],[Teva Attorney Fees]]-Table14[[#This Row],[Allergan Attorney Fees ]]-Table14[[#This Row],[Walgreens Attorney Fees]]-Table14[[#This Row],[CVS Attorney Fees]]-Table14[[#This Row],[Walmart Attorney Fees]]</f>
        <v>32196205.177780382</v>
      </c>
      <c r="O10" s="8">
        <f>Table14[[#This Row],[Total Less Fees]]*0.15</f>
        <v>4829430.7766670575</v>
      </c>
      <c r="P10" s="8">
        <f>Table14[[#This Row],[Total Less Fees]]*0.7</f>
        <v>22537343.624446265</v>
      </c>
      <c r="Q10" s="8">
        <f>Table14[[#This Row],[Total Less Fees]]*0.15</f>
        <v>4829430.7766670575</v>
      </c>
      <c r="R10" s="8">
        <f>((Table14[[#This Row],[Teva]]+Table14[[#This Row],[Allergan]])-(Table14[[#This Row],[Teva Attorney Fees]]+Table14[[#This Row],[Allergan Attorney Fees ]]))*0.15</f>
        <v>1559400.0288157158</v>
      </c>
      <c r="S10" s="8">
        <f>((Table14[[#This Row],[Walgreens]]+Table14[[#This Row],[CVS]]+Table14[[#This Row],[Walmart]])-(Table14[[#This Row],[Walgreens Attorney Fees]]+Table14[[#This Row],[CVS Attorney Fees]]+Table14[[#This Row],[Walmart Attorney Fees]]))*0.15</f>
        <v>3270030.7478513415</v>
      </c>
      <c r="T10" s="9">
        <f>((Table14[[#This Row],[Teva]]-Table14[[#This Row],[Teva Attorney Fees]])*0.15)+((Table14[[#This Row],[Allergan]]-Table14[[#This Row],[Allergan Attorney Fees ]])*0.15)+((Table14[[#This Row],[Walmart]]-Table14[[#This Row],[Walmart Attorney Fees]])*0.15)</f>
        <v>1559400.0288157158</v>
      </c>
      <c r="U10" s="9"/>
      <c r="V10" s="9">
        <f>Table14[[#This Row],[Subdivision Escrow Amount]]-W10</f>
        <v>0</v>
      </c>
      <c r="W10" s="9">
        <f>Table14[[#This Row],[Subdivision Escrow Amount]]/5.67</f>
        <v>0</v>
      </c>
      <c r="X10" s="9"/>
      <c r="Y10" s="9">
        <f t="shared" si="0"/>
        <v>1559400.0288157158</v>
      </c>
    </row>
    <row r="11" spans="1:25" s="7" customFormat="1" ht="15.6" x14ac:dyDescent="0.3">
      <c r="A11" s="1">
        <v>10</v>
      </c>
      <c r="B11" s="2">
        <v>48928</v>
      </c>
      <c r="C11" s="8">
        <v>10396000.192104772</v>
      </c>
      <c r="D11" s="8"/>
      <c r="E11" s="8">
        <v>10544770.375213776</v>
      </c>
      <c r="F11" s="8">
        <v>11255434.628814805</v>
      </c>
      <c r="G11" s="8"/>
      <c r="H11" s="8">
        <f>SUM(Table14[[#This Row],[Teva]:[Walmart]])</f>
        <v>32196205.196133353</v>
      </c>
      <c r="I11" s="8"/>
      <c r="J11" s="8"/>
      <c r="K11" s="8"/>
      <c r="L11" s="8"/>
      <c r="M11" s="8"/>
      <c r="N11" s="8">
        <f>Table14[[#This Row],[Pre Fee Total]]-Table14[[#This Row],[Teva Attorney Fees]]-Table14[[#This Row],[Allergan Attorney Fees ]]-Table14[[#This Row],[Walgreens Attorney Fees]]-Table14[[#This Row],[CVS Attorney Fees]]-Table14[[#This Row],[Walmart Attorney Fees]]</f>
        <v>32196205.196133353</v>
      </c>
      <c r="O11" s="8">
        <f>Table14[[#This Row],[Total Less Fees]]*0.15</f>
        <v>4829430.7794200024</v>
      </c>
      <c r="P11" s="8">
        <f>Table14[[#This Row],[Total Less Fees]]*0.7</f>
        <v>22537343.637293346</v>
      </c>
      <c r="Q11" s="8">
        <f>Table14[[#This Row],[Total Less Fees]]*0.15</f>
        <v>4829430.7794200024</v>
      </c>
      <c r="R11" s="8">
        <f>((Table14[[#This Row],[Teva]]+Table14[[#This Row],[Allergan]])-(Table14[[#This Row],[Teva Attorney Fees]]+Table14[[#This Row],[Allergan Attorney Fees ]]))*0.15</f>
        <v>1559400.0288157158</v>
      </c>
      <c r="S11" s="8">
        <f>((Table14[[#This Row],[Walgreens]]+Table14[[#This Row],[CVS]]+Table14[[#This Row],[Walmart]])-(Table14[[#This Row],[Walgreens Attorney Fees]]+Table14[[#This Row],[CVS Attorney Fees]]+Table14[[#This Row],[Walmart Attorney Fees]]))*0.15</f>
        <v>3270030.7506042873</v>
      </c>
      <c r="T11" s="9">
        <f>((Table14[[#This Row],[Teva]]-Table14[[#This Row],[Teva Attorney Fees]])*0.15)+((Table14[[#This Row],[Allergan]]-Table14[[#This Row],[Allergan Attorney Fees ]])*0.15)+((Table14[[#This Row],[Walmart]]-Table14[[#This Row],[Walmart Attorney Fees]])*0.15)</f>
        <v>1559400.0288157158</v>
      </c>
      <c r="U11" s="9"/>
      <c r="V11" s="9">
        <f>Table14[[#This Row],[Subdivision Escrow Amount]]-W11</f>
        <v>0</v>
      </c>
      <c r="W11" s="9">
        <f>Table14[[#This Row],[Subdivision Escrow Amount]]/5.67</f>
        <v>0</v>
      </c>
      <c r="X11" s="9"/>
      <c r="Y11" s="9">
        <f t="shared" si="0"/>
        <v>1559400.0288157158</v>
      </c>
    </row>
    <row r="12" spans="1:25" s="7" customFormat="1" ht="15.6" x14ac:dyDescent="0.3">
      <c r="A12" s="1">
        <v>11</v>
      </c>
      <c r="B12" s="2">
        <v>49293</v>
      </c>
      <c r="C12" s="8">
        <v>10396000.192104774</v>
      </c>
      <c r="D12" s="8"/>
      <c r="E12" s="8">
        <v>10544770.375213776</v>
      </c>
      <c r="F12" s="8"/>
      <c r="G12" s="8"/>
      <c r="H12" s="8">
        <f>SUM(Table14[[#This Row],[Teva]:[Walmart]])</f>
        <v>20940770.567318551</v>
      </c>
      <c r="I12" s="8"/>
      <c r="J12" s="8"/>
      <c r="K12" s="8"/>
      <c r="L12" s="8"/>
      <c r="M12" s="8"/>
      <c r="N12" s="8">
        <f>Table14[[#This Row],[Pre Fee Total]]-Table14[[#This Row],[Teva Attorney Fees]]-Table14[[#This Row],[Allergan Attorney Fees ]]-Table14[[#This Row],[Walgreens Attorney Fees]]-Table14[[#This Row],[CVS Attorney Fees]]-Table14[[#This Row],[Walmart Attorney Fees]]</f>
        <v>20940770.567318551</v>
      </c>
      <c r="O12" s="8">
        <f>Table14[[#This Row],[Total Less Fees]]*0.15</f>
        <v>3141115.5850977828</v>
      </c>
      <c r="P12" s="8">
        <f>Table14[[#This Row],[Total Less Fees]]*0.7</f>
        <v>14658539.397122985</v>
      </c>
      <c r="Q12" s="8">
        <f>Table14[[#This Row],[Total Less Fees]]*0.15</f>
        <v>3141115.5850977828</v>
      </c>
      <c r="R12" s="8">
        <f>((Table14[[#This Row],[Teva]]+Table14[[#This Row],[Allergan]])-(Table14[[#This Row],[Teva Attorney Fees]]+Table14[[#This Row],[Allergan Attorney Fees ]]))*0.15</f>
        <v>1559400.028815716</v>
      </c>
      <c r="S12" s="8">
        <f>((Table14[[#This Row],[Walgreens]]+Table14[[#This Row],[CVS]]+Table14[[#This Row],[Walmart]])-(Table14[[#This Row],[Walgreens Attorney Fees]]+Table14[[#This Row],[CVS Attorney Fees]]+Table14[[#This Row],[Walmart Attorney Fees]]))*0.15</f>
        <v>1581715.5562820663</v>
      </c>
      <c r="T12" s="9">
        <f>((Table14[[#This Row],[Teva]]-Table14[[#This Row],[Teva Attorney Fees]])*0.15)+((Table14[[#This Row],[Allergan]]-Table14[[#This Row],[Allergan Attorney Fees ]])*0.15)+((Table14[[#This Row],[Walmart]]-Table14[[#This Row],[Walmart Attorney Fees]])*0.15)</f>
        <v>1559400.028815716</v>
      </c>
      <c r="U12" s="9"/>
      <c r="V12" s="9">
        <f>Table14[[#This Row],[Subdivision Escrow Amount]]-W12</f>
        <v>0</v>
      </c>
      <c r="W12" s="9">
        <f>Table14[[#This Row],[Subdivision Escrow Amount]]/5.67</f>
        <v>0</v>
      </c>
      <c r="X12" s="9"/>
      <c r="Y12" s="9">
        <f t="shared" si="0"/>
        <v>1559400.028815716</v>
      </c>
    </row>
    <row r="13" spans="1:25" s="7" customFormat="1" ht="15.6" x14ac:dyDescent="0.3">
      <c r="A13" s="1">
        <v>12</v>
      </c>
      <c r="B13" s="2">
        <v>49658</v>
      </c>
      <c r="C13" s="8">
        <v>10396000.192104774</v>
      </c>
      <c r="D13" s="8"/>
      <c r="E13" s="8">
        <v>10544770.375213776</v>
      </c>
      <c r="F13" s="8"/>
      <c r="G13" s="8"/>
      <c r="H13" s="8">
        <f>SUM(Table14[[#This Row],[Teva]:[Walmart]])</f>
        <v>20940770.567318551</v>
      </c>
      <c r="I13" s="8"/>
      <c r="J13" s="8"/>
      <c r="K13" s="8"/>
      <c r="L13" s="8"/>
      <c r="M13" s="8"/>
      <c r="N13" s="8">
        <f>Table14[[#This Row],[Pre Fee Total]]-Table14[[#This Row],[Teva Attorney Fees]]-Table14[[#This Row],[Allergan Attorney Fees ]]-Table14[[#This Row],[Walgreens Attorney Fees]]-Table14[[#This Row],[CVS Attorney Fees]]-Table14[[#This Row],[Walmart Attorney Fees]]</f>
        <v>20940770.567318551</v>
      </c>
      <c r="O13" s="8">
        <f>Table14[[#This Row],[Total Less Fees]]*0.15</f>
        <v>3141115.5850977828</v>
      </c>
      <c r="P13" s="8">
        <f>Table14[[#This Row],[Total Less Fees]]*0.7</f>
        <v>14658539.397122985</v>
      </c>
      <c r="Q13" s="8">
        <f>Table14[[#This Row],[Total Less Fees]]*0.15</f>
        <v>3141115.5850977828</v>
      </c>
      <c r="R13" s="8">
        <f>((Table14[[#This Row],[Teva]]+Table14[[#This Row],[Allergan]])-(Table14[[#This Row],[Teva Attorney Fees]]+Table14[[#This Row],[Allergan Attorney Fees ]]))*0.15</f>
        <v>1559400.028815716</v>
      </c>
      <c r="S13" s="8">
        <f>((Table14[[#This Row],[Walgreens]]+Table14[[#This Row],[CVS]]+Table14[[#This Row],[Walmart]])-(Table14[[#This Row],[Walgreens Attorney Fees]]+Table14[[#This Row],[CVS Attorney Fees]]+Table14[[#This Row],[Walmart Attorney Fees]]))*0.15</f>
        <v>1581715.5562820663</v>
      </c>
      <c r="T13" s="9">
        <f>((Table14[[#This Row],[Teva]]-Table14[[#This Row],[Teva Attorney Fees]])*0.15)+((Table14[[#This Row],[Allergan]]-Table14[[#This Row],[Allergan Attorney Fees ]])*0.15)+((Table14[[#This Row],[Walmart]]-Table14[[#This Row],[Walmart Attorney Fees]])*0.15)</f>
        <v>1559400.028815716</v>
      </c>
      <c r="U13" s="9"/>
      <c r="V13" s="9">
        <f>Table14[[#This Row],[Subdivision Escrow Amount]]-W13</f>
        <v>0</v>
      </c>
      <c r="W13" s="9">
        <f>Table14[[#This Row],[Subdivision Escrow Amount]]/5.67</f>
        <v>0</v>
      </c>
      <c r="X13" s="9"/>
      <c r="Y13" s="9">
        <f t="shared" si="0"/>
        <v>1559400.028815716</v>
      </c>
    </row>
    <row r="14" spans="1:25" s="7" customFormat="1" ht="15.6" x14ac:dyDescent="0.3">
      <c r="A14" s="1">
        <v>13</v>
      </c>
      <c r="B14" s="2">
        <v>50024</v>
      </c>
      <c r="C14" s="8">
        <v>10396000.192104774</v>
      </c>
      <c r="D14" s="8"/>
      <c r="E14" s="8">
        <v>10544770.375213776</v>
      </c>
      <c r="F14" s="8"/>
      <c r="G14" s="8"/>
      <c r="H14" s="8">
        <f>SUM(Table14[[#This Row],[Teva]:[Walmart]])</f>
        <v>20940770.567318551</v>
      </c>
      <c r="I14" s="8"/>
      <c r="J14" s="8"/>
      <c r="K14" s="8"/>
      <c r="L14" s="8"/>
      <c r="M14" s="8"/>
      <c r="N14" s="8">
        <f>Table14[[#This Row],[Pre Fee Total]]-Table14[[#This Row],[Teva Attorney Fees]]-Table14[[#This Row],[Allergan Attorney Fees ]]-Table14[[#This Row],[Walgreens Attorney Fees]]-Table14[[#This Row],[CVS Attorney Fees]]-Table14[[#This Row],[Walmart Attorney Fees]]</f>
        <v>20940770.567318551</v>
      </c>
      <c r="O14" s="8">
        <f>Table14[[#This Row],[Total Less Fees]]*0.15</f>
        <v>3141115.5850977828</v>
      </c>
      <c r="P14" s="8">
        <f>Table14[[#This Row],[Total Less Fees]]*0.7</f>
        <v>14658539.397122985</v>
      </c>
      <c r="Q14" s="8">
        <f>Table14[[#This Row],[Total Less Fees]]*0.15</f>
        <v>3141115.5850977828</v>
      </c>
      <c r="R14" s="8">
        <f>((Table14[[#This Row],[Teva]]+Table14[[#This Row],[Allergan]])-(Table14[[#This Row],[Teva Attorney Fees]]+Table14[[#This Row],[Allergan Attorney Fees ]]))*0.15</f>
        <v>1559400.028815716</v>
      </c>
      <c r="S14" s="8">
        <f>((Table14[[#This Row],[Walgreens]]+Table14[[#This Row],[CVS]]+Table14[[#This Row],[Walmart]])-(Table14[[#This Row],[Walgreens Attorney Fees]]+Table14[[#This Row],[CVS Attorney Fees]]+Table14[[#This Row],[Walmart Attorney Fees]]))*0.15</f>
        <v>1581715.5562820663</v>
      </c>
      <c r="T14" s="9">
        <f>((Table14[[#This Row],[Teva]]-Table14[[#This Row],[Teva Attorney Fees]])*0.15)+((Table14[[#This Row],[Allergan]]-Table14[[#This Row],[Allergan Attorney Fees ]])*0.15)+((Table14[[#This Row],[Walmart]]-Table14[[#This Row],[Walmart Attorney Fees]])*0.15)</f>
        <v>1559400.028815716</v>
      </c>
      <c r="U14" s="9"/>
      <c r="V14" s="9">
        <f>Table14[[#This Row],[Subdivision Escrow Amount]]-W14</f>
        <v>0</v>
      </c>
      <c r="W14" s="9">
        <f>Table14[[#This Row],[Subdivision Escrow Amount]]/5.67</f>
        <v>0</v>
      </c>
      <c r="X14" s="9"/>
      <c r="Y14" s="9">
        <f t="shared" si="0"/>
        <v>1559400.028815716</v>
      </c>
    </row>
    <row r="15" spans="1:25" s="7" customFormat="1" ht="15.6" x14ac:dyDescent="0.3">
      <c r="A15" s="1">
        <v>14</v>
      </c>
      <c r="B15" s="2">
        <v>50389</v>
      </c>
      <c r="C15" s="8"/>
      <c r="D15" s="8"/>
      <c r="E15" s="8">
        <v>10544770.375213776</v>
      </c>
      <c r="F15" s="8"/>
      <c r="G15" s="8"/>
      <c r="H15" s="8">
        <f>SUM(Table14[[#This Row],[Teva]:[Walmart]])</f>
        <v>10544770.375213776</v>
      </c>
      <c r="I15" s="8"/>
      <c r="J15" s="8"/>
      <c r="K15" s="8"/>
      <c r="L15" s="8"/>
      <c r="M15" s="8"/>
      <c r="N15" s="8">
        <f>Table14[[#This Row],[Pre Fee Total]]-Table14[[#This Row],[Teva Attorney Fees]]-Table14[[#This Row],[Allergan Attorney Fees ]]-Table14[[#This Row],[Walgreens Attorney Fees]]-Table14[[#This Row],[CVS Attorney Fees]]-Table14[[#This Row],[Walmart Attorney Fees]]</f>
        <v>10544770.375213776</v>
      </c>
      <c r="O15" s="8">
        <f>Table14[[#This Row],[Total Less Fees]]*0.15</f>
        <v>1581715.5562820663</v>
      </c>
      <c r="P15" s="8">
        <f>Table14[[#This Row],[Total Less Fees]]*0.7</f>
        <v>7381339.2626496423</v>
      </c>
      <c r="Q15" s="8">
        <f>Table14[[#This Row],[Total Less Fees]]*0.15</f>
        <v>1581715.5562820663</v>
      </c>
      <c r="R15" s="8">
        <f>((Table14[[#This Row],[Teva]]+Table14[[#This Row],[Allergan]])-(Table14[[#This Row],[Teva Attorney Fees]]+Table14[[#This Row],[Allergan Attorney Fees ]]))*0.15</f>
        <v>0</v>
      </c>
      <c r="S15" s="8">
        <f>((Table14[[#This Row],[Walgreens]]+Table14[[#This Row],[CVS]]+Table14[[#This Row],[Walmart]])-(Table14[[#This Row],[Walgreens Attorney Fees]]+Table14[[#This Row],[CVS Attorney Fees]]+Table14[[#This Row],[Walmart Attorney Fees]]))*0.15</f>
        <v>1581715.5562820663</v>
      </c>
      <c r="T15" s="9">
        <f>((Table14[[#This Row],[Teva]]-Table14[[#This Row],[Teva Attorney Fees]])*0.15)+((Table14[[#This Row],[Allergan]]-Table14[[#This Row],[Allergan Attorney Fees ]])*0.15)+((Table14[[#This Row],[Walmart]]-Table14[[#This Row],[Walmart Attorney Fees]])*0.15)</f>
        <v>0</v>
      </c>
      <c r="U15" s="9"/>
      <c r="V15" s="9">
        <f>Table14[[#This Row],[Subdivision Escrow Amount]]-W15</f>
        <v>0</v>
      </c>
      <c r="W15" s="9">
        <f>Table14[[#This Row],[Subdivision Escrow Amount]]/5.67</f>
        <v>0</v>
      </c>
      <c r="X15" s="9"/>
      <c r="Y15" s="9">
        <f t="shared" si="0"/>
        <v>0</v>
      </c>
    </row>
    <row r="16" spans="1:25" s="7" customFormat="1" ht="15.6" x14ac:dyDescent="0.3">
      <c r="A16" s="1">
        <v>15</v>
      </c>
      <c r="B16" s="2">
        <v>50754</v>
      </c>
      <c r="C16" s="8"/>
      <c r="D16" s="8"/>
      <c r="E16" s="8">
        <v>10544770.375213776</v>
      </c>
      <c r="F16" s="8"/>
      <c r="G16" s="8"/>
      <c r="H16" s="8">
        <f>SUM(Table14[[#This Row],[Teva]:[Walmart]])</f>
        <v>10544770.375213776</v>
      </c>
      <c r="I16" s="8"/>
      <c r="J16" s="8"/>
      <c r="K16" s="8"/>
      <c r="L16" s="8"/>
      <c r="M16" s="8"/>
      <c r="N16" s="8">
        <f>Table14[[#This Row],[Pre Fee Total]]-Table14[[#This Row],[Teva Attorney Fees]]-Table14[[#This Row],[Allergan Attorney Fees ]]-Table14[[#This Row],[Walgreens Attorney Fees]]-Table14[[#This Row],[CVS Attorney Fees]]-Table14[[#This Row],[Walmart Attorney Fees]]</f>
        <v>10544770.375213776</v>
      </c>
      <c r="O16" s="8">
        <f>Table14[[#This Row],[Total Less Fees]]*0.15</f>
        <v>1581715.5562820663</v>
      </c>
      <c r="P16" s="8">
        <f>Table14[[#This Row],[Total Less Fees]]*0.7</f>
        <v>7381339.2626496423</v>
      </c>
      <c r="Q16" s="8">
        <f>Table14[[#This Row],[Total Less Fees]]*0.15</f>
        <v>1581715.5562820663</v>
      </c>
      <c r="R16" s="8">
        <f>((Table14[[#This Row],[Teva]]+Table14[[#This Row],[Allergan]])-(Table14[[#This Row],[Teva Attorney Fees]]+Table14[[#This Row],[Allergan Attorney Fees ]]))*0.15</f>
        <v>0</v>
      </c>
      <c r="S16" s="8">
        <f>((Table14[[#This Row],[Walgreens]]+Table14[[#This Row],[CVS]]+Table14[[#This Row],[Walmart]])-(Table14[[#This Row],[Walgreens Attorney Fees]]+Table14[[#This Row],[CVS Attorney Fees]]+Table14[[#This Row],[Walmart Attorney Fees]]))*0.15</f>
        <v>1581715.5562820663</v>
      </c>
      <c r="T16" s="9">
        <f>((Table14[[#This Row],[Teva]]-Table14[[#This Row],[Teva Attorney Fees]])*0.15)+((Table14[[#This Row],[Allergan]]-Table14[[#This Row],[Allergan Attorney Fees ]])*0.15)+((Table14[[#This Row],[Walmart]]-Table14[[#This Row],[Walmart Attorney Fees]])*0.15)</f>
        <v>0</v>
      </c>
      <c r="U16" s="9"/>
      <c r="V16" s="9">
        <f>Table14[[#This Row],[Subdivision Escrow Amount]]-W16</f>
        <v>0</v>
      </c>
      <c r="W16" s="9">
        <f>Table14[[#This Row],[Subdivision Escrow Amount]]/5.67</f>
        <v>0</v>
      </c>
      <c r="X16" s="9"/>
      <c r="Y16" s="9">
        <f t="shared" si="0"/>
        <v>0</v>
      </c>
    </row>
    <row r="17" spans="1:25" s="7" customFormat="1" ht="15.6" x14ac:dyDescent="0.3">
      <c r="A17" s="8" t="s">
        <v>6</v>
      </c>
      <c r="B17" s="8"/>
      <c r="C17" s="8">
        <f>SUM(C2:C16)</f>
        <v>127545865.24315248</v>
      </c>
      <c r="D17" s="8">
        <f>SUM(D2:D16)</f>
        <v>72941813.593977854</v>
      </c>
      <c r="E17" s="8">
        <f>SUM(E2:E16)</f>
        <v>132081957.58022822</v>
      </c>
      <c r="F17" s="8">
        <f>SUM(F2:F16)</f>
        <v>98951975.597084329</v>
      </c>
      <c r="G17" s="8">
        <f>SUM(G2:G16)</f>
        <v>123055430.323146</v>
      </c>
      <c r="H17" s="8">
        <f>SUM(Table14[[#This Row],[Teva]:[Walmart]])</f>
        <v>554577042.33758891</v>
      </c>
      <c r="I17" s="8">
        <f>Table14[[#This Row],[Teva]]*0.0218</f>
        <v>2780499.8623007243</v>
      </c>
      <c r="J17" s="8">
        <f>Table14[[#This Row],[Allergan]]*(0.0297)</f>
        <v>2166371.8637411422</v>
      </c>
      <c r="K17" s="8">
        <f>Table14[[#This Row],[Walgreens]]*0.007</f>
        <v>924573.70306159754</v>
      </c>
      <c r="L17" s="8">
        <f>SUM(Table14[[#This Row],[CVS]]*0.0126)</f>
        <v>1246794.8925232626</v>
      </c>
      <c r="M17" s="8">
        <f>Table14[[#This Row],[Walmart]]*0.0138</f>
        <v>1698164.9384594148</v>
      </c>
      <c r="N17" s="8">
        <f>Table14[[#This Row],[Pre Fee Total]]-Table14[[#This Row],[Teva Attorney Fees]]-Table14[[#This Row],[Allergan Attorney Fees ]]-Table14[[#This Row],[Walgreens Attorney Fees]]-Table14[[#This Row],[CVS Attorney Fees]]-Table14[[#This Row],[Walmart Attorney Fees]]</f>
        <v>545760637.07750273</v>
      </c>
      <c r="O17" s="8">
        <f>Table14[[#This Row],[Total Less Fees]]*0.15</f>
        <v>81864095.561625406</v>
      </c>
      <c r="P17" s="8">
        <f>Table14[[#This Row],[Total Less Fees]]*0.7</f>
        <v>382032445.95425189</v>
      </c>
      <c r="Q17" s="8">
        <f>Table14[[#This Row],[Total Less Fees]]*0.15</f>
        <v>81864095.561625406</v>
      </c>
      <c r="R17" s="8">
        <f>((Table14[[#This Row],[Teva]]+Table14[[#This Row],[Allergan]])-(Table14[[#This Row],[Teva Attorney Fees]]+Table14[[#This Row],[Allergan Attorney Fees ]]))*0.15</f>
        <v>29331121.066663273</v>
      </c>
      <c r="S17" s="8">
        <f>((Table14[[#This Row],[Walgreens]]+Table14[[#This Row],[CVS]]+Table14[[#This Row],[Walmart]])-(Table14[[#This Row],[Walgreens Attorney Fees]]+Table14[[#This Row],[CVS Attorney Fees]]+Table14[[#This Row],[Walmart Attorney Fees]]))*0.15</f>
        <v>52532974.494962141</v>
      </c>
      <c r="T17" s="9">
        <f>((C17-I17)*0.15)+((D17-J17)*0.15)+((G17-M17)*0.15)</f>
        <v>47534710.874366254</v>
      </c>
      <c r="U17" s="9">
        <f>6000000-(6000000*0.0138)</f>
        <v>5917200</v>
      </c>
      <c r="V17" s="9">
        <f>Table14[[#This Row],[Subdivision Escrow Amount]]-W17</f>
        <v>4873602.1164021166</v>
      </c>
      <c r="W17" s="9">
        <f>Table14[[#This Row],[Subdivision Escrow Amount]]/5.67</f>
        <v>1043597.8835978836</v>
      </c>
      <c r="X17" s="9">
        <f>(Table14[[#This Row],[Teva Attorney Fees]]*0.15)+(Table14[[#This Row],[Allergan Attorney Fees ]]*0.15)+(Table14[[#This Row],[Walmart Attorney Fees]]*0.15)+(6000000*0.0138)</f>
        <v>1079555.4996751922</v>
      </c>
      <c r="Y17" s="9">
        <f>SUM(T17,U17,X17)</f>
        <v>54531466.374041446</v>
      </c>
    </row>
    <row r="18" spans="1:25" ht="15.6" x14ac:dyDescent="0.3">
      <c r="T18" s="3"/>
      <c r="U18" s="3"/>
      <c r="V18" s="3"/>
      <c r="W18" s="3"/>
      <c r="X18" s="3"/>
      <c r="Y18" s="3"/>
    </row>
    <row r="19" spans="1:25" ht="15.6" x14ac:dyDescent="0.3">
      <c r="A19" t="s">
        <v>237</v>
      </c>
      <c r="J19" s="16"/>
      <c r="T19" s="3"/>
      <c r="U19" s="3"/>
      <c r="V19" s="3"/>
      <c r="W19" s="3"/>
      <c r="X19" s="11"/>
      <c r="Y19" s="3"/>
    </row>
    <row r="20" spans="1:25" ht="15.6" x14ac:dyDescent="0.3">
      <c r="D20" s="16"/>
      <c r="H20" s="16"/>
      <c r="I20" s="16"/>
      <c r="J20" s="46"/>
      <c r="K20" s="46"/>
      <c r="S20" s="7"/>
      <c r="T20" s="3"/>
      <c r="U20" s="3"/>
      <c r="V20" s="3"/>
      <c r="W20" s="3"/>
      <c r="X20" s="3"/>
      <c r="Y20" s="3"/>
    </row>
    <row r="21" spans="1:25" ht="15.6" x14ac:dyDescent="0.3">
      <c r="C21" s="154"/>
      <c r="D21" s="156"/>
      <c r="E21" s="154"/>
      <c r="F21" s="154"/>
      <c r="G21" s="154"/>
      <c r="H21" s="156"/>
      <c r="I21" s="157"/>
      <c r="J21" s="157"/>
      <c r="K21" s="157"/>
      <c r="T21" s="3"/>
      <c r="U21" s="3"/>
      <c r="V21" s="3"/>
      <c r="W21" s="3"/>
      <c r="X21" s="3"/>
      <c r="Y21" s="3"/>
    </row>
    <row r="22" spans="1:25" ht="15.6" x14ac:dyDescent="0.3">
      <c r="C22" s="154"/>
      <c r="D22" s="156"/>
      <c r="E22" s="154"/>
      <c r="F22" s="156"/>
      <c r="G22" s="154"/>
      <c r="H22" s="156"/>
      <c r="I22" s="157"/>
      <c r="J22" s="157"/>
      <c r="K22" s="157"/>
      <c r="S22" s="7"/>
      <c r="T22" s="9"/>
      <c r="U22" s="3"/>
      <c r="V22" s="3"/>
      <c r="W22" s="3"/>
      <c r="X22" s="3"/>
      <c r="Y22" s="9"/>
    </row>
    <row r="23" spans="1:25" ht="15.6" x14ac:dyDescent="0.3">
      <c r="C23" s="154"/>
      <c r="D23" s="156"/>
      <c r="E23" s="154"/>
      <c r="F23" s="154"/>
      <c r="G23" s="154"/>
      <c r="H23" s="156"/>
      <c r="I23" s="157"/>
      <c r="J23" s="157"/>
      <c r="K23" s="157"/>
      <c r="S23" s="7"/>
      <c r="T23" s="3"/>
      <c r="U23" s="3"/>
      <c r="V23" s="3"/>
      <c r="W23" s="3"/>
      <c r="X23" s="9"/>
      <c r="Y23" s="3"/>
    </row>
    <row r="24" spans="1:25" ht="15.6" x14ac:dyDescent="0.3">
      <c r="C24" s="154"/>
      <c r="D24" s="156"/>
      <c r="E24" s="154"/>
      <c r="F24" s="154"/>
      <c r="G24" s="154"/>
      <c r="H24" s="156"/>
      <c r="I24" s="157"/>
      <c r="J24" s="157"/>
      <c r="K24" s="157"/>
      <c r="T24" s="3"/>
      <c r="U24" s="9"/>
      <c r="V24" s="9"/>
      <c r="W24" s="9"/>
      <c r="X24" s="3"/>
      <c r="Y24" s="3"/>
    </row>
    <row r="25" spans="1:25" x14ac:dyDescent="0.3">
      <c r="C25" s="154"/>
      <c r="D25" s="156"/>
      <c r="E25" s="154"/>
      <c r="F25" s="154"/>
      <c r="G25" s="154"/>
      <c r="H25" s="156"/>
      <c r="I25" s="158"/>
      <c r="J25" s="157"/>
      <c r="K25" s="157"/>
      <c r="L25" s="34"/>
      <c r="S25" s="7"/>
    </row>
    <row r="26" spans="1:25" x14ac:dyDescent="0.3">
      <c r="C26" s="154"/>
      <c r="D26" s="156"/>
      <c r="E26" s="154"/>
      <c r="F26" s="154"/>
      <c r="G26" s="154"/>
      <c r="H26" s="154"/>
      <c r="I26" s="154"/>
      <c r="J26" s="154"/>
      <c r="K26" s="154"/>
      <c r="S26" s="7"/>
    </row>
    <row r="27" spans="1:25" x14ac:dyDescent="0.3">
      <c r="D27" s="34"/>
      <c r="E27" s="16"/>
      <c r="L27" s="7"/>
      <c r="R27" s="7"/>
      <c r="S27" s="7"/>
    </row>
    <row r="28" spans="1:25" x14ac:dyDescent="0.3">
      <c r="C28" s="154"/>
      <c r="D28" s="156"/>
      <c r="E28" s="154"/>
      <c r="F28" s="154"/>
      <c r="G28" s="154"/>
      <c r="H28" s="154"/>
      <c r="I28" s="154"/>
      <c r="J28" s="154"/>
      <c r="K28" s="154"/>
      <c r="L28" s="156"/>
      <c r="M28" s="7"/>
      <c r="R28" s="7"/>
      <c r="S28" s="7"/>
    </row>
    <row r="29" spans="1:25" x14ac:dyDescent="0.3">
      <c r="C29" s="154"/>
      <c r="D29" s="154"/>
      <c r="E29" s="154"/>
      <c r="F29" s="154"/>
      <c r="G29" s="154"/>
      <c r="H29" s="154"/>
      <c r="I29" s="154"/>
      <c r="J29" s="154"/>
      <c r="K29" s="154"/>
      <c r="L29" s="154"/>
      <c r="S29" s="7"/>
    </row>
    <row r="30" spans="1:25" x14ac:dyDescent="0.3">
      <c r="B30" s="16"/>
      <c r="C30" s="154"/>
      <c r="D30" s="159"/>
      <c r="E30" s="154"/>
      <c r="F30" s="159"/>
      <c r="G30" s="154"/>
      <c r="H30" s="159"/>
      <c r="I30" s="154"/>
      <c r="J30" s="159"/>
      <c r="K30" s="154"/>
      <c r="L30" s="154"/>
      <c r="S30" s="7"/>
    </row>
    <row r="31" spans="1:25" x14ac:dyDescent="0.3">
      <c r="C31" s="160"/>
      <c r="D31" s="154"/>
      <c r="E31" s="157"/>
      <c r="F31" s="154"/>
      <c r="G31" s="157"/>
      <c r="H31" s="154"/>
      <c r="I31" s="157"/>
      <c r="J31" s="154"/>
      <c r="K31" s="157"/>
      <c r="L31" s="154"/>
    </row>
    <row r="32" spans="1:25" x14ac:dyDescent="0.3">
      <c r="C32" s="160"/>
      <c r="D32" s="154"/>
      <c r="E32" s="157"/>
      <c r="F32" s="154"/>
      <c r="G32" s="157"/>
      <c r="H32" s="154"/>
      <c r="I32" s="157"/>
      <c r="J32" s="154"/>
      <c r="K32" s="157"/>
      <c r="L32" s="154"/>
    </row>
    <row r="33" spans="3:12" x14ac:dyDescent="0.3">
      <c r="C33" s="161"/>
      <c r="D33" s="154"/>
      <c r="E33" s="157"/>
      <c r="F33" s="154"/>
      <c r="G33" s="157"/>
      <c r="H33" s="154"/>
      <c r="I33" s="157"/>
      <c r="J33" s="154"/>
      <c r="K33" s="162"/>
      <c r="L33" s="154"/>
    </row>
    <row r="34" spans="3:12" x14ac:dyDescent="0.3">
      <c r="C34" s="161"/>
      <c r="D34" s="154"/>
      <c r="E34" s="157"/>
      <c r="F34" s="154"/>
      <c r="G34" s="157"/>
      <c r="H34" s="154"/>
      <c r="I34" s="156"/>
      <c r="J34" s="154"/>
      <c r="K34" s="156"/>
      <c r="L34" s="154"/>
    </row>
    <row r="35" spans="3:12" x14ac:dyDescent="0.3">
      <c r="C35" s="154"/>
      <c r="D35" s="154"/>
      <c r="E35" s="154"/>
      <c r="F35" s="154"/>
      <c r="G35" s="154"/>
      <c r="H35" s="156"/>
      <c r="I35" s="154"/>
      <c r="J35" s="154"/>
      <c r="K35" s="154"/>
      <c r="L35" s="154"/>
    </row>
    <row r="36" spans="3:12" x14ac:dyDescent="0.3">
      <c r="C36" s="154"/>
      <c r="D36" s="154"/>
      <c r="E36" s="154"/>
      <c r="F36" s="154"/>
      <c r="G36" s="154"/>
      <c r="H36" s="154"/>
      <c r="I36" s="154"/>
      <c r="J36" s="154"/>
      <c r="K36" s="154"/>
      <c r="L36" s="154"/>
    </row>
    <row r="37" spans="3:12" x14ac:dyDescent="0.3">
      <c r="C37" s="163"/>
      <c r="D37" s="156"/>
      <c r="E37" s="154"/>
      <c r="F37" s="154"/>
      <c r="G37" s="154"/>
      <c r="H37" s="154"/>
      <c r="I37" s="154"/>
      <c r="J37" s="154"/>
      <c r="K37" s="154"/>
      <c r="L37" s="154"/>
    </row>
    <row r="38" spans="3:12" x14ac:dyDescent="0.3">
      <c r="C38" s="163"/>
      <c r="D38" s="156"/>
      <c r="E38" s="154"/>
      <c r="F38" s="154"/>
      <c r="G38" s="154"/>
      <c r="H38" s="154"/>
      <c r="I38" s="154"/>
      <c r="J38" s="154"/>
      <c r="K38" s="154"/>
      <c r="L38" s="154"/>
    </row>
    <row r="39" spans="3:12" x14ac:dyDescent="0.3">
      <c r="C39" s="154"/>
      <c r="D39" s="156"/>
      <c r="E39" s="154"/>
      <c r="F39" s="154"/>
      <c r="G39" s="154"/>
      <c r="H39" s="154"/>
      <c r="I39" s="154"/>
      <c r="J39" s="154"/>
      <c r="K39" s="154"/>
      <c r="L39" s="154"/>
    </row>
    <row r="40" spans="3:12" x14ac:dyDescent="0.3">
      <c r="C40" s="154"/>
      <c r="D40" s="154"/>
      <c r="E40" s="154"/>
      <c r="F40" s="154"/>
      <c r="G40" s="154"/>
      <c r="H40" s="154"/>
      <c r="I40" s="154"/>
      <c r="J40" s="154"/>
      <c r="K40" s="154"/>
      <c r="L40" s="154"/>
    </row>
    <row r="41" spans="3:12" x14ac:dyDescent="0.3">
      <c r="C41" s="154"/>
      <c r="D41" s="154"/>
      <c r="E41" s="154"/>
      <c r="F41" s="154"/>
      <c r="G41" s="154"/>
      <c r="H41" s="154"/>
      <c r="I41" s="154"/>
      <c r="J41" s="154"/>
      <c r="K41" s="154"/>
      <c r="L41" s="154"/>
    </row>
  </sheetData>
  <pageMargins left="0.7" right="0.7" top="0.75" bottom="0.75" header="0.3" footer="0.3"/>
  <pageSetup orientation="portrait" r:id="rId1"/>
  <customProperties>
    <customPr name="OrphanNamesChecked" r:id="rId2"/>
  </customProperties>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opLeftCell="F1" workbookViewId="0">
      <selection activeCell="I26" sqref="I26"/>
    </sheetView>
  </sheetViews>
  <sheetFormatPr defaultRowHeight="14.4" x14ac:dyDescent="0.3"/>
  <cols>
    <col min="1" max="1" width="14.33203125" customWidth="1"/>
    <col min="2" max="2" width="20.6640625" customWidth="1"/>
    <col min="3" max="8" width="23.44140625" customWidth="1"/>
    <col min="9" max="9" width="25.6640625" customWidth="1"/>
    <col min="10" max="10" width="35" customWidth="1"/>
    <col min="11" max="11" width="22.5546875" customWidth="1"/>
  </cols>
  <sheetData>
    <row r="1" spans="1:11" ht="15.6" x14ac:dyDescent="0.3">
      <c r="A1" s="1" t="s">
        <v>0</v>
      </c>
      <c r="B1" s="1" t="s">
        <v>1</v>
      </c>
      <c r="C1" s="1" t="s">
        <v>4</v>
      </c>
      <c r="D1" s="1" t="s">
        <v>106</v>
      </c>
      <c r="E1" s="1" t="s">
        <v>107</v>
      </c>
      <c r="F1" s="1" t="s">
        <v>108</v>
      </c>
      <c r="G1" s="1" t="s">
        <v>109</v>
      </c>
      <c r="H1" s="1" t="s">
        <v>110</v>
      </c>
      <c r="I1" s="3" t="s">
        <v>111</v>
      </c>
      <c r="J1" s="3" t="s">
        <v>112</v>
      </c>
      <c r="K1" t="s">
        <v>113</v>
      </c>
    </row>
    <row r="2" spans="1:11" ht="15.6" x14ac:dyDescent="0.3">
      <c r="A2" s="3">
        <v>1</v>
      </c>
      <c r="B2" s="3">
        <v>2024</v>
      </c>
      <c r="C2" s="4">
        <f>Table14[[#This Row],[Total Less Fees]]*0.7</f>
        <v>82082597.361619756</v>
      </c>
      <c r="D2" s="4">
        <f>(Table14[[#This Row],[Teva]]-Table14[[#This Row],[Teva Attorney Fees]])*0.7</f>
        <v>-389269.98072210141</v>
      </c>
      <c r="E2" s="4">
        <f>(Table14[[#This Row],[Allergan]]-Table14[[#This Row],[Allergan Attorney Fees ]])*0.7</f>
        <v>-303292.06092375994</v>
      </c>
      <c r="F2" s="4">
        <f>(Table14[[#This Row],[Walgreens]]-Table14[[#This Row],[Walgreens Attorney Fees]])*0.7</f>
        <v>-129440.31842862366</v>
      </c>
      <c r="G2" s="4">
        <f>(Table14[[#This Row],[CVS]]-Table14[[#This Row],[CVS Attorney Fees]])*0.7</f>
        <v>-174551.28495325678</v>
      </c>
      <c r="H2" s="4">
        <f>(Table14[[#This Row],[Walmart]]-Table14[[#This Row],[Walmart Attorney Fees]])*0.7</f>
        <v>83079151.006647497</v>
      </c>
      <c r="I2" s="9">
        <f>Table14[[#This Row],[County Escrow]]</f>
        <v>4873602.1164021166</v>
      </c>
      <c r="J2" s="9">
        <f>(SUM(D2,E2,H2))-Table145[[#This Row],[Walmart Escrow Amount]]</f>
        <v>77512986.848599523</v>
      </c>
      <c r="K2" s="8">
        <f>SUM(Table145[[#This Row],[Walgreens County Amount]:[CVS County Amount]])</f>
        <v>-303991.60338188044</v>
      </c>
    </row>
    <row r="3" spans="1:11" ht="15.6" x14ac:dyDescent="0.3">
      <c r="A3" s="1">
        <v>2</v>
      </c>
      <c r="B3" s="2">
        <v>46006</v>
      </c>
      <c r="C3" s="4">
        <f>Table14[[#This Row],[Total Less Fees]]*0.7</f>
        <v>33629241.313972265</v>
      </c>
      <c r="D3" s="4">
        <f>(Table14[[#This Row],[Teva]]-Table14[[#This Row],[Teva Attorney Fees]])*0.7</f>
        <v>8843634.2102778982</v>
      </c>
      <c r="E3" s="4">
        <f>(Table14[[#This Row],[Allergan]]-Table14[[#This Row],[Allergan Attorney Fees ]])*0.7</f>
        <v>9480456.767076239</v>
      </c>
      <c r="F3" s="4">
        <f>(Table14[[#This Row],[Walgreens]]-Table14[[#This Row],[Walgreens Attorney Fees]])*0.7</f>
        <v>8599979.3805713765</v>
      </c>
      <c r="G3" s="4">
        <f>(Table14[[#This Row],[CVS]]-Table14[[#This Row],[CVS Attorney Fees]])*0.7</f>
        <v>6705170.9560467433</v>
      </c>
      <c r="H3" s="6">
        <f>(Table14[[#This Row],[Walmart]]-Table14[[#This Row],[Walmart Attorney Fees]])*0.7</f>
        <v>0</v>
      </c>
      <c r="I3" s="8">
        <v>0</v>
      </c>
      <c r="J3" s="8">
        <f>(SUM(D3,E3,H3))-Table145[[#This Row],[Walmart Escrow Amount]]</f>
        <v>18324090.977354139</v>
      </c>
      <c r="K3" s="8">
        <f>SUM(Table145[[#This Row],[Walgreens County Amount]:[CVS County Amount]])</f>
        <v>15305150.33661812</v>
      </c>
    </row>
    <row r="4" spans="1:11" ht="15.6" x14ac:dyDescent="0.3">
      <c r="A4" s="1">
        <v>3</v>
      </c>
      <c r="B4" s="2">
        <v>46371</v>
      </c>
      <c r="C4" s="8">
        <f>Table14[[#This Row],[Total Less Fees]]*0.7</f>
        <v>26604509.99069526</v>
      </c>
      <c r="D4" s="8">
        <f>(Table14[[#This Row],[Teva]]-Table14[[#This Row],[Teva Attorney Fees]])*0.7</f>
        <v>6887930.1537512392</v>
      </c>
      <c r="E4" s="8">
        <f>(Table14[[#This Row],[Allergan]]-Table14[[#This Row],[Allergan Attorney Fees ]])*0.7</f>
        <v>7951812.0763761988</v>
      </c>
      <c r="F4" s="8">
        <f>(Table14[[#This Row],[Walgreens]]-Table14[[#This Row],[Walgreens Attorney Fees]])*0.7</f>
        <v>4237003.0963189229</v>
      </c>
      <c r="G4" s="8">
        <f>(Table14[[#This Row],[CVS]]-Table14[[#This Row],[CVS Attorney Fees]])*0.7</f>
        <v>7119466.7464367012</v>
      </c>
      <c r="H4" s="8">
        <f>(Table14[[#This Row],[Walmart]]-Table14[[#This Row],[Walmart Attorney Fees]])*0.7</f>
        <v>408297.91781219834</v>
      </c>
      <c r="I4" s="9">
        <v>0</v>
      </c>
      <c r="J4" s="9">
        <f>(SUM(D4,E4,H4))-Table145[[#This Row],[Walmart Escrow Amount]]</f>
        <v>15248040.147939637</v>
      </c>
      <c r="K4" s="8">
        <f>SUM(Table145[[#This Row],[Walgreens County Amount]:[CVS County Amount]])</f>
        <v>11356469.842755623</v>
      </c>
    </row>
    <row r="5" spans="1:11" ht="15.6" x14ac:dyDescent="0.3">
      <c r="A5" s="1">
        <v>4</v>
      </c>
      <c r="B5" s="2">
        <v>46736</v>
      </c>
      <c r="C5" s="8">
        <f>Table14[[#This Row],[Total Less Fees]]*0.7</f>
        <v>26604509.991016436</v>
      </c>
      <c r="D5" s="8">
        <f>(Table14[[#This Row],[Teva]]-Table14[[#This Row],[Teva Attorney Fees]])*0.7</f>
        <v>6887930.1537512392</v>
      </c>
      <c r="E5" s="8">
        <f>(Table14[[#This Row],[Allergan]]-Table14[[#This Row],[Allergan Attorney Fees ]])*0.7</f>
        <v>7951812.0766973756</v>
      </c>
      <c r="F5" s="8">
        <f>(Table14[[#This Row],[Walgreens]]-Table14[[#This Row],[Walgreens Attorney Fees]])*0.7</f>
        <v>4237003.0963189229</v>
      </c>
      <c r="G5" s="8">
        <f>(Table14[[#This Row],[CVS]]-Table14[[#This Row],[CVS Attorney Fees]])*0.7</f>
        <v>7119466.7464367012</v>
      </c>
      <c r="H5" s="8">
        <f>(Table14[[#This Row],[Walmart]]-Table14[[#This Row],[Walmart Attorney Fees]])*0.7</f>
        <v>408297.91781219834</v>
      </c>
      <c r="I5" s="9">
        <v>0</v>
      </c>
      <c r="J5" s="9">
        <f>(SUM(D5,E5,H5))-Table145[[#This Row],[Walmart Escrow Amount]]</f>
        <v>15248040.148260813</v>
      </c>
      <c r="K5" s="8">
        <f>SUM(Table145[[#This Row],[Walgreens County Amount]:[CVS County Amount]])</f>
        <v>11356469.842755623</v>
      </c>
    </row>
    <row r="6" spans="1:11" ht="15.6" x14ac:dyDescent="0.3">
      <c r="A6" s="1">
        <v>5</v>
      </c>
      <c r="B6" s="2">
        <v>47102</v>
      </c>
      <c r="C6" s="8">
        <f>Table14[[#This Row],[Total Less Fees]]*0.7</f>
        <v>26604509.991016436</v>
      </c>
      <c r="D6" s="8">
        <f>(Table14[[#This Row],[Teva]]-Table14[[#This Row],[Teva Attorney Fees]])*0.7</f>
        <v>6887930.1537512392</v>
      </c>
      <c r="E6" s="8">
        <f>(Table14[[#This Row],[Allergan]]-Table14[[#This Row],[Allergan Attorney Fees ]])*0.7</f>
        <v>7951812.0766973756</v>
      </c>
      <c r="F6" s="8">
        <f>(Table14[[#This Row],[Walgreens]]-Table14[[#This Row],[Walgreens Attorney Fees]])*0.7</f>
        <v>4237003.0963189229</v>
      </c>
      <c r="G6" s="8">
        <f>(Table14[[#This Row],[CVS]]-Table14[[#This Row],[CVS Attorney Fees]])*0.7</f>
        <v>7119466.7464367012</v>
      </c>
      <c r="H6" s="8">
        <f>(Table14[[#This Row],[Walmart]]-Table14[[#This Row],[Walmart Attorney Fees]])*0.7</f>
        <v>408297.91781219834</v>
      </c>
      <c r="I6" s="9">
        <v>0</v>
      </c>
      <c r="J6" s="9">
        <f>(SUM(D6,E6,H6))-Table145[[#This Row],[Walmart Escrow Amount]]</f>
        <v>15248040.148260813</v>
      </c>
      <c r="K6" s="8">
        <f>SUM(Table145[[#This Row],[Walgreens County Amount]:[CVS County Amount]])</f>
        <v>11356469.842755623</v>
      </c>
    </row>
    <row r="7" spans="1:11" ht="15.6" x14ac:dyDescent="0.3">
      <c r="A7" s="1">
        <v>6</v>
      </c>
      <c r="B7" s="2">
        <v>47467</v>
      </c>
      <c r="C7" s="8">
        <f>Table14[[#This Row],[Total Less Fees]]*0.7</f>
        <v>30580709.495199468</v>
      </c>
      <c r="D7" s="8">
        <f>(Table14[[#This Row],[Teva]]-Table14[[#This Row],[Teva Attorney Fees]])*0.7</f>
        <v>7277200.1344733415</v>
      </c>
      <c r="E7" s="8">
        <f>(Table14[[#This Row],[Allergan]]-Table14[[#This Row],[Allergan Attorney Fees ]])*0.7</f>
        <v>8255104.1376211345</v>
      </c>
      <c r="F7" s="8">
        <f>(Table14[[#This Row],[Walgreens]]-Table14[[#This Row],[Walgreens Attorney Fees]])*0.7</f>
        <v>5788953.1308599971</v>
      </c>
      <c r="G7" s="8">
        <f>(Table14[[#This Row],[CVS]]-Table14[[#This Row],[CVS Attorney Fees]])*0.7</f>
        <v>8613411.0830484796</v>
      </c>
      <c r="H7" s="8">
        <f>(Table14[[#This Row],[Walmart]]-Table14[[#This Row],[Walmart Attorney Fees]])*0.7</f>
        <v>646041.00919651636</v>
      </c>
      <c r="I7" s="9">
        <v>0</v>
      </c>
      <c r="J7" s="9">
        <f>(SUM(D7,E7,H7))-Table145[[#This Row],[Walmart Escrow Amount]]</f>
        <v>16178345.281290993</v>
      </c>
      <c r="K7" s="8">
        <f>SUM(Table145[[#This Row],[Walgreens County Amount]:[CVS County Amount]])</f>
        <v>14402364.213908477</v>
      </c>
    </row>
    <row r="8" spans="1:11" ht="15.6" x14ac:dyDescent="0.3">
      <c r="A8" s="1">
        <v>7</v>
      </c>
      <c r="B8" s="2">
        <v>47832</v>
      </c>
      <c r="C8" s="8">
        <f>Table14[[#This Row],[Total Less Fees]]*0.7</f>
        <v>29570256.774719644</v>
      </c>
      <c r="D8" s="8">
        <f>(Table14[[#This Row],[Teva]]-Table14[[#This Row],[Teva Attorney Fees]])*0.7</f>
        <v>7277200.1344733397</v>
      </c>
      <c r="E8" s="8">
        <f>(Table14[[#This Row],[Allergan]]-Table14[[#This Row],[Allergan Attorney Fees ]])*0.7</f>
        <v>8255104.1376211345</v>
      </c>
      <c r="F8" s="8">
        <f>(Table14[[#This Row],[Walgreens]]-Table14[[#This Row],[Walgreens Attorney Fees]])*0.7</f>
        <v>5788953.1308599971</v>
      </c>
      <c r="G8" s="8">
        <f>(Table14[[#This Row],[CVS]]-Table14[[#This Row],[CVS Attorney Fees]])*0.7</f>
        <v>8248999.3717651721</v>
      </c>
      <c r="H8" s="8">
        <f>(Table14[[#This Row],[Walmart]]-Table14[[#This Row],[Walmart Attorney Fees]])*0.7</f>
        <v>0</v>
      </c>
      <c r="I8" s="9">
        <v>0</v>
      </c>
      <c r="J8" s="9">
        <f>(SUM(D8,E8,H8))-Table145[[#This Row],[Walmart Escrow Amount]]</f>
        <v>15532304.272094473</v>
      </c>
      <c r="K8" s="8">
        <f>SUM(Table145[[#This Row],[Walgreens County Amount]:[CVS County Amount]])</f>
        <v>14037952.502625169</v>
      </c>
    </row>
    <row r="9" spans="1:11" ht="15.6" x14ac:dyDescent="0.3">
      <c r="A9" s="1">
        <v>8</v>
      </c>
      <c r="B9" s="2">
        <v>48197</v>
      </c>
      <c r="C9" s="8">
        <f>Table14[[#This Row],[Total Less Fees]]*0.7</f>
        <v>22543127.057604849</v>
      </c>
      <c r="D9" s="8">
        <f>(Table14[[#This Row],[Teva]]-Table14[[#This Row],[Teva Attorney Fees]])*0.7</f>
        <v>7277200.1344733397</v>
      </c>
      <c r="E9" s="8">
        <f>(Table14[[#This Row],[Allergan]]-Table14[[#This Row],[Allergan Attorney Fees ]])*0.7</f>
        <v>0</v>
      </c>
      <c r="F9" s="8">
        <f>(Table14[[#This Row],[Walgreens]]-Table14[[#This Row],[Walgreens Attorney Fees]])*0.7</f>
        <v>7381339.2626496423</v>
      </c>
      <c r="G9" s="8">
        <f>(Table14[[#This Row],[CVS]]-Table14[[#This Row],[CVS Attorney Fees]])*0.7</f>
        <v>7884587.6604818655</v>
      </c>
      <c r="H9" s="8">
        <f>(Table14[[#This Row],[Walmart]]-Table14[[#This Row],[Walmart Attorney Fees]])*0.7</f>
        <v>0</v>
      </c>
      <c r="I9" s="9">
        <v>0</v>
      </c>
      <c r="J9" s="9">
        <f>(SUM(D9,E9,H9))-Table145[[#This Row],[Walmart Escrow Amount]]</f>
        <v>7277200.1344733397</v>
      </c>
      <c r="K9" s="8">
        <f>SUM(Table145[[#This Row],[Walgreens County Amount]:[CVS County Amount]])</f>
        <v>15265926.923131507</v>
      </c>
    </row>
    <row r="10" spans="1:11" ht="15.6" x14ac:dyDescent="0.3">
      <c r="A10" s="1">
        <v>9</v>
      </c>
      <c r="B10" s="2">
        <v>48563</v>
      </c>
      <c r="C10" s="8">
        <f>Table14[[#This Row],[Total Less Fees]]*0.7</f>
        <v>22537343.624446265</v>
      </c>
      <c r="D10" s="8">
        <f>(Table14[[#This Row],[Teva]]-Table14[[#This Row],[Teva Attorney Fees]])*0.7</f>
        <v>7277200.1344733397</v>
      </c>
      <c r="E10" s="8">
        <f>(Table14[[#This Row],[Allergan]]-Table14[[#This Row],[Allergan Attorney Fees ]])*0.7</f>
        <v>0</v>
      </c>
      <c r="F10" s="8">
        <f>(Table14[[#This Row],[Walgreens]]-Table14[[#This Row],[Walgreens Attorney Fees]])*0.7</f>
        <v>7381339.2626496423</v>
      </c>
      <c r="G10" s="8">
        <f>(Table14[[#This Row],[CVS]]-Table14[[#This Row],[CVS Attorney Fees]])*0.7</f>
        <v>7878804.2273232834</v>
      </c>
      <c r="H10" s="8">
        <f>(Table14[[#This Row],[Walmart]]-Table14[[#This Row],[Walmart Attorney Fees]])*0.7</f>
        <v>0</v>
      </c>
      <c r="I10" s="9">
        <v>0</v>
      </c>
      <c r="J10" s="9">
        <f>(SUM(D10,E10,H10))-Table145[[#This Row],[Walmart Escrow Amount]]</f>
        <v>7277200.1344733397</v>
      </c>
      <c r="K10" s="8">
        <f>SUM(Table145[[#This Row],[Walgreens County Amount]:[CVS County Amount]])</f>
        <v>15260143.489972927</v>
      </c>
    </row>
    <row r="11" spans="1:11" ht="15.6" x14ac:dyDescent="0.3">
      <c r="A11" s="1">
        <v>10</v>
      </c>
      <c r="B11" s="2">
        <v>48928</v>
      </c>
      <c r="C11" s="8">
        <f>Table14[[#This Row],[Total Less Fees]]*0.7</f>
        <v>22537343.637293346</v>
      </c>
      <c r="D11" s="8">
        <f>(Table14[[#This Row],[Teva]]-Table14[[#This Row],[Teva Attorney Fees]])*0.7</f>
        <v>7277200.1344733397</v>
      </c>
      <c r="E11" s="8">
        <f>(Table14[[#This Row],[Allergan]]-Table14[[#This Row],[Allergan Attorney Fees ]])*0.7</f>
        <v>0</v>
      </c>
      <c r="F11" s="8">
        <f>(Table14[[#This Row],[Walgreens]]-Table14[[#This Row],[Walgreens Attorney Fees]])*0.7</f>
        <v>7381339.2626496423</v>
      </c>
      <c r="G11" s="8">
        <f>(Table14[[#This Row],[CVS]]-Table14[[#This Row],[CVS Attorney Fees]])*0.7</f>
        <v>7878804.2401703633</v>
      </c>
      <c r="H11" s="8">
        <f>(Table14[[#This Row],[Walmart]]-Table14[[#This Row],[Walmart Attorney Fees]])*0.7</f>
        <v>0</v>
      </c>
      <c r="I11" s="9">
        <v>0</v>
      </c>
      <c r="J11" s="9">
        <f>(SUM(D11,E11,H11))-Table145[[#This Row],[Walmart Escrow Amount]]</f>
        <v>7277200.1344733397</v>
      </c>
      <c r="K11" s="8">
        <f>SUM(Table145[[#This Row],[Walgreens County Amount]:[CVS County Amount]])</f>
        <v>15260143.502820006</v>
      </c>
    </row>
    <row r="12" spans="1:11" ht="15.6" x14ac:dyDescent="0.3">
      <c r="A12" s="1">
        <v>11</v>
      </c>
      <c r="B12" s="2">
        <v>49293</v>
      </c>
      <c r="C12" s="8">
        <f>Table14[[#This Row],[Total Less Fees]]*0.7</f>
        <v>14658539.397122985</v>
      </c>
      <c r="D12" s="8">
        <f>(Table14[[#This Row],[Teva]]-Table14[[#This Row],[Teva Attorney Fees]])*0.7</f>
        <v>7277200.1344733415</v>
      </c>
      <c r="E12" s="8">
        <f>(Table14[[#This Row],[Allergan]]-Table14[[#This Row],[Allergan Attorney Fees ]])*0.7</f>
        <v>0</v>
      </c>
      <c r="F12" s="8">
        <f>(Table14[[#This Row],[Walgreens]]-Table14[[#This Row],[Walgreens Attorney Fees]])*0.7</f>
        <v>7381339.2626496423</v>
      </c>
      <c r="G12" s="8">
        <f>(Table14[[#This Row],[CVS]]-Table14[[#This Row],[CVS Attorney Fees]])*0.7</f>
        <v>0</v>
      </c>
      <c r="H12" s="8">
        <f>(Table14[[#This Row],[Walmart]]-Table14[[#This Row],[Walmart Attorney Fees]])*0.7</f>
        <v>0</v>
      </c>
      <c r="I12" s="9">
        <v>0</v>
      </c>
      <c r="J12" s="9">
        <f>(SUM(D12,E12,H12))-Table145[[#This Row],[Walmart Escrow Amount]]</f>
        <v>7277200.1344733415</v>
      </c>
      <c r="K12" s="8">
        <f>SUM(Table145[[#This Row],[Walgreens County Amount]:[CVS County Amount]])</f>
        <v>7381339.2626496423</v>
      </c>
    </row>
    <row r="13" spans="1:11" ht="15.6" x14ac:dyDescent="0.3">
      <c r="A13" s="1">
        <v>12</v>
      </c>
      <c r="B13" s="2">
        <v>49658</v>
      </c>
      <c r="C13" s="8">
        <f>Table14[[#This Row],[Total Less Fees]]*0.7</f>
        <v>14658539.397122985</v>
      </c>
      <c r="D13" s="8">
        <f>(Table14[[#This Row],[Teva]]-Table14[[#This Row],[Teva Attorney Fees]])*0.7</f>
        <v>7277200.1344733415</v>
      </c>
      <c r="E13" s="8">
        <f>(Table14[[#This Row],[Allergan]]-Table14[[#This Row],[Allergan Attorney Fees ]])*0.7</f>
        <v>0</v>
      </c>
      <c r="F13" s="8">
        <f>(Table14[[#This Row],[Walgreens]]-Table14[[#This Row],[Walgreens Attorney Fees]])*0.7</f>
        <v>7381339.2626496423</v>
      </c>
      <c r="G13" s="8">
        <f>(Table14[[#This Row],[CVS]]-Table14[[#This Row],[CVS Attorney Fees]])*0.7</f>
        <v>0</v>
      </c>
      <c r="H13" s="8">
        <f>(Table14[[#This Row],[Walmart]]-Table14[[#This Row],[Walmart Attorney Fees]])*0.7</f>
        <v>0</v>
      </c>
      <c r="I13" s="9">
        <v>0</v>
      </c>
      <c r="J13" s="9">
        <f>(SUM(D13,E13,H13))-Table145[[#This Row],[Walmart Escrow Amount]]</f>
        <v>7277200.1344733415</v>
      </c>
      <c r="K13" s="8">
        <f>SUM(Table145[[#This Row],[Walgreens County Amount]:[CVS County Amount]])</f>
        <v>7381339.2626496423</v>
      </c>
    </row>
    <row r="14" spans="1:11" ht="15.6" x14ac:dyDescent="0.3">
      <c r="A14" s="1">
        <v>13</v>
      </c>
      <c r="B14" s="2">
        <v>50024</v>
      </c>
      <c r="C14" s="8">
        <f>Table14[[#This Row],[Total Less Fees]]*0.7</f>
        <v>14658539.397122985</v>
      </c>
      <c r="D14" s="8">
        <f>(Table14[[#This Row],[Teva]]-Table14[[#This Row],[Teva Attorney Fees]])*0.7</f>
        <v>7277200.1344733415</v>
      </c>
      <c r="E14" s="8">
        <f>(Table14[[#This Row],[Allergan]]-Table14[[#This Row],[Allergan Attorney Fees ]])*0.7</f>
        <v>0</v>
      </c>
      <c r="F14" s="8">
        <f>(Table14[[#This Row],[Walgreens]]-Table14[[#This Row],[Walgreens Attorney Fees]])*0.7</f>
        <v>7381339.2626496423</v>
      </c>
      <c r="G14" s="8">
        <f>(Table14[[#This Row],[CVS]]-Table14[[#This Row],[CVS Attorney Fees]])*0.7</f>
        <v>0</v>
      </c>
      <c r="H14" s="8">
        <f>(Table14[[#This Row],[Walmart]]-Table14[[#This Row],[Walmart Attorney Fees]])*0.7</f>
        <v>0</v>
      </c>
      <c r="I14" s="9">
        <v>0</v>
      </c>
      <c r="J14" s="9">
        <f>(SUM(D14,E14,H14))-Table145[[#This Row],[Walmart Escrow Amount]]</f>
        <v>7277200.1344733415</v>
      </c>
      <c r="K14" s="8">
        <f>SUM(Table145[[#This Row],[Walgreens County Amount]:[CVS County Amount]])</f>
        <v>7381339.2626496423</v>
      </c>
    </row>
    <row r="15" spans="1:11" ht="15.6" x14ac:dyDescent="0.3">
      <c r="A15" s="1">
        <v>14</v>
      </c>
      <c r="B15" s="2">
        <v>50389</v>
      </c>
      <c r="C15" s="8">
        <f>Table14[[#This Row],[Total Less Fees]]*0.7</f>
        <v>7381339.2626496423</v>
      </c>
      <c r="D15" s="8">
        <f>(Table14[[#This Row],[Teva]]-Table14[[#This Row],[Teva Attorney Fees]])*0.7</f>
        <v>0</v>
      </c>
      <c r="E15" s="8">
        <f>(Table14[[#This Row],[Allergan]]-Table14[[#This Row],[Allergan Attorney Fees ]])*0.7</f>
        <v>0</v>
      </c>
      <c r="F15" s="8">
        <f>(Table14[[#This Row],[Walgreens]]-Table14[[#This Row],[Walgreens Attorney Fees]])*0.7</f>
        <v>7381339.2626496423</v>
      </c>
      <c r="G15" s="8">
        <f>(Table14[[#This Row],[CVS]]-Table14[[#This Row],[CVS Attorney Fees]])*0.7</f>
        <v>0</v>
      </c>
      <c r="H15" s="8">
        <f>(Table14[[#This Row],[Walmart]]-Table14[[#This Row],[Walmart Attorney Fees]])*0.7</f>
        <v>0</v>
      </c>
      <c r="I15" s="9">
        <v>0</v>
      </c>
      <c r="J15" s="9">
        <f>(SUM(D15,E15,H15))-Table145[[#This Row],[Walmart Escrow Amount]]</f>
        <v>0</v>
      </c>
      <c r="K15" s="8">
        <f>SUM(Table145[[#This Row],[Walgreens County Amount]:[CVS County Amount]])</f>
        <v>7381339.2626496423</v>
      </c>
    </row>
    <row r="16" spans="1:11" ht="15.6" x14ac:dyDescent="0.3">
      <c r="A16" s="1">
        <v>15</v>
      </c>
      <c r="B16" s="2">
        <v>50754</v>
      </c>
      <c r="C16" s="8">
        <f>Table14[[#This Row],[Total Less Fees]]*0.7</f>
        <v>7381339.2626496423</v>
      </c>
      <c r="D16" s="8">
        <f>(Table14[[#This Row],[Teva]]-Table14[[#This Row],[Teva Attorney Fees]])*0.7</f>
        <v>0</v>
      </c>
      <c r="E16" s="8">
        <f>(Table14[[#This Row],[Allergan]]-Table14[[#This Row],[Allergan Attorney Fees ]])*0.7</f>
        <v>0</v>
      </c>
      <c r="F16" s="8">
        <f>(Table14[[#This Row],[Walgreens]]-Table14[[#This Row],[Walgreens Attorney Fees]])*0.7</f>
        <v>7381339.2626496423</v>
      </c>
      <c r="G16" s="8">
        <f>(Table14[[#This Row],[CVS]]-Table14[[#This Row],[CVS Attorney Fees]])*0.7</f>
        <v>0</v>
      </c>
      <c r="H16" s="8">
        <f>(Table14[[#This Row],[Walmart]]-Table14[[#This Row],[Walmart Attorney Fees]])*0.7</f>
        <v>0</v>
      </c>
      <c r="I16" s="9">
        <v>0</v>
      </c>
      <c r="J16" s="9">
        <f>(SUM(D16,E16,H16))-Table145[[#This Row],[Walmart Escrow Amount]]</f>
        <v>0</v>
      </c>
      <c r="K16" s="8">
        <f>SUM(Table145[[#This Row],[Walgreens County Amount]:[CVS County Amount]])</f>
        <v>7381339.2626496423</v>
      </c>
    </row>
    <row r="17" spans="1:11" ht="15.6" x14ac:dyDescent="0.3">
      <c r="A17" s="8" t="s">
        <v>6</v>
      </c>
      <c r="B17" s="8"/>
      <c r="C17" s="8">
        <f>Table14[[#This Row],[Total Less Fees]]*0.7</f>
        <v>382032445.95425189</v>
      </c>
      <c r="D17" s="8">
        <f>(Table14[[#This Row],[Teva]]-Table14[[#This Row],[Teva Attorney Fees]])*0.7</f>
        <v>87335755.766596228</v>
      </c>
      <c r="E17" s="8">
        <f>(Table14[[#This Row],[Allergan]]-Table14[[#This Row],[Allergan Attorney Fees ]])*0.7</f>
        <v>49542809.211165696</v>
      </c>
      <c r="F17" s="8">
        <f>(Table14[[#This Row],[Walgreens]]-Table14[[#This Row],[Walgreens Attorney Fees]])*0.7</f>
        <v>91810168.714016631</v>
      </c>
      <c r="G17" s="8">
        <f>(Table14[[#This Row],[CVS]]-Table14[[#This Row],[CVS Attorney Fees]])*0.7</f>
        <v>68393626.493192747</v>
      </c>
      <c r="H17" s="8">
        <f>(Table14[[#This Row],[Walmart]]-Table14[[#This Row],[Walmart Attorney Fees]])*0.7</f>
        <v>84950085.769280612</v>
      </c>
      <c r="I17" s="9">
        <f>SUM(I2:I16)</f>
        <v>4873602.1164021166</v>
      </c>
      <c r="J17" s="9">
        <f>(SUM(D17,E17,H17))-Table145[[#This Row],[Walmart Escrow Amount]]</f>
        <v>216955048.63064042</v>
      </c>
      <c r="K17" s="8">
        <f>SUM(Table145[[#This Row],[Walgreens County Amount]:[CVS County Amount]])</f>
        <v>160203795.20720938</v>
      </c>
    </row>
    <row r="19" spans="1:11" x14ac:dyDescent="0.3">
      <c r="A19" t="s">
        <v>230</v>
      </c>
    </row>
    <row r="24" spans="1:11" x14ac:dyDescent="0.3">
      <c r="J24" s="7"/>
    </row>
    <row r="25" spans="1:11" x14ac:dyDescent="0.3">
      <c r="J25" s="7"/>
    </row>
  </sheetData>
  <pageMargins left="0.7" right="0.7" top="0.75" bottom="0.75" header="0.3" footer="0.3"/>
  <pageSetup orientation="portrait" horizontalDpi="200" verticalDpi="200" r:id="rId1"/>
  <customProperties>
    <customPr name="OrphanNamesChecked" r:id="rId2"/>
  </customProperties>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0"/>
  <sheetViews>
    <sheetView topLeftCell="A41" workbookViewId="0">
      <selection activeCell="C25" sqref="C25"/>
    </sheetView>
  </sheetViews>
  <sheetFormatPr defaultRowHeight="14.4" x14ac:dyDescent="0.3"/>
  <cols>
    <col min="1" max="2" width="25.6640625" customWidth="1"/>
    <col min="3" max="15" width="15.6640625" customWidth="1"/>
    <col min="16" max="16" width="15.44140625" customWidth="1"/>
  </cols>
  <sheetData>
    <row r="1" spans="1:16" x14ac:dyDescent="0.3">
      <c r="A1" t="s">
        <v>4</v>
      </c>
      <c r="B1" t="s">
        <v>24</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26</v>
      </c>
      <c r="B2">
        <v>3.4185894747622387E-3</v>
      </c>
      <c r="C2" s="18">
        <f>Table1[[#This Row],[Adjusted % (W/Floors)]]*$C$70</f>
        <v>264985.08099800616</v>
      </c>
      <c r="D2" s="18">
        <f>Table1[[#This Row],[Adjusted % (W/Floors)]]*$D$70</f>
        <v>62642.544549768565</v>
      </c>
      <c r="E2" s="18">
        <f>Table1[[#This Row],[Adjusted % (W/Floors)]]*$E$70</f>
        <v>52126.789560498495</v>
      </c>
      <c r="F2" s="18">
        <f>Table1[[#This Row],[Adjusted % (W/Floors)]]*$F$70</f>
        <v>52126.789561596459</v>
      </c>
      <c r="G2" s="18">
        <f>Table1[[#This Row],[Adjusted % (W/Floors)]]*$G$70</f>
        <v>52126.789561596459</v>
      </c>
      <c r="H2" s="18">
        <f>Table1[[#This Row],[Adjusted % (W/Floors)]]*$H$70</f>
        <v>55307.120897690722</v>
      </c>
      <c r="I2" s="18">
        <f>Table1[[#This Row],[Adjusted % (W/Floors)]]*$I$70</f>
        <v>53098.571903386721</v>
      </c>
      <c r="J2" s="18">
        <f>Table1[[#This Row],[Adjusted % (W/Floors)]]*$J$70</f>
        <v>24877.759785448907</v>
      </c>
      <c r="K2" s="18">
        <f>Table1[[#This Row],[Adjusted % (W/Floors)]]*$K$70</f>
        <v>24877.759785448907</v>
      </c>
      <c r="L2" s="18">
        <f>Table1[[#This Row],[Adjusted % (W/Floors)]]*$L$70</f>
        <v>24877.759785448907</v>
      </c>
      <c r="M2" s="18">
        <f>Table1[[#This Row],[Adjusted % (W/Floors)]]*$M$70</f>
        <v>24877.759785448914</v>
      </c>
      <c r="N2" s="18">
        <f>Table1[[#This Row],[Adjusted % (W/Floors)]]*$N$70</f>
        <v>24877.759785448914</v>
      </c>
      <c r="O2" s="18">
        <f>Table1[[#This Row],[Adjusted % (W/Floors)]]*$O$70</f>
        <v>24877.759785448914</v>
      </c>
      <c r="P2" s="18">
        <f>SUM(Table1[[#This Row],[Payment 1]:[Payment 13]])</f>
        <v>741680.24574523699</v>
      </c>
    </row>
    <row r="3" spans="1:16" x14ac:dyDescent="0.3">
      <c r="A3" t="s">
        <v>27</v>
      </c>
      <c r="B3">
        <v>0.11452275526177516</v>
      </c>
      <c r="C3" s="18">
        <f>Table1[[#This Row],[Adjusted % (W/Floors)]]*$C$70</f>
        <v>8877000.8224713597</v>
      </c>
      <c r="D3" s="18">
        <f>Table1[[#This Row],[Adjusted % (W/Floors)]]*$D$70</f>
        <v>2098525.3863940304</v>
      </c>
      <c r="E3" s="18">
        <f>Table1[[#This Row],[Adjusted % (W/Floors)]]*$E$70</f>
        <v>1746247.570084213</v>
      </c>
      <c r="F3" s="18">
        <f>Table1[[#This Row],[Adjusted % (W/Floors)]]*$F$70</f>
        <v>1746247.5701209949</v>
      </c>
      <c r="G3" s="18">
        <f>Table1[[#This Row],[Adjusted % (W/Floors)]]*$G$70</f>
        <v>1746247.5701209949</v>
      </c>
      <c r="H3" s="18">
        <f>Table1[[#This Row],[Adjusted % (W/Floors)]]*$H$70</f>
        <v>1852788.6771897834</v>
      </c>
      <c r="I3" s="18">
        <f>Table1[[#This Row],[Adjusted % (W/Floors)]]*$I$70</f>
        <v>1778802.2808045002</v>
      </c>
      <c r="J3" s="18">
        <f>Table1[[#This Row],[Adjusted % (W/Floors)]]*$J$70</f>
        <v>833405.00999124756</v>
      </c>
      <c r="K3" s="18">
        <f>Table1[[#This Row],[Adjusted % (W/Floors)]]*$K$70</f>
        <v>833405.00999124756</v>
      </c>
      <c r="L3" s="18">
        <f>Table1[[#This Row],[Adjusted % (W/Floors)]]*$L$70</f>
        <v>833405.00999124756</v>
      </c>
      <c r="M3" s="18">
        <f>Table1[[#This Row],[Adjusted % (W/Floors)]]*$M$70</f>
        <v>833405.00999124779</v>
      </c>
      <c r="N3" s="18">
        <f>Table1[[#This Row],[Adjusted % (W/Floors)]]*$N$70</f>
        <v>833405.00999124779</v>
      </c>
      <c r="O3" s="18">
        <f>Table1[[#This Row],[Adjusted % (W/Floors)]]*$O$70</f>
        <v>833405.00999124779</v>
      </c>
      <c r="P3" s="18">
        <f>SUM(Table1[[#This Row],[Payment 1]:[Payment 13]])</f>
        <v>24846289.937133357</v>
      </c>
    </row>
    <row r="4" spans="1:16" x14ac:dyDescent="0.3">
      <c r="A4" t="s">
        <v>28</v>
      </c>
      <c r="B4">
        <v>6.0222831445004236E-3</v>
      </c>
      <c r="C4" s="18">
        <f>Table1[[#This Row],[Adjusted % (W/Floors)]]*$C$70</f>
        <v>466805.1541782039</v>
      </c>
      <c r="D4" s="18">
        <f>Table1[[#This Row],[Adjusted % (W/Floors)]]*$D$70</f>
        <v>110352.86423121212</v>
      </c>
      <c r="E4" s="18">
        <f>Table1[[#This Row],[Adjusted % (W/Floors)]]*$E$70</f>
        <v>91828.01516960263</v>
      </c>
      <c r="F4" s="18">
        <f>Table1[[#This Row],[Adjusted % (W/Floors)]]*$F$70</f>
        <v>91828.015171536841</v>
      </c>
      <c r="G4" s="18">
        <f>Table1[[#This Row],[Adjusted % (W/Floors)]]*$G$70</f>
        <v>91828.015171536841</v>
      </c>
      <c r="H4" s="18">
        <f>Table1[[#This Row],[Adjusted % (W/Floors)]]*$H$70</f>
        <v>97430.576093426716</v>
      </c>
      <c r="I4" s="18">
        <f>Table1[[#This Row],[Adjusted % (W/Floors)]]*$I$70</f>
        <v>93539.934213086468</v>
      </c>
      <c r="J4" s="18">
        <f>Table1[[#This Row],[Adjusted % (W/Floors)]]*$J$70</f>
        <v>43825.359708995013</v>
      </c>
      <c r="K4" s="18">
        <f>Table1[[#This Row],[Adjusted % (W/Floors)]]*$K$70</f>
        <v>43825.359708995013</v>
      </c>
      <c r="L4" s="18">
        <f>Table1[[#This Row],[Adjusted % (W/Floors)]]*$L$70</f>
        <v>43825.359708995013</v>
      </c>
      <c r="M4" s="18">
        <f>Table1[[#This Row],[Adjusted % (W/Floors)]]*$M$70</f>
        <v>43825.35970899502</v>
      </c>
      <c r="N4" s="18">
        <f>Table1[[#This Row],[Adjusted % (W/Floors)]]*$N$70</f>
        <v>43825.35970899502</v>
      </c>
      <c r="O4" s="18">
        <f>Table1[[#This Row],[Adjusted % (W/Floors)]]*$O$70</f>
        <v>43825.35970899502</v>
      </c>
      <c r="P4" s="18">
        <f>SUM(Table1[[#This Row],[Payment 1]:[Payment 13]])</f>
        <v>1306564.732482576</v>
      </c>
    </row>
    <row r="5" spans="1:16" x14ac:dyDescent="0.3">
      <c r="A5" t="s">
        <v>29</v>
      </c>
      <c r="B5">
        <v>1.2660706775723332E-2</v>
      </c>
      <c r="C5" s="18">
        <f>Table1[[#This Row],[Adjusted % (W/Floors)]]*$C$70</f>
        <v>981369.19780061755</v>
      </c>
      <c r="D5" s="18">
        <f>Table1[[#This Row],[Adjusted % (W/Floors)]]*$D$70</f>
        <v>231995.94279595831</v>
      </c>
      <c r="E5" s="18">
        <f>Table1[[#This Row],[Adjusted % (W/Floors)]]*$E$70</f>
        <v>193050.96521752077</v>
      </c>
      <c r="F5" s="18">
        <f>Table1[[#This Row],[Adjusted % (W/Floors)]]*$F$70</f>
        <v>193050.96522158707</v>
      </c>
      <c r="G5" s="18">
        <f>Table1[[#This Row],[Adjusted % (W/Floors)]]*$G$70</f>
        <v>193050.96522158707</v>
      </c>
      <c r="H5" s="18">
        <f>Table1[[#This Row],[Adjusted % (W/Floors)]]*$H$70</f>
        <v>204829.28572283246</v>
      </c>
      <c r="I5" s="18">
        <f>Table1[[#This Row],[Adjusted % (W/Floors)]]*$I$70</f>
        <v>196649.94994030296</v>
      </c>
      <c r="J5" s="18">
        <f>Table1[[#This Row],[Adjusted % (W/Floors)]]*$J$70</f>
        <v>92134.497050821359</v>
      </c>
      <c r="K5" s="18">
        <f>Table1[[#This Row],[Adjusted % (W/Floors)]]*$K$70</f>
        <v>92134.497050821359</v>
      </c>
      <c r="L5" s="18">
        <f>Table1[[#This Row],[Adjusted % (W/Floors)]]*$L$70</f>
        <v>92134.497050821359</v>
      </c>
      <c r="M5" s="18">
        <f>Table1[[#This Row],[Adjusted % (W/Floors)]]*$M$70</f>
        <v>92134.497050821374</v>
      </c>
      <c r="N5" s="18">
        <f>Table1[[#This Row],[Adjusted % (W/Floors)]]*$N$70</f>
        <v>92134.497050821374</v>
      </c>
      <c r="O5" s="18">
        <f>Table1[[#This Row],[Adjusted % (W/Floors)]]*$O$70</f>
        <v>92134.497050821374</v>
      </c>
      <c r="P5" s="18">
        <f>SUM(Table1[[#This Row],[Payment 1]:[Payment 13]])</f>
        <v>2746804.2542253342</v>
      </c>
    </row>
    <row r="6" spans="1:16" x14ac:dyDescent="0.3">
      <c r="A6" t="s">
        <v>30</v>
      </c>
      <c r="B6">
        <v>1.9080507699772487E-3</v>
      </c>
      <c r="C6" s="18">
        <f>Table1[[#This Row],[Adjusted % (W/Floors)]]*$C$70</f>
        <v>147898.71423970666</v>
      </c>
      <c r="D6" s="18">
        <f>Table1[[#This Row],[Adjusted % (W/Floors)]]*$D$70</f>
        <v>34963.29589847372</v>
      </c>
      <c r="E6" s="18">
        <f>Table1[[#This Row],[Adjusted % (W/Floors)]]*$E$70</f>
        <v>29094.034744920227</v>
      </c>
      <c r="F6" s="18">
        <f>Table1[[#This Row],[Adjusted % (W/Floors)]]*$F$70</f>
        <v>29094.034745533048</v>
      </c>
      <c r="G6" s="18">
        <f>Table1[[#This Row],[Adjusted % (W/Floors)]]*$G$70</f>
        <v>29094.034745533048</v>
      </c>
      <c r="H6" s="18">
        <f>Table1[[#This Row],[Adjusted % (W/Floors)]]*$H$70</f>
        <v>30869.104170925068</v>
      </c>
      <c r="I6" s="18">
        <f>Table1[[#This Row],[Adjusted % (W/Floors)]]*$I$70</f>
        <v>29636.425125890768</v>
      </c>
      <c r="J6" s="18">
        <f>Table1[[#This Row],[Adjusted % (W/Floors)]]*$J$70</f>
        <v>13885.267319860393</v>
      </c>
      <c r="K6" s="18">
        <f>Table1[[#This Row],[Adjusted % (W/Floors)]]*$K$70</f>
        <v>13885.267319860393</v>
      </c>
      <c r="L6" s="18">
        <f>Table1[[#This Row],[Adjusted % (W/Floors)]]*$L$70</f>
        <v>13885.267319860393</v>
      </c>
      <c r="M6" s="18">
        <f>Table1[[#This Row],[Adjusted % (W/Floors)]]*$M$70</f>
        <v>13885.267319860397</v>
      </c>
      <c r="N6" s="18">
        <f>Table1[[#This Row],[Adjusted % (W/Floors)]]*$N$70</f>
        <v>13885.267319860397</v>
      </c>
      <c r="O6" s="18">
        <f>Table1[[#This Row],[Adjusted % (W/Floors)]]*$O$70</f>
        <v>13885.267319860397</v>
      </c>
      <c r="P6" s="18">
        <f>SUM(Table1[[#This Row],[Payment 1]:[Payment 13]])</f>
        <v>413961.24759014492</v>
      </c>
    </row>
    <row r="7" spans="1:16" x14ac:dyDescent="0.3">
      <c r="A7" t="s">
        <v>31</v>
      </c>
      <c r="B7">
        <v>1.8792305559577987E-2</v>
      </c>
      <c r="C7" s="18">
        <f>Table1[[#This Row],[Adjusted % (W/Floors)]]*$C$70</f>
        <v>1456647.7336944323</v>
      </c>
      <c r="D7" s="18">
        <f>Table1[[#This Row],[Adjusted % (W/Floors)]]*$D$70</f>
        <v>344351.91674794501</v>
      </c>
      <c r="E7" s="18">
        <f>Table1[[#This Row],[Adjusted % (W/Floors)]]*$E$70</f>
        <v>286545.8296447944</v>
      </c>
      <c r="F7" s="18">
        <f>Table1[[#This Row],[Adjusted % (W/Floors)]]*$F$70</f>
        <v>286545.82965083001</v>
      </c>
      <c r="G7" s="18">
        <f>Table1[[#This Row],[Adjusted % (W/Floors)]]*$G$70</f>
        <v>286545.82965083001</v>
      </c>
      <c r="H7" s="18">
        <f>Table1[[#This Row],[Adjusted % (W/Floors)]]*$H$70</f>
        <v>304028.40797437704</v>
      </c>
      <c r="I7" s="18">
        <f>Table1[[#This Row],[Adjusted % (W/Floors)]]*$I$70</f>
        <v>291887.80792553787</v>
      </c>
      <c r="J7" s="18">
        <f>Table1[[#This Row],[Adjusted % (W/Floors)]]*$J$70</f>
        <v>136755.36854522501</v>
      </c>
      <c r="K7" s="18">
        <f>Table1[[#This Row],[Adjusted % (W/Floors)]]*$K$70</f>
        <v>136755.36854522501</v>
      </c>
      <c r="L7" s="18">
        <f>Table1[[#This Row],[Adjusted % (W/Floors)]]*$L$70</f>
        <v>136755.36854522501</v>
      </c>
      <c r="M7" s="18">
        <f>Table1[[#This Row],[Adjusted % (W/Floors)]]*$M$70</f>
        <v>136755.36854522504</v>
      </c>
      <c r="N7" s="18">
        <f>Table1[[#This Row],[Adjusted % (W/Floors)]]*$N$70</f>
        <v>136755.36854522504</v>
      </c>
      <c r="O7" s="18">
        <f>Table1[[#This Row],[Adjusted % (W/Floors)]]*$O$70</f>
        <v>136755.36854522504</v>
      </c>
      <c r="P7" s="18">
        <f>SUM(Table1[[#This Row],[Payment 1]:[Payment 13]])</f>
        <v>4077085.5665600956</v>
      </c>
    </row>
    <row r="8" spans="1:16" x14ac:dyDescent="0.3">
      <c r="A8" t="s">
        <v>32</v>
      </c>
      <c r="B8">
        <v>8.0197735934250114E-3</v>
      </c>
      <c r="C8" s="18">
        <f>Table1[[#This Row],[Adjusted % (W/Floors)]]*$C$70</f>
        <v>621636.6050758987</v>
      </c>
      <c r="D8" s="18">
        <f>Table1[[#This Row],[Adjusted % (W/Floors)]]*$D$70</f>
        <v>146955.06094370224</v>
      </c>
      <c r="E8" s="18">
        <f>Table1[[#This Row],[Adjusted % (W/Floors)]]*$E$70</f>
        <v>122285.8297299307</v>
      </c>
      <c r="F8" s="18">
        <f>Table1[[#This Row],[Adjusted % (W/Floors)]]*$F$70</f>
        <v>122285.82973250646</v>
      </c>
      <c r="G8" s="18">
        <f>Table1[[#This Row],[Adjusted % (W/Floors)]]*$G$70</f>
        <v>122285.82973250646</v>
      </c>
      <c r="H8" s="18">
        <f>Table1[[#This Row],[Adjusted % (W/Floors)]]*$H$70</f>
        <v>129746.66627220965</v>
      </c>
      <c r="I8" s="18">
        <f>Table1[[#This Row],[Adjusted % (W/Floors)]]*$I$70</f>
        <v>124565.56364638575</v>
      </c>
      <c r="J8" s="18">
        <f>Table1[[#This Row],[Adjusted % (W/Floors)]]*$J$70</f>
        <v>58361.497472518233</v>
      </c>
      <c r="K8" s="18">
        <f>Table1[[#This Row],[Adjusted % (W/Floors)]]*$K$70</f>
        <v>58361.497472518233</v>
      </c>
      <c r="L8" s="18">
        <f>Table1[[#This Row],[Adjusted % (W/Floors)]]*$L$70</f>
        <v>58361.497472518233</v>
      </c>
      <c r="M8" s="18">
        <f>Table1[[#This Row],[Adjusted % (W/Floors)]]*$M$70</f>
        <v>58361.497472518247</v>
      </c>
      <c r="N8" s="18">
        <f>Table1[[#This Row],[Adjusted % (W/Floors)]]*$N$70</f>
        <v>58361.497472518247</v>
      </c>
      <c r="O8" s="18">
        <f>Table1[[#This Row],[Adjusted % (W/Floors)]]*$O$70</f>
        <v>58361.497472518247</v>
      </c>
      <c r="P8" s="18">
        <f>SUM(Table1[[#This Row],[Payment 1]:[Payment 13]])</f>
        <v>1739930.3699682495</v>
      </c>
    </row>
    <row r="9" spans="1:16" x14ac:dyDescent="0.3">
      <c r="A9" t="s">
        <v>33</v>
      </c>
      <c r="B9">
        <v>2.2359962594508242E-3</v>
      </c>
      <c r="C9" s="18">
        <f>Table1[[#This Row],[Adjusted % (W/Floors)]]*$C$70</f>
        <v>173318.74865232946</v>
      </c>
      <c r="D9" s="18">
        <f>Table1[[#This Row],[Adjusted % (W/Floors)]]*$D$70</f>
        <v>40972.598883200451</v>
      </c>
      <c r="E9" s="18">
        <f>Table1[[#This Row],[Adjusted % (W/Floors)]]*$E$70</f>
        <v>34094.560734749022</v>
      </c>
      <c r="F9" s="18">
        <f>Table1[[#This Row],[Adjusted % (W/Floors)]]*$F$70</f>
        <v>34094.560735467167</v>
      </c>
      <c r="G9" s="18">
        <f>Table1[[#This Row],[Adjusted % (W/Floors)]]*$G$70</f>
        <v>34094.560735467167</v>
      </c>
      <c r="H9" s="18">
        <f>Table1[[#This Row],[Adjusted % (W/Floors)]]*$H$70</f>
        <v>36174.719533070551</v>
      </c>
      <c r="I9" s="18">
        <f>Table1[[#This Row],[Adjusted % (W/Floors)]]*$I$70</f>
        <v>34730.174253055302</v>
      </c>
      <c r="J9" s="18">
        <f>Table1[[#This Row],[Adjusted % (W/Floors)]]*$J$70</f>
        <v>16271.792279957423</v>
      </c>
      <c r="K9" s="18">
        <f>Table1[[#This Row],[Adjusted % (W/Floors)]]*$K$70</f>
        <v>16271.792279957423</v>
      </c>
      <c r="L9" s="18">
        <f>Table1[[#This Row],[Adjusted % (W/Floors)]]*$L$70</f>
        <v>16271.792279957423</v>
      </c>
      <c r="M9" s="18">
        <f>Table1[[#This Row],[Adjusted % (W/Floors)]]*$M$70</f>
        <v>16271.792279957426</v>
      </c>
      <c r="N9" s="18">
        <f>Table1[[#This Row],[Adjusted % (W/Floors)]]*$N$70</f>
        <v>16271.792279957426</v>
      </c>
      <c r="O9" s="18">
        <f>Table1[[#This Row],[Adjusted % (W/Floors)]]*$O$70</f>
        <v>16271.792279957426</v>
      </c>
      <c r="P9" s="18">
        <f>SUM(Table1[[#This Row],[Payment 1]:[Payment 13]])</f>
        <v>485110.67720708385</v>
      </c>
    </row>
    <row r="10" spans="1:16" x14ac:dyDescent="0.3">
      <c r="A10" t="s">
        <v>34</v>
      </c>
      <c r="B10">
        <v>5.7668825533399602E-2</v>
      </c>
      <c r="C10" s="18">
        <f>Table1[[#This Row],[Adjusted % (W/Floors)]]*$C$70</f>
        <v>4470082.9151445841</v>
      </c>
      <c r="D10" s="18">
        <f>Table1[[#This Row],[Adjusted % (W/Floors)]]*$D$70</f>
        <v>1056728.8056311777</v>
      </c>
      <c r="E10" s="18">
        <f>Table1[[#This Row],[Adjusted % (W/Floors)]]*$E$70</f>
        <v>879336.56701780355</v>
      </c>
      <c r="F10" s="18">
        <f>Table1[[#This Row],[Adjusted % (W/Floors)]]*$F$70</f>
        <v>879336.56703632546</v>
      </c>
      <c r="G10" s="18">
        <f>Table1[[#This Row],[Adjusted % (W/Floors)]]*$G$70</f>
        <v>879336.56703632546</v>
      </c>
      <c r="H10" s="18">
        <f>Table1[[#This Row],[Adjusted % (W/Floors)]]*$H$70</f>
        <v>932986.17144586903</v>
      </c>
      <c r="I10" s="18">
        <f>Table1[[#This Row],[Adjusted % (W/Floors)]]*$I$70</f>
        <v>895729.74519909348</v>
      </c>
      <c r="J10" s="18">
        <f>Table1[[#This Row],[Adjusted % (W/Floors)]]*$J$70</f>
        <v>419667.58492657513</v>
      </c>
      <c r="K10" s="18">
        <f>Table1[[#This Row],[Adjusted % (W/Floors)]]*$K$70</f>
        <v>419667.58492657513</v>
      </c>
      <c r="L10" s="18">
        <f>Table1[[#This Row],[Adjusted % (W/Floors)]]*$L$70</f>
        <v>419667.58492657513</v>
      </c>
      <c r="M10" s="18">
        <f>Table1[[#This Row],[Adjusted % (W/Floors)]]*$M$70</f>
        <v>419667.58492657525</v>
      </c>
      <c r="N10" s="18">
        <f>Table1[[#This Row],[Adjusted % (W/Floors)]]*$N$70</f>
        <v>419667.58492657525</v>
      </c>
      <c r="O10" s="18">
        <f>Table1[[#This Row],[Adjusted % (W/Floors)]]*$O$70</f>
        <v>419667.58492657525</v>
      </c>
      <c r="P10" s="18">
        <f>SUM(Table1[[#This Row],[Payment 1]:[Payment 13]])</f>
        <v>12511542.848070631</v>
      </c>
    </row>
    <row r="11" spans="1:16" x14ac:dyDescent="0.3">
      <c r="A11" t="s">
        <v>35</v>
      </c>
      <c r="B11">
        <v>1.3604794180508509E-2</v>
      </c>
      <c r="C11" s="18">
        <f>Table1[[#This Row],[Adjusted % (W/Floors)]]*$C$70</f>
        <v>1054548.2323916594</v>
      </c>
      <c r="D11" s="18">
        <f>Table1[[#This Row],[Adjusted % (W/Floors)]]*$D$70</f>
        <v>249295.48629181608</v>
      </c>
      <c r="E11" s="18">
        <f>Table1[[#This Row],[Adjusted % (W/Floors)]]*$E$70</f>
        <v>207446.4478688493</v>
      </c>
      <c r="F11" s="18">
        <f>Table1[[#This Row],[Adjusted % (W/Floors)]]*$F$70</f>
        <v>207446.44787321883</v>
      </c>
      <c r="G11" s="18">
        <f>Table1[[#This Row],[Adjusted % (W/Floors)]]*$G$70</f>
        <v>207446.44787321883</v>
      </c>
      <c r="H11" s="18">
        <f>Table1[[#This Row],[Adjusted % (W/Floors)]]*$H$70</f>
        <v>220103.05773316501</v>
      </c>
      <c r="I11" s="18">
        <f>Table1[[#This Row],[Adjusted % (W/Floors)]]*$I$70</f>
        <v>211313.80277087833</v>
      </c>
      <c r="J11" s="18">
        <f>Table1[[#This Row],[Adjusted % (W/Floors)]]*$J$70</f>
        <v>99004.810039878634</v>
      </c>
      <c r="K11" s="18">
        <f>Table1[[#This Row],[Adjusted % (W/Floors)]]*$K$70</f>
        <v>99004.810039878634</v>
      </c>
      <c r="L11" s="18">
        <f>Table1[[#This Row],[Adjusted % (W/Floors)]]*$L$70</f>
        <v>99004.810039878634</v>
      </c>
      <c r="M11" s="18">
        <f>Table1[[#This Row],[Adjusted % (W/Floors)]]*$M$70</f>
        <v>99004.810039878663</v>
      </c>
      <c r="N11" s="18">
        <f>Table1[[#This Row],[Adjusted % (W/Floors)]]*$N$70</f>
        <v>99004.810039878663</v>
      </c>
      <c r="O11" s="18">
        <f>Table1[[#This Row],[Adjusted % (W/Floors)]]*$O$70</f>
        <v>99004.810039878663</v>
      </c>
      <c r="P11" s="18">
        <f>SUM(Table1[[#This Row],[Payment 1]:[Payment 13]])</f>
        <v>2951628.7830420788</v>
      </c>
    </row>
    <row r="12" spans="1:16" x14ac:dyDescent="0.3">
      <c r="A12" t="s">
        <v>36</v>
      </c>
      <c r="B12">
        <v>1.5771226721418889E-2</v>
      </c>
      <c r="C12" s="18">
        <f>Table1[[#This Row],[Adjusted % (W/Floors)]]*$C$70</f>
        <v>1222474.8894436238</v>
      </c>
      <c r="D12" s="18">
        <f>Table1[[#This Row],[Adjusted % (W/Floors)]]*$D$70</f>
        <v>288993.39326775837</v>
      </c>
      <c r="E12" s="18">
        <f>Table1[[#This Row],[Adjusted % (W/Floors)]]*$E$70</f>
        <v>240480.29823045363</v>
      </c>
      <c r="F12" s="18">
        <f>Table1[[#This Row],[Adjusted % (W/Floors)]]*$F$70</f>
        <v>240480.29823551897</v>
      </c>
      <c r="G12" s="18">
        <f>Table1[[#This Row],[Adjusted % (W/Floors)]]*$G$70</f>
        <v>240480.29823551897</v>
      </c>
      <c r="H12" s="18">
        <f>Table1[[#This Row],[Adjusted % (W/Floors)]]*$H$70</f>
        <v>255152.35140863771</v>
      </c>
      <c r="I12" s="18">
        <f>Table1[[#This Row],[Adjusted % (W/Floors)]]*$I$70</f>
        <v>244963.49218126512</v>
      </c>
      <c r="J12" s="18">
        <f>Table1[[#This Row],[Adjusted % (W/Floors)]]*$J$70</f>
        <v>114770.37321791907</v>
      </c>
      <c r="K12" s="18">
        <f>Table1[[#This Row],[Adjusted % (W/Floors)]]*$K$70</f>
        <v>114770.37321791907</v>
      </c>
      <c r="L12" s="18">
        <f>Table1[[#This Row],[Adjusted % (W/Floors)]]*$L$70</f>
        <v>114770.37321791907</v>
      </c>
      <c r="M12" s="18">
        <f>Table1[[#This Row],[Adjusted % (W/Floors)]]*$M$70</f>
        <v>114770.3732179191</v>
      </c>
      <c r="N12" s="18">
        <f>Table1[[#This Row],[Adjusted % (W/Floors)]]*$N$70</f>
        <v>114770.3732179191</v>
      </c>
      <c r="O12" s="18">
        <f>Table1[[#This Row],[Adjusted % (W/Floors)]]*$O$70</f>
        <v>114770.3732179191</v>
      </c>
      <c r="P12" s="18">
        <f>SUM(Table1[[#This Row],[Payment 1]:[Payment 13]])</f>
        <v>3421647.2603102899</v>
      </c>
    </row>
    <row r="13" spans="1:16" x14ac:dyDescent="0.3">
      <c r="A13" t="s">
        <v>37</v>
      </c>
      <c r="B13">
        <v>1.4285891185863999E-3</v>
      </c>
      <c r="C13" s="18">
        <f>Table1[[#This Row],[Adjusted % (W/Floors)]]*$C$70</f>
        <v>110734.20956104</v>
      </c>
      <c r="D13" s="18">
        <f>Table1[[#This Row],[Adjusted % (W/Floors)]]*$D$70</f>
        <v>26177.596978235353</v>
      </c>
      <c r="E13" s="18">
        <f>Table1[[#This Row],[Adjusted % (W/Floors)]]*$E$70</f>
        <v>21783.184235115124</v>
      </c>
      <c r="F13" s="18">
        <f>Table1[[#This Row],[Adjusted % (W/Floors)]]*$F$70</f>
        <v>21783.184235573954</v>
      </c>
      <c r="G13" s="18">
        <f>Table1[[#This Row],[Adjusted % (W/Floors)]]*$G$70</f>
        <v>21783.184235573954</v>
      </c>
      <c r="H13" s="18">
        <f>Table1[[#This Row],[Adjusted % (W/Floors)]]*$H$70</f>
        <v>23112.20802558594</v>
      </c>
      <c r="I13" s="18">
        <f>Table1[[#This Row],[Adjusted % (W/Floors)]]*$I$70</f>
        <v>22189.280869687216</v>
      </c>
      <c r="J13" s="18">
        <f>Table1[[#This Row],[Adjusted % (W/Floors)]]*$J$70</f>
        <v>10396.128925884099</v>
      </c>
      <c r="K13" s="18">
        <f>Table1[[#This Row],[Adjusted % (W/Floors)]]*$K$70</f>
        <v>10396.128925884099</v>
      </c>
      <c r="L13" s="18">
        <f>Table1[[#This Row],[Adjusted % (W/Floors)]]*$L$70</f>
        <v>10396.128925884099</v>
      </c>
      <c r="M13" s="18">
        <f>Table1[[#This Row],[Adjusted % (W/Floors)]]*$M$70</f>
        <v>10396.128925884103</v>
      </c>
      <c r="N13" s="18">
        <f>Table1[[#This Row],[Adjusted % (W/Floors)]]*$N$70</f>
        <v>10396.128925884103</v>
      </c>
      <c r="O13" s="18">
        <f>Table1[[#This Row],[Adjusted % (W/Floors)]]*$O$70</f>
        <v>10396.128925884103</v>
      </c>
      <c r="P13" s="18">
        <f>SUM(Table1[[#This Row],[Payment 1]:[Payment 13]])</f>
        <v>309939.62169611605</v>
      </c>
    </row>
    <row r="14" spans="1:16" x14ac:dyDescent="0.3">
      <c r="A14" t="s">
        <v>38</v>
      </c>
      <c r="B14">
        <v>6.399917820696671E-3</v>
      </c>
      <c r="C14" s="18">
        <f>Table1[[#This Row],[Adjusted % (W/Floors)]]*$C$70</f>
        <v>496076.74586777878</v>
      </c>
      <c r="D14" s="18">
        <f>Table1[[#This Row],[Adjusted % (W/Floors)]]*$D$70</f>
        <v>117272.67639403584</v>
      </c>
      <c r="E14" s="18">
        <f>Table1[[#This Row],[Adjusted % (W/Floors)]]*$E$70</f>
        <v>97586.203873497187</v>
      </c>
      <c r="F14" s="18">
        <f>Table1[[#This Row],[Adjusted % (W/Floors)]]*$F$70</f>
        <v>97586.203875552688</v>
      </c>
      <c r="G14" s="18">
        <f>Table1[[#This Row],[Adjusted % (W/Floors)]]*$G$70</f>
        <v>97586.203875552688</v>
      </c>
      <c r="H14" s="18">
        <f>Table1[[#This Row],[Adjusted % (W/Floors)]]*$H$70</f>
        <v>103540.08027511812</v>
      </c>
      <c r="I14" s="18">
        <f>Table1[[#This Row],[Adjusted % (W/Floors)]]*$I$70</f>
        <v>99405.470907460447</v>
      </c>
      <c r="J14" s="18">
        <f>Table1[[#This Row],[Adjusted % (W/Floors)]]*$J$70</f>
        <v>46573.482825392137</v>
      </c>
      <c r="K14" s="18">
        <f>Table1[[#This Row],[Adjusted % (W/Floors)]]*$K$70</f>
        <v>46573.482825392137</v>
      </c>
      <c r="L14" s="18">
        <f>Table1[[#This Row],[Adjusted % (W/Floors)]]*$L$70</f>
        <v>46573.482825392137</v>
      </c>
      <c r="M14" s="18">
        <f>Table1[[#This Row],[Adjusted % (W/Floors)]]*$M$70</f>
        <v>46573.482825392151</v>
      </c>
      <c r="N14" s="18">
        <f>Table1[[#This Row],[Adjusted % (W/Floors)]]*$N$70</f>
        <v>46573.482825392151</v>
      </c>
      <c r="O14" s="18">
        <f>Table1[[#This Row],[Adjusted % (W/Floors)]]*$O$70</f>
        <v>46573.482825392151</v>
      </c>
      <c r="P14" s="18">
        <f>SUM(Table1[[#This Row],[Payment 1]:[Payment 13]])</f>
        <v>1388494.4820213486</v>
      </c>
    </row>
    <row r="15" spans="1:16" x14ac:dyDescent="0.3">
      <c r="A15" t="s">
        <v>39</v>
      </c>
      <c r="B15">
        <v>2.4844407644750662E-3</v>
      </c>
      <c r="C15" s="18">
        <f>Table1[[#This Row],[Adjusted % (W/Floors)]]*$C$70</f>
        <v>192576.42430288036</v>
      </c>
      <c r="D15" s="18">
        <f>Table1[[#This Row],[Adjusted % (W/Floors)]]*$D$70</f>
        <v>45525.118596088381</v>
      </c>
      <c r="E15" s="18">
        <f>Table1[[#This Row],[Adjusted % (W/Floors)]]*$E$70</f>
        <v>37882.852521893656</v>
      </c>
      <c r="F15" s="18">
        <f>Table1[[#This Row],[Adjusted % (W/Floors)]]*$F$70</f>
        <v>37882.852522691595</v>
      </c>
      <c r="G15" s="18">
        <f>Table1[[#This Row],[Adjusted % (W/Floors)]]*$G$70</f>
        <v>37882.852522691595</v>
      </c>
      <c r="H15" s="18">
        <f>Table1[[#This Row],[Adjusted % (W/Floors)]]*$H$70</f>
        <v>40194.140518592176</v>
      </c>
      <c r="I15" s="18">
        <f>Table1[[#This Row],[Adjusted % (W/Floors)]]*$I$70</f>
        <v>38589.089899821731</v>
      </c>
      <c r="J15" s="18">
        <f>Table1[[#This Row],[Adjusted % (W/Floors)]]*$J$70</f>
        <v>18079.772665328997</v>
      </c>
      <c r="K15" s="18">
        <f>Table1[[#This Row],[Adjusted % (W/Floors)]]*$K$70</f>
        <v>18079.772665328997</v>
      </c>
      <c r="L15" s="18">
        <f>Table1[[#This Row],[Adjusted % (W/Floors)]]*$L$70</f>
        <v>18079.772665328997</v>
      </c>
      <c r="M15" s="18">
        <f>Table1[[#This Row],[Adjusted % (W/Floors)]]*$M$70</f>
        <v>18079.772665329005</v>
      </c>
      <c r="N15" s="18">
        <f>Table1[[#This Row],[Adjusted % (W/Floors)]]*$N$70</f>
        <v>18079.772665329005</v>
      </c>
      <c r="O15" s="18">
        <f>Table1[[#This Row],[Adjusted % (W/Floors)]]*$O$70</f>
        <v>18079.772665329005</v>
      </c>
      <c r="P15" s="18">
        <f>SUM(Table1[[#This Row],[Payment 1]:[Payment 13]])</f>
        <v>539011.96687663347</v>
      </c>
    </row>
    <row r="16" spans="1:16" x14ac:dyDescent="0.3">
      <c r="A16" t="s">
        <v>40</v>
      </c>
      <c r="B16">
        <v>2.2161205847617552E-2</v>
      </c>
      <c r="C16" s="18">
        <f>Table1[[#This Row],[Adjusted % (W/Floors)]]*$C$70</f>
        <v>1717781.2574154863</v>
      </c>
      <c r="D16" s="18">
        <f>Table1[[#This Row],[Adjusted % (W/Floors)]]*$D$70</f>
        <v>406083.95211961656</v>
      </c>
      <c r="E16" s="18">
        <f>Table1[[#This Row],[Adjusted % (W/Floors)]]*$E$70</f>
        <v>337914.95649122709</v>
      </c>
      <c r="F16" s="18">
        <f>Table1[[#This Row],[Adjusted % (W/Floors)]]*$F$70</f>
        <v>337914.95649834472</v>
      </c>
      <c r="G16" s="18">
        <f>Table1[[#This Row],[Adjusted % (W/Floors)]]*$G$70</f>
        <v>337914.95649834472</v>
      </c>
      <c r="H16" s="18">
        <f>Table1[[#This Row],[Adjusted % (W/Floors)]]*$H$70</f>
        <v>358531.64005252178</v>
      </c>
      <c r="I16" s="18">
        <f>Table1[[#This Row],[Adjusted % (W/Floors)]]*$I$70</f>
        <v>344214.59226171515</v>
      </c>
      <c r="J16" s="18">
        <f>Table1[[#This Row],[Adjusted % (W/Floors)]]*$J$70</f>
        <v>161271.53017437382</v>
      </c>
      <c r="K16" s="18">
        <f>Table1[[#This Row],[Adjusted % (W/Floors)]]*$K$70</f>
        <v>161271.53017437382</v>
      </c>
      <c r="L16" s="18">
        <f>Table1[[#This Row],[Adjusted % (W/Floors)]]*$L$70</f>
        <v>161271.53017437382</v>
      </c>
      <c r="M16" s="18">
        <f>Table1[[#This Row],[Adjusted % (W/Floors)]]*$M$70</f>
        <v>161271.53017437385</v>
      </c>
      <c r="N16" s="18">
        <f>Table1[[#This Row],[Adjusted % (W/Floors)]]*$N$70</f>
        <v>161271.53017437385</v>
      </c>
      <c r="O16" s="18">
        <f>Table1[[#This Row],[Adjusted % (W/Floors)]]*$O$70</f>
        <v>161271.53017437385</v>
      </c>
      <c r="P16" s="18">
        <f>SUM(Table1[[#This Row],[Payment 1]:[Payment 13]])</f>
        <v>4807985.4923834987</v>
      </c>
    </row>
    <row r="17" spans="1:16" x14ac:dyDescent="0.3">
      <c r="A17" t="s">
        <v>41</v>
      </c>
      <c r="B17">
        <v>1.4608509466514366E-3</v>
      </c>
      <c r="C17" s="18">
        <f>Table1[[#This Row],[Adjusted % (W/Floors)]]*$C$70</f>
        <v>113234.92021555697</v>
      </c>
      <c r="D17" s="18">
        <f>Table1[[#This Row],[Adjusted % (W/Floors)]]*$D$70</f>
        <v>26768.765650794841</v>
      </c>
      <c r="E17" s="18">
        <f>Table1[[#This Row],[Adjusted % (W/Floors)]]*$E$70</f>
        <v>22275.11388469673</v>
      </c>
      <c r="F17" s="18">
        <f>Table1[[#This Row],[Adjusted % (W/Floors)]]*$F$70</f>
        <v>22275.11388516592</v>
      </c>
      <c r="G17" s="18">
        <f>Table1[[#This Row],[Adjusted % (W/Floors)]]*$G$70</f>
        <v>22275.11388516592</v>
      </c>
      <c r="H17" s="18">
        <f>Table1[[#This Row],[Adjusted % (W/Floors)]]*$H$70</f>
        <v>23634.151019427751</v>
      </c>
      <c r="I17" s="18">
        <f>Table1[[#This Row],[Adjusted % (W/Floors)]]*$I$70</f>
        <v>22690.381399567363</v>
      </c>
      <c r="J17" s="18">
        <f>Table1[[#This Row],[Adjusted % (W/Floors)]]*$J$70</f>
        <v>10630.904705417341</v>
      </c>
      <c r="K17" s="18">
        <f>Table1[[#This Row],[Adjusted % (W/Floors)]]*$K$70</f>
        <v>10630.904705417341</v>
      </c>
      <c r="L17" s="18">
        <f>Table1[[#This Row],[Adjusted % (W/Floors)]]*$L$70</f>
        <v>10630.904705417341</v>
      </c>
      <c r="M17" s="18">
        <f>Table1[[#This Row],[Adjusted % (W/Floors)]]*$M$70</f>
        <v>10630.904705417342</v>
      </c>
      <c r="N17" s="18">
        <f>Table1[[#This Row],[Adjusted % (W/Floors)]]*$N$70</f>
        <v>10630.904705417342</v>
      </c>
      <c r="O17" s="18">
        <f>Table1[[#This Row],[Adjusted % (W/Floors)]]*$O$70</f>
        <v>10630.904705417342</v>
      </c>
      <c r="P17" s="18">
        <f>SUM(Table1[[#This Row],[Payment 1]:[Payment 13]])</f>
        <v>316938.98817287956</v>
      </c>
    </row>
    <row r="18" spans="1:16" x14ac:dyDescent="0.3">
      <c r="A18" t="s">
        <v>42</v>
      </c>
      <c r="B18">
        <v>2.9713910800255451E-3</v>
      </c>
      <c r="C18" s="18">
        <f>Table1[[#This Row],[Adjusted % (W/Floors)]]*$C$70</f>
        <v>230321.39770806601</v>
      </c>
      <c r="D18" s="18">
        <f>Table1[[#This Row],[Adjusted % (W/Floors)]]*$D$70</f>
        <v>54448.040479686664</v>
      </c>
      <c r="E18" s="18">
        <f>Table1[[#This Row],[Adjusted % (W/Floors)]]*$E$70</f>
        <v>45307.890483459232</v>
      </c>
      <c r="F18" s="18">
        <f>Table1[[#This Row],[Adjusted % (W/Floors)]]*$F$70</f>
        <v>45307.890484413569</v>
      </c>
      <c r="G18" s="18">
        <f>Table1[[#This Row],[Adjusted % (W/Floors)]]*$G$70</f>
        <v>45307.890484413569</v>
      </c>
      <c r="H18" s="18">
        <f>Table1[[#This Row],[Adjusted % (W/Floors)]]*$H$70</f>
        <v>48072.190858401424</v>
      </c>
      <c r="I18" s="18">
        <f>Table1[[#This Row],[Adjusted % (W/Floors)]]*$I$70</f>
        <v>46152.550366344185</v>
      </c>
      <c r="J18" s="18">
        <f>Table1[[#This Row],[Adjusted % (W/Floors)]]*$J$70</f>
        <v>21623.407567134778</v>
      </c>
      <c r="K18" s="18">
        <f>Table1[[#This Row],[Adjusted % (W/Floors)]]*$K$70</f>
        <v>21623.407567134778</v>
      </c>
      <c r="L18" s="18">
        <f>Table1[[#This Row],[Adjusted % (W/Floors)]]*$L$70</f>
        <v>21623.407567134778</v>
      </c>
      <c r="M18" s="18">
        <f>Table1[[#This Row],[Adjusted % (W/Floors)]]*$M$70</f>
        <v>21623.407567134785</v>
      </c>
      <c r="N18" s="18">
        <f>Table1[[#This Row],[Adjusted % (W/Floors)]]*$N$70</f>
        <v>21623.407567134785</v>
      </c>
      <c r="O18" s="18">
        <f>Table1[[#This Row],[Adjusted % (W/Floors)]]*$O$70</f>
        <v>21623.407567134785</v>
      </c>
      <c r="P18" s="18">
        <f>SUM(Table1[[#This Row],[Payment 1]:[Payment 13]])</f>
        <v>644658.29626759351</v>
      </c>
    </row>
    <row r="19" spans="1:16" x14ac:dyDescent="0.3">
      <c r="A19" t="s">
        <v>43</v>
      </c>
      <c r="B19">
        <v>1.4285891185863999E-3</v>
      </c>
      <c r="C19" s="18">
        <f>Table1[[#This Row],[Adjusted % (W/Floors)]]*$C$70</f>
        <v>110734.20956104</v>
      </c>
      <c r="D19" s="18">
        <f>Table1[[#This Row],[Adjusted % (W/Floors)]]*$D$70</f>
        <v>26177.596978235353</v>
      </c>
      <c r="E19" s="18">
        <f>Table1[[#This Row],[Adjusted % (W/Floors)]]*$E$70</f>
        <v>21783.184235115124</v>
      </c>
      <c r="F19" s="18">
        <f>Table1[[#This Row],[Adjusted % (W/Floors)]]*$F$70</f>
        <v>21783.184235573954</v>
      </c>
      <c r="G19" s="18">
        <f>Table1[[#This Row],[Adjusted % (W/Floors)]]*$G$70</f>
        <v>21783.184235573954</v>
      </c>
      <c r="H19" s="18">
        <f>Table1[[#This Row],[Adjusted % (W/Floors)]]*$H$70</f>
        <v>23112.20802558594</v>
      </c>
      <c r="I19" s="18">
        <f>Table1[[#This Row],[Adjusted % (W/Floors)]]*$I$70</f>
        <v>22189.280869687216</v>
      </c>
      <c r="J19" s="18">
        <f>Table1[[#This Row],[Adjusted % (W/Floors)]]*$J$70</f>
        <v>10396.128925884099</v>
      </c>
      <c r="K19" s="18">
        <f>Table1[[#This Row],[Adjusted % (W/Floors)]]*$K$70</f>
        <v>10396.128925884099</v>
      </c>
      <c r="L19" s="18">
        <f>Table1[[#This Row],[Adjusted % (W/Floors)]]*$L$70</f>
        <v>10396.128925884099</v>
      </c>
      <c r="M19" s="18">
        <f>Table1[[#This Row],[Adjusted % (W/Floors)]]*$M$70</f>
        <v>10396.128925884103</v>
      </c>
      <c r="N19" s="18">
        <f>Table1[[#This Row],[Adjusted % (W/Floors)]]*$N$70</f>
        <v>10396.128925884103</v>
      </c>
      <c r="O19" s="18">
        <f>Table1[[#This Row],[Adjusted % (W/Floors)]]*$O$70</f>
        <v>10396.128925884103</v>
      </c>
      <c r="P19" s="18">
        <f>SUM(Table1[[#This Row],[Payment 1]:[Payment 13]])</f>
        <v>309939.62169611605</v>
      </c>
    </row>
    <row r="20" spans="1:16" x14ac:dyDescent="0.3">
      <c r="A20" t="s">
        <v>44</v>
      </c>
      <c r="B20">
        <v>3.2595860772744538E-3</v>
      </c>
      <c r="C20" s="18">
        <f>Table1[[#This Row],[Adjusted % (W/Floors)]]*$C$70</f>
        <v>252660.25273965285</v>
      </c>
      <c r="D20" s="18">
        <f>Table1[[#This Row],[Adjusted % (W/Floors)]]*$D$70</f>
        <v>59728.951828493991</v>
      </c>
      <c r="E20" s="18">
        <f>Table1[[#This Row],[Adjusted % (W/Floors)]]*$E$70</f>
        <v>49702.299371945948</v>
      </c>
      <c r="F20" s="18">
        <f>Table1[[#This Row],[Adjusted % (W/Floors)]]*$F$70</f>
        <v>49702.299372992842</v>
      </c>
      <c r="G20" s="18">
        <f>Table1[[#This Row],[Adjusted % (W/Floors)]]*$G$70</f>
        <v>49702.299372992842</v>
      </c>
      <c r="H20" s="18">
        <f>Table1[[#This Row],[Adjusted % (W/Floors)]]*$H$70</f>
        <v>52734.709032234976</v>
      </c>
      <c r="I20" s="18">
        <f>Table1[[#This Row],[Adjusted % (W/Floors)]]*$I$70</f>
        <v>50628.882753309663</v>
      </c>
      <c r="J20" s="18">
        <f>Table1[[#This Row],[Adjusted % (W/Floors)]]*$J$70</f>
        <v>23720.660239869081</v>
      </c>
      <c r="K20" s="18">
        <f>Table1[[#This Row],[Adjusted % (W/Floors)]]*$K$70</f>
        <v>23720.660239869081</v>
      </c>
      <c r="L20" s="18">
        <f>Table1[[#This Row],[Adjusted % (W/Floors)]]*$L$70</f>
        <v>23720.660239869081</v>
      </c>
      <c r="M20" s="18">
        <f>Table1[[#This Row],[Adjusted % (W/Floors)]]*$M$70</f>
        <v>23720.660239869088</v>
      </c>
      <c r="N20" s="18">
        <f>Table1[[#This Row],[Adjusted % (W/Floors)]]*$N$70</f>
        <v>23720.660239869088</v>
      </c>
      <c r="O20" s="18">
        <f>Table1[[#This Row],[Adjusted % (W/Floors)]]*$O$70</f>
        <v>23720.660239869088</v>
      </c>
      <c r="P20" s="18">
        <f>SUM(Table1[[#This Row],[Payment 1]:[Payment 13]])</f>
        <v>707183.65591083723</v>
      </c>
    </row>
    <row r="21" spans="1:16" x14ac:dyDescent="0.3">
      <c r="A21" t="s">
        <v>45</v>
      </c>
      <c r="B21">
        <v>6.6682368575386878E-3</v>
      </c>
      <c r="C21" s="18">
        <f>Table1[[#This Row],[Adjusted % (W/Floors)]]*$C$70</f>
        <v>516874.95584174292</v>
      </c>
      <c r="D21" s="18">
        <f>Table1[[#This Row],[Adjusted % (W/Floors)]]*$D$70</f>
        <v>122189.37883608499</v>
      </c>
      <c r="E21" s="18">
        <f>Table1[[#This Row],[Adjusted % (W/Floors)]]*$E$70</f>
        <v>101677.54331972076</v>
      </c>
      <c r="F21" s="18">
        <f>Table1[[#This Row],[Adjusted % (W/Floors)]]*$F$70</f>
        <v>101677.54332186244</v>
      </c>
      <c r="G21" s="18">
        <f>Table1[[#This Row],[Adjusted % (W/Floors)]]*$G$70</f>
        <v>101677.54332186244</v>
      </c>
      <c r="H21" s="18">
        <f>Table1[[#This Row],[Adjusted % (W/Floors)]]*$H$70</f>
        <v>107881.03829869171</v>
      </c>
      <c r="I21" s="18">
        <f>Table1[[#This Row],[Adjusted % (W/Floors)]]*$I$70</f>
        <v>103573.08382968599</v>
      </c>
      <c r="J21" s="18">
        <f>Table1[[#This Row],[Adjusted % (W/Floors)]]*$J$70</f>
        <v>48526.094156380619</v>
      </c>
      <c r="K21" s="18">
        <f>Table1[[#This Row],[Adjusted % (W/Floors)]]*$K$70</f>
        <v>48526.094156380619</v>
      </c>
      <c r="L21" s="18">
        <f>Table1[[#This Row],[Adjusted % (W/Floors)]]*$L$70</f>
        <v>48526.094156380619</v>
      </c>
      <c r="M21" s="18">
        <f>Table1[[#This Row],[Adjusted % (W/Floors)]]*$M$70</f>
        <v>48526.094156380634</v>
      </c>
      <c r="N21" s="18">
        <f>Table1[[#This Row],[Adjusted % (W/Floors)]]*$N$70</f>
        <v>48526.094156380634</v>
      </c>
      <c r="O21" s="18">
        <f>Table1[[#This Row],[Adjusted % (W/Floors)]]*$O$70</f>
        <v>48526.094156380634</v>
      </c>
      <c r="P21" s="18">
        <f>SUM(Table1[[#This Row],[Payment 1]:[Payment 13]])</f>
        <v>1446707.6517079351</v>
      </c>
    </row>
    <row r="22" spans="1:16" x14ac:dyDescent="0.3">
      <c r="A22" t="s">
        <v>46</v>
      </c>
      <c r="B22">
        <v>1.0414773250363621E-2</v>
      </c>
      <c r="C22" s="18">
        <f>Table1[[#This Row],[Adjusted % (W/Floors)]]*$C$70</f>
        <v>807280.18198658142</v>
      </c>
      <c r="D22" s="18">
        <f>Table1[[#This Row],[Adjusted % (W/Floors)]]*$D$70</f>
        <v>190841.25254817726</v>
      </c>
      <c r="E22" s="18">
        <f>Table1[[#This Row],[Adjusted % (W/Floors)]]*$E$70</f>
        <v>158804.88065323228</v>
      </c>
      <c r="F22" s="18">
        <f>Table1[[#This Row],[Adjusted % (W/Floors)]]*$F$70</f>
        <v>158804.88065657727</v>
      </c>
      <c r="G22" s="18">
        <f>Table1[[#This Row],[Adjusted % (W/Floors)]]*$G$70</f>
        <v>158804.88065657727</v>
      </c>
      <c r="H22" s="18">
        <f>Table1[[#This Row],[Adjusted % (W/Floors)]]*$H$70</f>
        <v>168493.79767073595</v>
      </c>
      <c r="I22" s="18">
        <f>Table1[[#This Row],[Adjusted % (W/Floors)]]*$I$70</f>
        <v>161765.42704951813</v>
      </c>
      <c r="J22" s="18">
        <f>Table1[[#This Row],[Adjusted % (W/Floors)]]*$J$70</f>
        <v>75790.389298055481</v>
      </c>
      <c r="K22" s="18">
        <f>Table1[[#This Row],[Adjusted % (W/Floors)]]*$K$70</f>
        <v>75790.389298055481</v>
      </c>
      <c r="L22" s="18">
        <f>Table1[[#This Row],[Adjusted % (W/Floors)]]*$L$70</f>
        <v>75790.389298055481</v>
      </c>
      <c r="M22" s="18">
        <f>Table1[[#This Row],[Adjusted % (W/Floors)]]*$M$70</f>
        <v>75790.389298055496</v>
      </c>
      <c r="N22" s="18">
        <f>Table1[[#This Row],[Adjusted % (W/Floors)]]*$N$70</f>
        <v>75790.389298055496</v>
      </c>
      <c r="O22" s="18">
        <f>Table1[[#This Row],[Adjusted % (W/Floors)]]*$O$70</f>
        <v>75790.389298055496</v>
      </c>
      <c r="P22" s="18">
        <f>SUM(Table1[[#This Row],[Payment 1]:[Payment 13]])</f>
        <v>2259537.637009732</v>
      </c>
    </row>
    <row r="23" spans="1:16" x14ac:dyDescent="0.3">
      <c r="A23" t="s">
        <v>47</v>
      </c>
      <c r="B23">
        <v>1.6009732531945126E-2</v>
      </c>
      <c r="C23" s="18">
        <f>Table1[[#This Row],[Adjusted % (W/Floors)]]*$C$70</f>
        <v>1240962.1871982585</v>
      </c>
      <c r="D23" s="18">
        <f>Table1[[#This Row],[Adjusted % (W/Floors)]]*$D$70</f>
        <v>293363.79543846869</v>
      </c>
      <c r="E23" s="18">
        <f>Table1[[#This Row],[Adjusted % (W/Floors)]]*$E$70</f>
        <v>244117.04440487458</v>
      </c>
      <c r="F23" s="18">
        <f>Table1[[#This Row],[Adjusted % (W/Floors)]]*$F$70</f>
        <v>244117.0444100165</v>
      </c>
      <c r="G23" s="18">
        <f>Table1[[#This Row],[Adjusted % (W/Floors)]]*$G$70</f>
        <v>244117.0444100165</v>
      </c>
      <c r="H23" s="18">
        <f>Table1[[#This Row],[Adjusted % (W/Floors)]]*$H$70</f>
        <v>259010.98076292532</v>
      </c>
      <c r="I23" s="18">
        <f>Table1[[#This Row],[Adjusted % (W/Floors)]]*$I$70</f>
        <v>248668.03700102115</v>
      </c>
      <c r="J23" s="18">
        <f>Table1[[#This Row],[Adjusted % (W/Floors)]]*$J$70</f>
        <v>116506.02773435327</v>
      </c>
      <c r="K23" s="18">
        <f>Table1[[#This Row],[Adjusted % (W/Floors)]]*$K$70</f>
        <v>116506.02773435327</v>
      </c>
      <c r="L23" s="18">
        <f>Table1[[#This Row],[Adjusted % (W/Floors)]]*$L$70</f>
        <v>116506.02773435327</v>
      </c>
      <c r="M23" s="18">
        <f>Table1[[#This Row],[Adjusted % (W/Floors)]]*$M$70</f>
        <v>116506.02773435329</v>
      </c>
      <c r="N23" s="18">
        <f>Table1[[#This Row],[Adjusted % (W/Floors)]]*$N$70</f>
        <v>116506.02773435329</v>
      </c>
      <c r="O23" s="18">
        <f>Table1[[#This Row],[Adjusted % (W/Floors)]]*$O$70</f>
        <v>116506.02773435329</v>
      </c>
      <c r="P23" s="18">
        <f>SUM(Table1[[#This Row],[Payment 1]:[Payment 13]])</f>
        <v>3473392.3000317006</v>
      </c>
    </row>
    <row r="24" spans="1:16" x14ac:dyDescent="0.3">
      <c r="A24" t="s">
        <v>48</v>
      </c>
      <c r="B24">
        <v>6.4277437366895854E-2</v>
      </c>
      <c r="C24" s="18">
        <f>Table1[[#This Row],[Adjusted % (W/Floors)]]*$C$70</f>
        <v>4982336.1572818775</v>
      </c>
      <c r="D24" s="18">
        <f>Table1[[#This Row],[Adjusted % (W/Floors)]]*$D$70</f>
        <v>1177825.610102182</v>
      </c>
      <c r="E24" s="18">
        <f>Table1[[#This Row],[Adjusted % (W/Floors)]]*$E$70</f>
        <v>980104.94557710341</v>
      </c>
      <c r="F24" s="18">
        <f>Table1[[#This Row],[Adjusted % (W/Floors)]]*$F$70</f>
        <v>980104.94559774781</v>
      </c>
      <c r="G24" s="18">
        <f>Table1[[#This Row],[Adjusted % (W/Floors)]]*$G$70</f>
        <v>980104.94559774781</v>
      </c>
      <c r="H24" s="18">
        <f>Table1[[#This Row],[Adjusted % (W/Floors)]]*$H$70</f>
        <v>1039902.5755181969</v>
      </c>
      <c r="I24" s="18">
        <f>Table1[[#This Row],[Adjusted % (W/Floors)]]*$I$70</f>
        <v>998376.71501312137</v>
      </c>
      <c r="J24" s="18">
        <f>Table1[[#This Row],[Adjusted % (W/Floors)]]*$J$70</f>
        <v>467759.77584997617</v>
      </c>
      <c r="K24" s="18">
        <f>Table1[[#This Row],[Adjusted % (W/Floors)]]*$K$70</f>
        <v>467759.77584997617</v>
      </c>
      <c r="L24" s="18">
        <f>Table1[[#This Row],[Adjusted % (W/Floors)]]*$L$70</f>
        <v>467759.77584997617</v>
      </c>
      <c r="M24" s="18">
        <f>Table1[[#This Row],[Adjusted % (W/Floors)]]*$M$70</f>
        <v>467759.77584997629</v>
      </c>
      <c r="N24" s="18">
        <f>Table1[[#This Row],[Adjusted % (W/Floors)]]*$N$70</f>
        <v>467759.77584997629</v>
      </c>
      <c r="O24" s="18">
        <f>Table1[[#This Row],[Adjusted % (W/Floors)]]*$O$70</f>
        <v>467759.77584997629</v>
      </c>
      <c r="P24" s="18">
        <f>SUM(Table1[[#This Row],[Payment 1]:[Payment 13]])</f>
        <v>13945314.549787831</v>
      </c>
    </row>
    <row r="25" spans="1:16" x14ac:dyDescent="0.3">
      <c r="A25" t="s">
        <v>49</v>
      </c>
      <c r="B25">
        <v>1.6695435308618936E-3</v>
      </c>
      <c r="C25" s="18">
        <f>Table1[[#This Row],[Adjusted % (W/Floors)]]*$C$70</f>
        <v>129411.30575086238</v>
      </c>
      <c r="D25" s="18">
        <f>Table1[[#This Row],[Adjusted % (W/Floors)]]*$D$70</f>
        <v>30592.867550166397</v>
      </c>
      <c r="E25" s="18">
        <f>Table1[[#This Row],[Adjusted % (W/Floors)]]*$E$70</f>
        <v>25457.266787315053</v>
      </c>
      <c r="F25" s="18">
        <f>Table1[[#This Row],[Adjusted % (W/Floors)]]*$F$70</f>
        <v>25457.266787851269</v>
      </c>
      <c r="G25" s="18">
        <f>Table1[[#This Row],[Adjusted % (W/Floors)]]*$G$70</f>
        <v>25457.266787851269</v>
      </c>
      <c r="H25" s="18">
        <f>Table1[[#This Row],[Adjusted % (W/Floors)]]*$H$70</f>
        <v>27010.451704429419</v>
      </c>
      <c r="I25" s="18">
        <f>Table1[[#This Row],[Adjusted % (W/Floors)]]*$I$70</f>
        <v>25931.85811685388</v>
      </c>
      <c r="J25" s="18">
        <f>Table1[[#This Row],[Adjusted % (W/Floors)]]*$J$70</f>
        <v>12149.602407297267</v>
      </c>
      <c r="K25" s="18">
        <f>Table1[[#This Row],[Adjusted % (W/Floors)]]*$K$70</f>
        <v>12149.602407297267</v>
      </c>
      <c r="L25" s="18">
        <f>Table1[[#This Row],[Adjusted % (W/Floors)]]*$L$70</f>
        <v>12149.602407297267</v>
      </c>
      <c r="M25" s="18">
        <f>Table1[[#This Row],[Adjusted % (W/Floors)]]*$M$70</f>
        <v>12149.60240729727</v>
      </c>
      <c r="N25" s="18">
        <f>Table1[[#This Row],[Adjusted % (W/Floors)]]*$N$70</f>
        <v>12149.60240729727</v>
      </c>
      <c r="O25" s="18">
        <f>Table1[[#This Row],[Adjusted % (W/Floors)]]*$O$70</f>
        <v>12149.60240729727</v>
      </c>
      <c r="P25" s="18">
        <f>SUM(Table1[[#This Row],[Payment 1]:[Payment 13]])</f>
        <v>362215.89792911342</v>
      </c>
    </row>
    <row r="26" spans="1:16" x14ac:dyDescent="0.3">
      <c r="A26" t="s">
        <v>50</v>
      </c>
      <c r="B26">
        <v>2.0382346677401429E-2</v>
      </c>
      <c r="C26" s="18">
        <f>Table1[[#This Row],[Adjusted % (W/Floors)]]*$C$70</f>
        <v>1579896.5699490132</v>
      </c>
      <c r="D26" s="18">
        <f>Table1[[#This Row],[Adjusted % (W/Floors)]]*$D$70</f>
        <v>373487.97484867566</v>
      </c>
      <c r="E26" s="18">
        <f>Table1[[#This Row],[Adjusted % (W/Floors)]]*$E$70</f>
        <v>310790.84044624108</v>
      </c>
      <c r="F26" s="18">
        <f>Table1[[#This Row],[Adjusted % (W/Floors)]]*$F$70</f>
        <v>310790.84045278741</v>
      </c>
      <c r="G26" s="18">
        <f>Table1[[#This Row],[Adjusted % (W/Floors)]]*$G$70</f>
        <v>310790.84045278741</v>
      </c>
      <c r="H26" s="18">
        <f>Table1[[#This Row],[Adjusted % (W/Floors)]]*$H$70</f>
        <v>329752.64218997455</v>
      </c>
      <c r="I26" s="18">
        <f>Table1[[#This Row],[Adjusted % (W/Floors)]]*$I$70</f>
        <v>316584.81037271279</v>
      </c>
      <c r="J26" s="18">
        <f>Table1[[#This Row],[Adjusted % (W/Floors)]]*$J$70</f>
        <v>148326.4159816679</v>
      </c>
      <c r="K26" s="18">
        <f>Table1[[#This Row],[Adjusted % (W/Floors)]]*$K$70</f>
        <v>148326.4159816679</v>
      </c>
      <c r="L26" s="18">
        <f>Table1[[#This Row],[Adjusted % (W/Floors)]]*$L$70</f>
        <v>148326.4159816679</v>
      </c>
      <c r="M26" s="18">
        <f>Table1[[#This Row],[Adjusted % (W/Floors)]]*$M$70</f>
        <v>148326.41598166796</v>
      </c>
      <c r="N26" s="18">
        <f>Table1[[#This Row],[Adjusted % (W/Floors)]]*$N$70</f>
        <v>148326.41598166796</v>
      </c>
      <c r="O26" s="18">
        <f>Table1[[#This Row],[Adjusted % (W/Floors)]]*$O$70</f>
        <v>148326.41598166796</v>
      </c>
      <c r="P26" s="18">
        <f>SUM(Table1[[#This Row],[Payment 1]:[Payment 13]])</f>
        <v>4422053.0146022001</v>
      </c>
    </row>
    <row r="27" spans="1:16" x14ac:dyDescent="0.3">
      <c r="A27" t="s">
        <v>51</v>
      </c>
      <c r="B27">
        <v>1.3396101596298053E-2</v>
      </c>
      <c r="C27" s="18">
        <f>Table1[[#This Row],[Adjusted % (W/Floors)]]*$C$70</f>
        <v>1038371.846856354</v>
      </c>
      <c r="D27" s="18">
        <f>Table1[[#This Row],[Adjusted % (W/Floors)]]*$D$70</f>
        <v>245471.38439244454</v>
      </c>
      <c r="E27" s="18">
        <f>Table1[[#This Row],[Adjusted % (W/Floors)]]*$E$70</f>
        <v>204264.29496623098</v>
      </c>
      <c r="F27" s="18">
        <f>Table1[[#This Row],[Adjusted % (W/Floors)]]*$F$70</f>
        <v>204264.29497053349</v>
      </c>
      <c r="G27" s="18">
        <f>Table1[[#This Row],[Adjusted % (W/Floors)]]*$G$70</f>
        <v>204264.29497053349</v>
      </c>
      <c r="H27" s="18">
        <f>Table1[[#This Row],[Adjusted % (W/Floors)]]*$H$70</f>
        <v>216726.75704816336</v>
      </c>
      <c r="I27" s="18">
        <f>Table1[[#This Row],[Adjusted % (W/Floors)]]*$I$70</f>
        <v>208072.32605359185</v>
      </c>
      <c r="J27" s="18">
        <f>Table1[[#This Row],[Adjusted % (W/Floors)]]*$J$70</f>
        <v>97486.112337998711</v>
      </c>
      <c r="K27" s="18">
        <f>Table1[[#This Row],[Adjusted % (W/Floors)]]*$K$70</f>
        <v>97486.112337998711</v>
      </c>
      <c r="L27" s="18">
        <f>Table1[[#This Row],[Adjusted % (W/Floors)]]*$L$70</f>
        <v>97486.112337998711</v>
      </c>
      <c r="M27" s="18">
        <f>Table1[[#This Row],[Adjusted % (W/Floors)]]*$M$70</f>
        <v>97486.11233799874</v>
      </c>
      <c r="N27" s="18">
        <f>Table1[[#This Row],[Adjusted % (W/Floors)]]*$N$70</f>
        <v>97486.11233799874</v>
      </c>
      <c r="O27" s="18">
        <f>Table1[[#This Row],[Adjusted % (W/Floors)]]*$O$70</f>
        <v>97486.11233799874</v>
      </c>
      <c r="P27" s="18">
        <f>SUM(Table1[[#This Row],[Payment 1]:[Payment 13]])</f>
        <v>2906351.8732858435</v>
      </c>
    </row>
    <row r="28" spans="1:16" x14ac:dyDescent="0.3">
      <c r="A28" t="s">
        <v>52</v>
      </c>
      <c r="B28">
        <v>1.4285891185863999E-3</v>
      </c>
      <c r="C28" s="18">
        <f>Table1[[#This Row],[Adjusted % (W/Floors)]]*$C$70</f>
        <v>110734.20956104</v>
      </c>
      <c r="D28" s="18">
        <f>Table1[[#This Row],[Adjusted % (W/Floors)]]*$D$70</f>
        <v>26177.596978235353</v>
      </c>
      <c r="E28" s="18">
        <f>Table1[[#This Row],[Adjusted % (W/Floors)]]*$E$70</f>
        <v>21783.184235115124</v>
      </c>
      <c r="F28" s="18">
        <f>Table1[[#This Row],[Adjusted % (W/Floors)]]*$F$70</f>
        <v>21783.184235573954</v>
      </c>
      <c r="G28" s="18">
        <f>Table1[[#This Row],[Adjusted % (W/Floors)]]*$G$70</f>
        <v>21783.184235573954</v>
      </c>
      <c r="H28" s="18">
        <f>Table1[[#This Row],[Adjusted % (W/Floors)]]*$H$70</f>
        <v>23112.20802558594</v>
      </c>
      <c r="I28" s="18">
        <f>Table1[[#This Row],[Adjusted % (W/Floors)]]*$I$70</f>
        <v>22189.280869687216</v>
      </c>
      <c r="J28" s="18">
        <f>Table1[[#This Row],[Adjusted % (W/Floors)]]*$J$70</f>
        <v>10396.128925884099</v>
      </c>
      <c r="K28" s="18">
        <f>Table1[[#This Row],[Adjusted % (W/Floors)]]*$K$70</f>
        <v>10396.128925884099</v>
      </c>
      <c r="L28" s="18">
        <f>Table1[[#This Row],[Adjusted % (W/Floors)]]*$L$70</f>
        <v>10396.128925884099</v>
      </c>
      <c r="M28" s="18">
        <f>Table1[[#This Row],[Adjusted % (W/Floors)]]*$M$70</f>
        <v>10396.128925884103</v>
      </c>
      <c r="N28" s="18">
        <f>Table1[[#This Row],[Adjusted % (W/Floors)]]*$N$70</f>
        <v>10396.128925884103</v>
      </c>
      <c r="O28" s="18">
        <f>Table1[[#This Row],[Adjusted % (W/Floors)]]*$O$70</f>
        <v>10396.128925884103</v>
      </c>
      <c r="P28" s="18">
        <f>SUM(Table1[[#This Row],[Payment 1]:[Payment 13]])</f>
        <v>309939.62169611605</v>
      </c>
    </row>
    <row r="29" spans="1:16" x14ac:dyDescent="0.3">
      <c r="A29" t="s">
        <v>53</v>
      </c>
      <c r="B29">
        <v>5.108008966031025E-3</v>
      </c>
      <c r="C29" s="18">
        <f>Table1[[#This Row],[Adjusted % (W/Floors)]]*$C$70</f>
        <v>395937.03180649132</v>
      </c>
      <c r="D29" s="18">
        <f>Table1[[#This Row],[Adjusted % (W/Floors)]]*$D$70</f>
        <v>93599.621006693153</v>
      </c>
      <c r="E29" s="18">
        <f>Table1[[#This Row],[Adjusted % (W/Floors)]]*$E$70</f>
        <v>77887.125790076709</v>
      </c>
      <c r="F29" s="18">
        <f>Table1[[#This Row],[Adjusted % (W/Floors)]]*$F$70</f>
        <v>77887.125791717277</v>
      </c>
      <c r="G29" s="18">
        <f>Table1[[#This Row],[Adjusted % (W/Floors)]]*$G$70</f>
        <v>77887.125791717277</v>
      </c>
      <c r="H29" s="18">
        <f>Table1[[#This Row],[Adjusted % (W/Floors)]]*$H$70</f>
        <v>82639.132752380116</v>
      </c>
      <c r="I29" s="18">
        <f>Table1[[#This Row],[Adjusted % (W/Floors)]]*$I$70</f>
        <v>79339.14948498056</v>
      </c>
      <c r="J29" s="18">
        <f>Table1[[#This Row],[Adjusted % (W/Floors)]]*$J$70</f>
        <v>37172.003534491996</v>
      </c>
      <c r="K29" s="18">
        <f>Table1[[#This Row],[Adjusted % (W/Floors)]]*$K$70</f>
        <v>37172.003534491996</v>
      </c>
      <c r="L29" s="18">
        <f>Table1[[#This Row],[Adjusted % (W/Floors)]]*$L$70</f>
        <v>37172.003534491996</v>
      </c>
      <c r="M29" s="18">
        <f>Table1[[#This Row],[Adjusted % (W/Floors)]]*$M$70</f>
        <v>37172.003534492011</v>
      </c>
      <c r="N29" s="18">
        <f>Table1[[#This Row],[Adjusted % (W/Floors)]]*$N$70</f>
        <v>37172.003534492011</v>
      </c>
      <c r="O29" s="18">
        <f>Table1[[#This Row],[Adjusted % (W/Floors)]]*$O$70</f>
        <v>37172.003534492011</v>
      </c>
      <c r="P29" s="18">
        <f>SUM(Table1[[#This Row],[Payment 1]:[Payment 13]])</f>
        <v>1108208.3336310086</v>
      </c>
    </row>
    <row r="30" spans="1:16" x14ac:dyDescent="0.3">
      <c r="A30" t="s">
        <v>54</v>
      </c>
      <c r="B30">
        <v>1.4285891185863999E-3</v>
      </c>
      <c r="C30" s="18">
        <f>Table1[[#This Row],[Adjusted % (W/Floors)]]*$C$70</f>
        <v>110734.20956104</v>
      </c>
      <c r="D30" s="18">
        <f>Table1[[#This Row],[Adjusted % (W/Floors)]]*$D$70</f>
        <v>26177.596978235353</v>
      </c>
      <c r="E30" s="18">
        <f>Table1[[#This Row],[Adjusted % (W/Floors)]]*$E$70</f>
        <v>21783.184235115124</v>
      </c>
      <c r="F30" s="18">
        <f>Table1[[#This Row],[Adjusted % (W/Floors)]]*$F$70</f>
        <v>21783.184235573954</v>
      </c>
      <c r="G30" s="18">
        <f>Table1[[#This Row],[Adjusted % (W/Floors)]]*$G$70</f>
        <v>21783.184235573954</v>
      </c>
      <c r="H30" s="18">
        <f>Table1[[#This Row],[Adjusted % (W/Floors)]]*$H$70</f>
        <v>23112.20802558594</v>
      </c>
      <c r="I30" s="18">
        <f>Table1[[#This Row],[Adjusted % (W/Floors)]]*$I$70</f>
        <v>22189.280869687216</v>
      </c>
      <c r="J30" s="18">
        <f>Table1[[#This Row],[Adjusted % (W/Floors)]]*$J$70</f>
        <v>10396.128925884099</v>
      </c>
      <c r="K30" s="18">
        <f>Table1[[#This Row],[Adjusted % (W/Floors)]]*$K$70</f>
        <v>10396.128925884099</v>
      </c>
      <c r="L30" s="18">
        <f>Table1[[#This Row],[Adjusted % (W/Floors)]]*$L$70</f>
        <v>10396.128925884099</v>
      </c>
      <c r="M30" s="18">
        <f>Table1[[#This Row],[Adjusted % (W/Floors)]]*$M$70</f>
        <v>10396.128925884103</v>
      </c>
      <c r="N30" s="18">
        <f>Table1[[#This Row],[Adjusted % (W/Floors)]]*$N$70</f>
        <v>10396.128925884103</v>
      </c>
      <c r="O30" s="18">
        <f>Table1[[#This Row],[Adjusted % (W/Floors)]]*$O$70</f>
        <v>10396.128925884103</v>
      </c>
      <c r="P30" s="18">
        <f>SUM(Table1[[#This Row],[Payment 1]:[Payment 13]])</f>
        <v>309939.62169611605</v>
      </c>
    </row>
    <row r="31" spans="1:16" x14ac:dyDescent="0.3">
      <c r="A31" t="s">
        <v>55</v>
      </c>
      <c r="B31">
        <v>2.0372409411492541E-3</v>
      </c>
      <c r="C31" s="18">
        <f>Table1[[#This Row],[Adjusted % (W/Floors)]]*$C$70</f>
        <v>157912.63027873065</v>
      </c>
      <c r="D31" s="18">
        <f>Table1[[#This Row],[Adjusted % (W/Floors)]]*$D$70</f>
        <v>37330.588348409503</v>
      </c>
      <c r="E31" s="18">
        <f>Table1[[#This Row],[Adjusted % (W/Floors)]]*$E$70</f>
        <v>31063.931661670158</v>
      </c>
      <c r="F31" s="18">
        <f>Table1[[#This Row],[Adjusted % (W/Floors)]]*$F$70</f>
        <v>31063.93166232447</v>
      </c>
      <c r="G31" s="18">
        <f>Table1[[#This Row],[Adjusted % (W/Floors)]]*$G$70</f>
        <v>31063.93166232447</v>
      </c>
      <c r="H31" s="18">
        <f>Table1[[#This Row],[Adjusted % (W/Floors)]]*$H$70</f>
        <v>32959.187367094855</v>
      </c>
      <c r="I31" s="18">
        <f>Table1[[#This Row],[Adjusted % (W/Floors)]]*$I$70</f>
        <v>31643.046173498326</v>
      </c>
      <c r="J31" s="18">
        <f>Table1[[#This Row],[Adjusted % (W/Floors)]]*$J$70</f>
        <v>14825.410050885945</v>
      </c>
      <c r="K31" s="18">
        <f>Table1[[#This Row],[Adjusted % (W/Floors)]]*$K$70</f>
        <v>14825.410050885945</v>
      </c>
      <c r="L31" s="18">
        <f>Table1[[#This Row],[Adjusted % (W/Floors)]]*$L$70</f>
        <v>14825.410050885945</v>
      </c>
      <c r="M31" s="18">
        <f>Table1[[#This Row],[Adjusted % (W/Floors)]]*$M$70</f>
        <v>14825.410050885948</v>
      </c>
      <c r="N31" s="18">
        <f>Table1[[#This Row],[Adjusted % (W/Floors)]]*$N$70</f>
        <v>14825.410050885948</v>
      </c>
      <c r="O31" s="18">
        <f>Table1[[#This Row],[Adjusted % (W/Floors)]]*$O$70</f>
        <v>14825.410050885948</v>
      </c>
      <c r="P31" s="18">
        <f>SUM(Table1[[#This Row],[Payment 1]:[Payment 13]])</f>
        <v>441989.70745936799</v>
      </c>
    </row>
    <row r="32" spans="1:16" x14ac:dyDescent="0.3">
      <c r="A32" t="s">
        <v>56</v>
      </c>
      <c r="B32">
        <v>1.7788591702161249E-3</v>
      </c>
      <c r="C32" s="18">
        <f>Table1[[#This Row],[Adjusted % (W/Floors)]]*$C$70</f>
        <v>137884.68746647314</v>
      </c>
      <c r="D32" s="18">
        <f>Table1[[#This Row],[Adjusted % (W/Floors)]]*$D$70</f>
        <v>32595.977270940966</v>
      </c>
      <c r="E32" s="18">
        <f>Table1[[#This Row],[Adjusted % (W/Floors)]]*$E$70</f>
        <v>27124.116044986062</v>
      </c>
      <c r="F32" s="18">
        <f>Table1[[#This Row],[Adjusted % (W/Floors)]]*$F$70</f>
        <v>27124.116045557388</v>
      </c>
      <c r="G32" s="18">
        <f>Table1[[#This Row],[Adjusted % (W/Floors)]]*$G$70</f>
        <v>27124.116045557388</v>
      </c>
      <c r="H32" s="18">
        <f>Table1[[#This Row],[Adjusted % (W/Floors)]]*$H$70</f>
        <v>28778.997862547254</v>
      </c>
      <c r="I32" s="18">
        <f>Table1[[#This Row],[Adjusted % (W/Floors)]]*$I$70</f>
        <v>27629.781889002345</v>
      </c>
      <c r="J32" s="18">
        <f>Table1[[#This Row],[Adjusted % (W/Floors)]]*$J$70</f>
        <v>12945.114192705918</v>
      </c>
      <c r="K32" s="18">
        <f>Table1[[#This Row],[Adjusted % (W/Floors)]]*$K$70</f>
        <v>12945.114192705918</v>
      </c>
      <c r="L32" s="18">
        <f>Table1[[#This Row],[Adjusted % (W/Floors)]]*$L$70</f>
        <v>12945.114192705918</v>
      </c>
      <c r="M32" s="18">
        <f>Table1[[#This Row],[Adjusted % (W/Floors)]]*$M$70</f>
        <v>12945.11419270592</v>
      </c>
      <c r="N32" s="18">
        <f>Table1[[#This Row],[Adjusted % (W/Floors)]]*$N$70</f>
        <v>12945.11419270592</v>
      </c>
      <c r="O32" s="18">
        <f>Table1[[#This Row],[Adjusted % (W/Floors)]]*$O$70</f>
        <v>12945.11419270592</v>
      </c>
      <c r="P32" s="18">
        <f>SUM(Table1[[#This Row],[Payment 1]:[Payment 13]])</f>
        <v>385932.47778129991</v>
      </c>
    </row>
    <row r="33" spans="1:16" x14ac:dyDescent="0.3">
      <c r="A33" t="s">
        <v>57</v>
      </c>
      <c r="B33">
        <v>6.7874911913909245E-3</v>
      </c>
      <c r="C33" s="18">
        <f>Table1[[#This Row],[Adjusted % (W/Floors)]]*$C$70</f>
        <v>526118.71545326989</v>
      </c>
      <c r="D33" s="18">
        <f>Table1[[#This Row],[Adjusted % (W/Floors)]]*$D$70</f>
        <v>124374.60609903713</v>
      </c>
      <c r="E33" s="18">
        <f>Table1[[#This Row],[Adjusted % (W/Floors)]]*$E$70</f>
        <v>103495.93819011546</v>
      </c>
      <c r="F33" s="18">
        <f>Table1[[#This Row],[Adjusted % (W/Floors)]]*$F$70</f>
        <v>103495.93819229543</v>
      </c>
      <c r="G33" s="18">
        <f>Table1[[#This Row],[Adjusted % (W/Floors)]]*$G$70</f>
        <v>103495.93819229543</v>
      </c>
      <c r="H33" s="18">
        <f>Table1[[#This Row],[Adjusted % (W/Floors)]]*$H$70</f>
        <v>109810.37608804354</v>
      </c>
      <c r="I33" s="18">
        <f>Table1[[#This Row],[Adjusted % (W/Floors)]]*$I$70</f>
        <v>105425.37842884487</v>
      </c>
      <c r="J33" s="18">
        <f>Table1[[#This Row],[Adjusted % (W/Floors)]]*$J$70</f>
        <v>49393.931810726644</v>
      </c>
      <c r="K33" s="18">
        <f>Table1[[#This Row],[Adjusted % (W/Floors)]]*$K$70</f>
        <v>49393.931810726644</v>
      </c>
      <c r="L33" s="18">
        <f>Table1[[#This Row],[Adjusted % (W/Floors)]]*$L$70</f>
        <v>49393.931810726644</v>
      </c>
      <c r="M33" s="18">
        <f>Table1[[#This Row],[Adjusted % (W/Floors)]]*$M$70</f>
        <v>49393.931810726659</v>
      </c>
      <c r="N33" s="18">
        <f>Table1[[#This Row],[Adjusted % (W/Floors)]]*$N$70</f>
        <v>49393.931810726659</v>
      </c>
      <c r="O33" s="18">
        <f>Table1[[#This Row],[Adjusted % (W/Floors)]]*$O$70</f>
        <v>49393.931810726659</v>
      </c>
      <c r="P33" s="18">
        <f>SUM(Table1[[#This Row],[Payment 1]:[Payment 13]])</f>
        <v>1472580.4815082615</v>
      </c>
    </row>
    <row r="34" spans="1:16" x14ac:dyDescent="0.3">
      <c r="A34" t="s">
        <v>58</v>
      </c>
      <c r="B34">
        <v>1.8782361150723507E-3</v>
      </c>
      <c r="C34" s="18">
        <f>Table1[[#This Row],[Adjusted % (W/Floors)]]*$C$70</f>
        <v>145587.69128616777</v>
      </c>
      <c r="D34" s="18">
        <f>Table1[[#This Row],[Adjusted % (W/Floors)]]*$D$70</f>
        <v>34416.969449537952</v>
      </c>
      <c r="E34" s="18">
        <f>Table1[[#This Row],[Adjusted % (W/Floors)]]*$E$70</f>
        <v>28639.419689933377</v>
      </c>
      <c r="F34" s="18">
        <f>Table1[[#This Row],[Adjusted % (W/Floors)]]*$F$70</f>
        <v>28639.419690536619</v>
      </c>
      <c r="G34" s="18">
        <f>Table1[[#This Row],[Adjusted % (W/Floors)]]*$G$70</f>
        <v>28639.419690536619</v>
      </c>
      <c r="H34" s="18">
        <f>Table1[[#This Row],[Adjusted % (W/Floors)]]*$H$70</f>
        <v>30386.752389431091</v>
      </c>
      <c r="I34" s="18">
        <f>Table1[[#This Row],[Adjusted % (W/Floors)]]*$I$70</f>
        <v>29173.334834140398</v>
      </c>
      <c r="J34" s="18">
        <f>Table1[[#This Row],[Adjusted % (W/Floors)]]*$J$70</f>
        <v>13668.300109177193</v>
      </c>
      <c r="K34" s="18">
        <f>Table1[[#This Row],[Adjusted % (W/Floors)]]*$K$70</f>
        <v>13668.300109177193</v>
      </c>
      <c r="L34" s="18">
        <f>Table1[[#This Row],[Adjusted % (W/Floors)]]*$L$70</f>
        <v>13668.300109177193</v>
      </c>
      <c r="M34" s="18">
        <f>Table1[[#This Row],[Adjusted % (W/Floors)]]*$M$70</f>
        <v>13668.300109177197</v>
      </c>
      <c r="N34" s="18">
        <f>Table1[[#This Row],[Adjusted % (W/Floors)]]*$N$70</f>
        <v>13668.300109177197</v>
      </c>
      <c r="O34" s="18">
        <f>Table1[[#This Row],[Adjusted % (W/Floors)]]*$O$70</f>
        <v>13668.300109177197</v>
      </c>
      <c r="P34" s="18">
        <f>SUM(Table1[[#This Row],[Payment 1]:[Payment 13]])</f>
        <v>407492.80768534698</v>
      </c>
    </row>
    <row r="35" spans="1:16" x14ac:dyDescent="0.3">
      <c r="A35" t="s">
        <v>59</v>
      </c>
      <c r="B35">
        <v>1.4285891185863999E-3</v>
      </c>
      <c r="C35" s="18">
        <f>Table1[[#This Row],[Adjusted % (W/Floors)]]*$C$70</f>
        <v>110734.20956104</v>
      </c>
      <c r="D35" s="18">
        <f>Table1[[#This Row],[Adjusted % (W/Floors)]]*$D$70</f>
        <v>26177.596978235353</v>
      </c>
      <c r="E35" s="18">
        <f>Table1[[#This Row],[Adjusted % (W/Floors)]]*$E$70</f>
        <v>21783.184235115124</v>
      </c>
      <c r="F35" s="18">
        <f>Table1[[#This Row],[Adjusted % (W/Floors)]]*$F$70</f>
        <v>21783.184235573954</v>
      </c>
      <c r="G35" s="18">
        <f>Table1[[#This Row],[Adjusted % (W/Floors)]]*$G$70</f>
        <v>21783.184235573954</v>
      </c>
      <c r="H35" s="18">
        <f>Table1[[#This Row],[Adjusted % (W/Floors)]]*$H$70</f>
        <v>23112.20802558594</v>
      </c>
      <c r="I35" s="18">
        <f>Table1[[#This Row],[Adjusted % (W/Floors)]]*$I$70</f>
        <v>22189.280869687216</v>
      </c>
      <c r="J35" s="18">
        <f>Table1[[#This Row],[Adjusted % (W/Floors)]]*$J$70</f>
        <v>10396.128925884099</v>
      </c>
      <c r="K35" s="18">
        <f>Table1[[#This Row],[Adjusted % (W/Floors)]]*$K$70</f>
        <v>10396.128925884099</v>
      </c>
      <c r="L35" s="18">
        <f>Table1[[#This Row],[Adjusted % (W/Floors)]]*$L$70</f>
        <v>10396.128925884099</v>
      </c>
      <c r="M35" s="18">
        <f>Table1[[#This Row],[Adjusted % (W/Floors)]]*$M$70</f>
        <v>10396.128925884103</v>
      </c>
      <c r="N35" s="18">
        <f>Table1[[#This Row],[Adjusted % (W/Floors)]]*$N$70</f>
        <v>10396.128925884103</v>
      </c>
      <c r="O35" s="18">
        <f>Table1[[#This Row],[Adjusted % (W/Floors)]]*$O$70</f>
        <v>10396.128925884103</v>
      </c>
      <c r="P35" s="18">
        <f>SUM(Table1[[#This Row],[Payment 1]:[Payment 13]])</f>
        <v>309939.62169611605</v>
      </c>
    </row>
    <row r="36" spans="1:16" x14ac:dyDescent="0.3">
      <c r="A36" t="s">
        <v>60</v>
      </c>
      <c r="B36">
        <v>1.3843301419623864E-2</v>
      </c>
      <c r="C36" s="18">
        <f>Table1[[#This Row],[Adjusted % (W/Floors)]]*$C$70</f>
        <v>1073035.6408805037</v>
      </c>
      <c r="D36" s="18">
        <f>Table1[[#This Row],[Adjusted % (W/Floors)]]*$D$70</f>
        <v>253665.9146401234</v>
      </c>
      <c r="E36" s="18">
        <f>Table1[[#This Row],[Adjusted % (W/Floors)]]*$E$70</f>
        <v>211083.21582645446</v>
      </c>
      <c r="F36" s="18">
        <f>Table1[[#This Row],[Adjusted % (W/Floors)]]*$F$70</f>
        <v>211083.21583090059</v>
      </c>
      <c r="G36" s="18">
        <f>Table1[[#This Row],[Adjusted % (W/Floors)]]*$G$70</f>
        <v>211083.21583090059</v>
      </c>
      <c r="H36" s="18">
        <f>Table1[[#This Row],[Adjusted % (W/Floors)]]*$H$70</f>
        <v>223961.71019966065</v>
      </c>
      <c r="I36" s="18">
        <f>Table1[[#This Row],[Adjusted % (W/Floors)]]*$I$70</f>
        <v>215018.36977991523</v>
      </c>
      <c r="J36" s="18">
        <f>Table1[[#This Row],[Adjusted % (W/Floors)]]*$J$70</f>
        <v>100740.47495244176</v>
      </c>
      <c r="K36" s="18">
        <f>Table1[[#This Row],[Adjusted % (W/Floors)]]*$K$70</f>
        <v>100740.47495244176</v>
      </c>
      <c r="L36" s="18">
        <f>Table1[[#This Row],[Adjusted % (W/Floors)]]*$L$70</f>
        <v>100740.47495244176</v>
      </c>
      <c r="M36" s="18">
        <f>Table1[[#This Row],[Adjusted % (W/Floors)]]*$M$70</f>
        <v>100740.47495244179</v>
      </c>
      <c r="N36" s="18">
        <f>Table1[[#This Row],[Adjusted % (W/Floors)]]*$N$70</f>
        <v>100740.47495244179</v>
      </c>
      <c r="O36" s="18">
        <f>Table1[[#This Row],[Adjusted % (W/Floors)]]*$O$70</f>
        <v>100740.47495244179</v>
      </c>
      <c r="P36" s="18">
        <f>SUM(Table1[[#This Row],[Payment 1]:[Payment 13]])</f>
        <v>3003374.1327031087</v>
      </c>
    </row>
    <row r="37" spans="1:16" x14ac:dyDescent="0.3">
      <c r="A37" t="s">
        <v>61</v>
      </c>
      <c r="B37">
        <v>2.2518965991996025E-2</v>
      </c>
      <c r="C37" s="18">
        <f>Table1[[#This Row],[Adjusted % (W/Floors)]]*$C$70</f>
        <v>1745512.3147816479</v>
      </c>
      <c r="D37" s="18">
        <f>Table1[[#This Row],[Adjusted % (W/Floors)]]*$D$70</f>
        <v>412639.58155327907</v>
      </c>
      <c r="E37" s="18">
        <f>Table1[[#This Row],[Adjusted % (W/Floors)]]*$E$70</f>
        <v>343370.09753604274</v>
      </c>
      <c r="F37" s="18">
        <f>Table1[[#This Row],[Adjusted % (W/Floors)]]*$F$70</f>
        <v>343370.09754327527</v>
      </c>
      <c r="G37" s="18">
        <f>Table1[[#This Row],[Adjusted % (W/Floors)]]*$G$70</f>
        <v>343370.09754327527</v>
      </c>
      <c r="H37" s="18">
        <f>Table1[[#This Row],[Adjusted % (W/Floors)]]*$H$70</f>
        <v>364319.60719616123</v>
      </c>
      <c r="I37" s="18">
        <f>Table1[[#This Row],[Adjusted % (W/Floors)]]*$I$70</f>
        <v>349771.43168063002</v>
      </c>
      <c r="J37" s="18">
        <f>Table1[[#This Row],[Adjusted % (W/Floors)]]*$J$70</f>
        <v>163875.02234515405</v>
      </c>
      <c r="K37" s="18">
        <f>Table1[[#This Row],[Adjusted % (W/Floors)]]*$K$70</f>
        <v>163875.02234515405</v>
      </c>
      <c r="L37" s="18">
        <f>Table1[[#This Row],[Adjusted % (W/Floors)]]*$L$70</f>
        <v>163875.02234515405</v>
      </c>
      <c r="M37" s="18">
        <f>Table1[[#This Row],[Adjusted % (W/Floors)]]*$M$70</f>
        <v>163875.02234515408</v>
      </c>
      <c r="N37" s="18">
        <f>Table1[[#This Row],[Adjusted % (W/Floors)]]*$N$70</f>
        <v>163875.02234515408</v>
      </c>
      <c r="O37" s="18">
        <f>Table1[[#This Row],[Adjusted % (W/Floors)]]*$O$70</f>
        <v>163875.02234515408</v>
      </c>
      <c r="P37" s="18">
        <f>SUM(Table1[[#This Row],[Payment 1]:[Payment 13]])</f>
        <v>4885603.3619052339</v>
      </c>
    </row>
    <row r="38" spans="1:16" x14ac:dyDescent="0.3">
      <c r="A38" t="s">
        <v>62</v>
      </c>
      <c r="B38">
        <v>9.8284459899569149E-3</v>
      </c>
      <c r="C38" s="18">
        <f>Table1[[#This Row],[Adjusted % (W/Floors)]]*$C$70</f>
        <v>761832.20476170105</v>
      </c>
      <c r="D38" s="18">
        <f>Table1[[#This Row],[Adjusted % (W/Floors)]]*$D$70</f>
        <v>180097.33848598198</v>
      </c>
      <c r="E38" s="18">
        <f>Table1[[#This Row],[Adjusted % (W/Floors)]]*$E$70</f>
        <v>149864.53904671938</v>
      </c>
      <c r="F38" s="18">
        <f>Table1[[#This Row],[Adjusted % (W/Floors)]]*$F$70</f>
        <v>149864.53904987604</v>
      </c>
      <c r="G38" s="18">
        <f>Table1[[#This Row],[Adjusted % (W/Floors)]]*$G$70</f>
        <v>149864.53904987604</v>
      </c>
      <c r="H38" s="18">
        <f>Table1[[#This Row],[Adjusted % (W/Floors)]]*$H$70</f>
        <v>159007.99280404285</v>
      </c>
      <c r="I38" s="18">
        <f>Table1[[#This Row],[Adjusted % (W/Floors)]]*$I$70</f>
        <v>152658.41363785759</v>
      </c>
      <c r="J38" s="18">
        <f>Table1[[#This Row],[Adjusted % (W/Floors)]]*$J$70</f>
        <v>71523.56847977842</v>
      </c>
      <c r="K38" s="18">
        <f>Table1[[#This Row],[Adjusted % (W/Floors)]]*$K$70</f>
        <v>71523.56847977842</v>
      </c>
      <c r="L38" s="18">
        <f>Table1[[#This Row],[Adjusted % (W/Floors)]]*$L$70</f>
        <v>71523.56847977842</v>
      </c>
      <c r="M38" s="18">
        <f>Table1[[#This Row],[Adjusted % (W/Floors)]]*$M$70</f>
        <v>71523.568479778434</v>
      </c>
      <c r="N38" s="18">
        <f>Table1[[#This Row],[Adjusted % (W/Floors)]]*$N$70</f>
        <v>71523.568479778434</v>
      </c>
      <c r="O38" s="18">
        <f>Table1[[#This Row],[Adjusted % (W/Floors)]]*$O$70</f>
        <v>71523.568479778434</v>
      </c>
      <c r="P38" s="18">
        <f>SUM(Table1[[#This Row],[Payment 1]:[Payment 13]])</f>
        <v>2132330.9777147258</v>
      </c>
    </row>
    <row r="39" spans="1:16" x14ac:dyDescent="0.3">
      <c r="A39" t="s">
        <v>63</v>
      </c>
      <c r="B39">
        <v>5.992469918184644E-3</v>
      </c>
      <c r="C39" s="18">
        <f>Table1[[#This Row],[Adjusted % (W/Floors)]]*$C$70</f>
        <v>464494.24195887457</v>
      </c>
      <c r="D39" s="18">
        <f>Table1[[#This Row],[Adjusted % (W/Floors)]]*$D$70</f>
        <v>109806.56395987333</v>
      </c>
      <c r="E39" s="18">
        <f>Table1[[#This Row],[Adjusted % (W/Floors)]]*$E$70</f>
        <v>91373.421897799999</v>
      </c>
      <c r="F39" s="18">
        <f>Table1[[#This Row],[Adjusted % (W/Floors)]]*$F$70</f>
        <v>91373.42189972465</v>
      </c>
      <c r="G39" s="18">
        <f>Table1[[#This Row],[Adjusted % (W/Floors)]]*$G$70</f>
        <v>91373.42189972465</v>
      </c>
      <c r="H39" s="18">
        <f>Table1[[#This Row],[Adjusted % (W/Floors)]]*$H$70</f>
        <v>96948.247424140762</v>
      </c>
      <c r="I39" s="18">
        <f>Table1[[#This Row],[Adjusted % (W/Floors)]]*$I$70</f>
        <v>93076.86611061696</v>
      </c>
      <c r="J39" s="18">
        <f>Table1[[#This Row],[Adjusted % (W/Floors)]]*$J$70</f>
        <v>43608.402894440733</v>
      </c>
      <c r="K39" s="18">
        <f>Table1[[#This Row],[Adjusted % (W/Floors)]]*$K$70</f>
        <v>43608.402894440733</v>
      </c>
      <c r="L39" s="18">
        <f>Table1[[#This Row],[Adjusted % (W/Floors)]]*$L$70</f>
        <v>43608.402894440733</v>
      </c>
      <c r="M39" s="18">
        <f>Table1[[#This Row],[Adjusted % (W/Floors)]]*$M$70</f>
        <v>43608.402894440747</v>
      </c>
      <c r="N39" s="18">
        <f>Table1[[#This Row],[Adjusted % (W/Floors)]]*$N$70</f>
        <v>43608.402894440747</v>
      </c>
      <c r="O39" s="18">
        <f>Table1[[#This Row],[Adjusted % (W/Floors)]]*$O$70</f>
        <v>43608.402894440747</v>
      </c>
      <c r="P39" s="18">
        <f>SUM(Table1[[#This Row],[Payment 1]:[Payment 13]])</f>
        <v>1300096.6025173997</v>
      </c>
    </row>
    <row r="40" spans="1:16" x14ac:dyDescent="0.3">
      <c r="A40" t="s">
        <v>64</v>
      </c>
      <c r="B40">
        <v>2.0938862140081473E-2</v>
      </c>
      <c r="C40" s="18">
        <f>Table1[[#This Row],[Adjusted % (W/Floors)]]*$C$70</f>
        <v>1623033.7456887737</v>
      </c>
      <c r="D40" s="18">
        <f>Table1[[#This Row],[Adjusted % (W/Floors)]]*$D$70</f>
        <v>383685.6148171291</v>
      </c>
      <c r="E40" s="18">
        <f>Table1[[#This Row],[Adjusted % (W/Floors)]]*$E$70</f>
        <v>319276.6105641356</v>
      </c>
      <c r="F40" s="18">
        <f>Table1[[#This Row],[Adjusted % (W/Floors)]]*$F$70</f>
        <v>319276.61057086062</v>
      </c>
      <c r="G40" s="18">
        <f>Table1[[#This Row],[Adjusted % (W/Floors)]]*$G$70</f>
        <v>319276.61057086062</v>
      </c>
      <c r="H40" s="18">
        <f>Table1[[#This Row],[Adjusted % (W/Floors)]]*$H$70</f>
        <v>338756.14149958972</v>
      </c>
      <c r="I40" s="18">
        <f>Table1[[#This Row],[Adjusted % (W/Floors)]]*$I$70</f>
        <v>325228.77787118469</v>
      </c>
      <c r="J40" s="18">
        <f>Table1[[#This Row],[Adjusted % (W/Floors)]]*$J$70</f>
        <v>152376.29038151962</v>
      </c>
      <c r="K40" s="18">
        <f>Table1[[#This Row],[Adjusted % (W/Floors)]]*$K$70</f>
        <v>152376.29038151962</v>
      </c>
      <c r="L40" s="18">
        <f>Table1[[#This Row],[Adjusted % (W/Floors)]]*$L$70</f>
        <v>152376.29038151962</v>
      </c>
      <c r="M40" s="18">
        <f>Table1[[#This Row],[Adjusted % (W/Floors)]]*$M$70</f>
        <v>152376.29038151965</v>
      </c>
      <c r="N40" s="18">
        <f>Table1[[#This Row],[Adjusted % (W/Floors)]]*$N$70</f>
        <v>152376.29038151965</v>
      </c>
      <c r="O40" s="18">
        <f>Table1[[#This Row],[Adjusted % (W/Floors)]]*$O$70</f>
        <v>152376.29038151965</v>
      </c>
      <c r="P40" s="18">
        <f>SUM(Table1[[#This Row],[Payment 1]:[Payment 13]])</f>
        <v>4542791.8538716519</v>
      </c>
    </row>
    <row r="41" spans="1:16" x14ac:dyDescent="0.3">
      <c r="A41" t="s">
        <v>65</v>
      </c>
      <c r="B41">
        <v>3.2615731018794961E-2</v>
      </c>
      <c r="C41" s="18">
        <f>Table1[[#This Row],[Adjusted % (W/Floors)]]*$C$70</f>
        <v>2528142.7295173132</v>
      </c>
      <c r="D41" s="18">
        <f>Table1[[#This Row],[Adjusted % (W/Floors)]]*$D$70</f>
        <v>597653.62248131027</v>
      </c>
      <c r="E41" s="18">
        <f>Table1[[#This Row],[Adjusted % (W/Floors)]]*$E$70</f>
        <v>497325.97602898575</v>
      </c>
      <c r="F41" s="18">
        <f>Table1[[#This Row],[Adjusted % (W/Floors)]]*$F$70</f>
        <v>497325.97603946109</v>
      </c>
      <c r="G41" s="18">
        <f>Table1[[#This Row],[Adjusted % (W/Floors)]]*$G$70</f>
        <v>497325.97603946109</v>
      </c>
      <c r="H41" s="18">
        <f>Table1[[#This Row],[Adjusted % (W/Floors)]]*$H$70</f>
        <v>527668.55802377767</v>
      </c>
      <c r="I41" s="18">
        <f>Table1[[#This Row],[Adjusted % (W/Floors)]]*$I$70</f>
        <v>506597.45824071317</v>
      </c>
      <c r="J41" s="18">
        <f>Table1[[#This Row],[Adjusted % (W/Floors)]]*$J$70</f>
        <v>237351.20215592097</v>
      </c>
      <c r="K41" s="18">
        <f>Table1[[#This Row],[Adjusted % (W/Floors)]]*$K$70</f>
        <v>237351.20215592097</v>
      </c>
      <c r="L41" s="18">
        <f>Table1[[#This Row],[Adjusted % (W/Floors)]]*$L$70</f>
        <v>237351.20215592097</v>
      </c>
      <c r="M41" s="18">
        <f>Table1[[#This Row],[Adjusted % (W/Floors)]]*$M$70</f>
        <v>237351.20215592103</v>
      </c>
      <c r="N41" s="18">
        <f>Table1[[#This Row],[Adjusted % (W/Floors)]]*$N$70</f>
        <v>237351.20215592103</v>
      </c>
      <c r="O41" s="18">
        <f>Table1[[#This Row],[Adjusted % (W/Floors)]]*$O$70</f>
        <v>237351.20215592103</v>
      </c>
      <c r="P41" s="18">
        <f>SUM(Table1[[#This Row],[Payment 1]:[Payment 13]])</f>
        <v>7076147.5093065463</v>
      </c>
    </row>
    <row r="42" spans="1:16" x14ac:dyDescent="0.3">
      <c r="A42" t="s">
        <v>66</v>
      </c>
      <c r="B42">
        <v>6.3800418602897781E-3</v>
      </c>
      <c r="C42" s="18">
        <f>Table1[[#This Row],[Adjusted % (W/Floors)]]*$C$70</f>
        <v>494536.10081015603</v>
      </c>
      <c r="D42" s="18">
        <f>Table1[[#This Row],[Adjusted % (W/Floors)]]*$D$70</f>
        <v>116908.46748727764</v>
      </c>
      <c r="E42" s="18">
        <f>Table1[[#This Row],[Adjusted % (W/Floors)]]*$E$70</f>
        <v>97283.134431234022</v>
      </c>
      <c r="F42" s="18">
        <f>Table1[[#This Row],[Adjusted % (W/Floors)]]*$F$70</f>
        <v>97283.13443328315</v>
      </c>
      <c r="G42" s="18">
        <f>Table1[[#This Row],[Adjusted % (W/Floors)]]*$G$70</f>
        <v>97283.13443328315</v>
      </c>
      <c r="H42" s="18">
        <f>Table1[[#This Row],[Adjusted % (W/Floors)]]*$H$70</f>
        <v>103218.52012485814</v>
      </c>
      <c r="I42" s="18">
        <f>Table1[[#This Row],[Adjusted % (W/Floors)]]*$I$70</f>
        <v>99096.751442720488</v>
      </c>
      <c r="J42" s="18">
        <f>Table1[[#This Row],[Adjusted % (W/Floors)]]*$J$70</f>
        <v>46428.841483646313</v>
      </c>
      <c r="K42" s="18">
        <f>Table1[[#This Row],[Adjusted % (W/Floors)]]*$K$70</f>
        <v>46428.841483646313</v>
      </c>
      <c r="L42" s="18">
        <f>Table1[[#This Row],[Adjusted % (W/Floors)]]*$L$70</f>
        <v>46428.841483646313</v>
      </c>
      <c r="M42" s="18">
        <f>Table1[[#This Row],[Adjusted % (W/Floors)]]*$M$70</f>
        <v>46428.84148364632</v>
      </c>
      <c r="N42" s="18">
        <f>Table1[[#This Row],[Adjusted % (W/Floors)]]*$N$70</f>
        <v>46428.84148364632</v>
      </c>
      <c r="O42" s="18">
        <f>Table1[[#This Row],[Adjusted % (W/Floors)]]*$O$70</f>
        <v>46428.84148364632</v>
      </c>
      <c r="P42" s="18">
        <f>SUM(Table1[[#This Row],[Payment 1]:[Payment 13]])</f>
        <v>1384182.2920646903</v>
      </c>
    </row>
    <row r="43" spans="1:16" x14ac:dyDescent="0.3">
      <c r="A43" t="s">
        <v>67</v>
      </c>
      <c r="B43">
        <v>1.7887964361250118E-3</v>
      </c>
      <c r="C43" s="18">
        <f>Table1[[#This Row],[Adjusted % (W/Floors)]]*$C$70</f>
        <v>138654.95462817972</v>
      </c>
      <c r="D43" s="18">
        <f>Table1[[#This Row],[Adjusted % (W/Floors)]]*$D$70</f>
        <v>32778.068635521566</v>
      </c>
      <c r="E43" s="18">
        <f>Table1[[#This Row],[Adjusted % (W/Floors)]]*$E$70</f>
        <v>27275.639874525521</v>
      </c>
      <c r="F43" s="18">
        <f>Table1[[#This Row],[Adjusted % (W/Floors)]]*$F$70</f>
        <v>27275.639875100038</v>
      </c>
      <c r="G43" s="18">
        <f>Table1[[#This Row],[Adjusted % (W/Floors)]]*$G$70</f>
        <v>27275.639875100038</v>
      </c>
      <c r="H43" s="18">
        <f>Table1[[#This Row],[Adjusted % (W/Floors)]]*$H$70</f>
        <v>28939.76638157323</v>
      </c>
      <c r="I43" s="18">
        <f>Table1[[#This Row],[Adjusted % (W/Floors)]]*$I$70</f>
        <v>27784.130526731889</v>
      </c>
      <c r="J43" s="18">
        <f>Table1[[#This Row],[Adjusted % (W/Floors)]]*$J$70</f>
        <v>13017.429665514366</v>
      </c>
      <c r="K43" s="18">
        <f>Table1[[#This Row],[Adjusted % (W/Floors)]]*$K$70</f>
        <v>13017.429665514366</v>
      </c>
      <c r="L43" s="18">
        <f>Table1[[#This Row],[Adjusted % (W/Floors)]]*$L$70</f>
        <v>13017.429665514366</v>
      </c>
      <c r="M43" s="18">
        <f>Table1[[#This Row],[Adjusted % (W/Floors)]]*$M$70</f>
        <v>13017.42966551437</v>
      </c>
      <c r="N43" s="18">
        <f>Table1[[#This Row],[Adjusted % (W/Floors)]]*$N$70</f>
        <v>13017.42966551437</v>
      </c>
      <c r="O43" s="18">
        <f>Table1[[#This Row],[Adjusted % (W/Floors)]]*$O$70</f>
        <v>13017.42966551437</v>
      </c>
      <c r="P43" s="18">
        <f>SUM(Table1[[#This Row],[Payment 1]:[Payment 13]])</f>
        <v>388088.41778981831</v>
      </c>
    </row>
    <row r="44" spans="1:16" x14ac:dyDescent="0.3">
      <c r="A44" t="s">
        <v>68</v>
      </c>
      <c r="B44">
        <v>9.2520559954590974E-3</v>
      </c>
      <c r="C44" s="18">
        <f>Table1[[#This Row],[Adjusted % (W/Floors)]]*$C$70</f>
        <v>717154.49469852739</v>
      </c>
      <c r="D44" s="18">
        <f>Table1[[#This Row],[Adjusted % (W/Floors)]]*$D$70</f>
        <v>169535.51578836731</v>
      </c>
      <c r="E44" s="18">
        <f>Table1[[#This Row],[Adjusted % (W/Floors)]]*$E$70</f>
        <v>141075.72126974593</v>
      </c>
      <c r="F44" s="18">
        <f>Table1[[#This Row],[Adjusted % (W/Floors)]]*$F$70</f>
        <v>141075.72127271749</v>
      </c>
      <c r="G44" s="18">
        <f>Table1[[#This Row],[Adjusted % (W/Floors)]]*$G$70</f>
        <v>141075.72127271749</v>
      </c>
      <c r="H44" s="18">
        <f>Table1[[#This Row],[Adjusted % (W/Floors)]]*$H$70</f>
        <v>149682.95645637574</v>
      </c>
      <c r="I44" s="18">
        <f>Table1[[#This Row],[Adjusted % (W/Floors)]]*$I$70</f>
        <v>143705.74886392662</v>
      </c>
      <c r="J44" s="18">
        <f>Table1[[#This Row],[Adjusted % (W/Floors)]]*$J$70</f>
        <v>67329.063134309807</v>
      </c>
      <c r="K44" s="18">
        <f>Table1[[#This Row],[Adjusted % (W/Floors)]]*$K$70</f>
        <v>67329.063134309807</v>
      </c>
      <c r="L44" s="18">
        <f>Table1[[#This Row],[Adjusted % (W/Floors)]]*$L$70</f>
        <v>67329.063134309807</v>
      </c>
      <c r="M44" s="18">
        <f>Table1[[#This Row],[Adjusted % (W/Floors)]]*$M$70</f>
        <v>67329.063134309836</v>
      </c>
      <c r="N44" s="18">
        <f>Table1[[#This Row],[Adjusted % (W/Floors)]]*$N$70</f>
        <v>67329.063134309836</v>
      </c>
      <c r="O44" s="18">
        <f>Table1[[#This Row],[Adjusted % (W/Floors)]]*$O$70</f>
        <v>67329.063134309836</v>
      </c>
      <c r="P44" s="18">
        <f>SUM(Table1[[#This Row],[Payment 1]:[Payment 13]])</f>
        <v>2007280.2584282372</v>
      </c>
    </row>
    <row r="45" spans="1:16" x14ac:dyDescent="0.3">
      <c r="A45" t="s">
        <v>69</v>
      </c>
      <c r="B45">
        <v>1.7192327175845658E-3</v>
      </c>
      <c r="C45" s="18">
        <f>Table1[[#This Row],[Adjusted % (W/Floors)]]*$C$70</f>
        <v>133262.86302781446</v>
      </c>
      <c r="D45" s="18">
        <f>Table1[[#This Row],[Adjusted % (W/Floors)]]*$D$70</f>
        <v>31503.376728263378</v>
      </c>
      <c r="E45" s="18">
        <f>Table1[[#This Row],[Adjusted % (W/Floors)]]*$E$70</f>
        <v>26214.929501380826</v>
      </c>
      <c r="F45" s="18">
        <f>Table1[[#This Row],[Adjusted % (W/Floors)]]*$F$70</f>
        <v>26214.929501933002</v>
      </c>
      <c r="G45" s="18">
        <f>Table1[[#This Row],[Adjusted % (W/Floors)]]*$G$70</f>
        <v>26214.929501933002</v>
      </c>
      <c r="H45" s="18">
        <f>Table1[[#This Row],[Adjusted % (W/Floors)]]*$H$70</f>
        <v>27814.340523975352</v>
      </c>
      <c r="I45" s="18">
        <f>Table1[[#This Row],[Adjusted % (W/Floors)]]*$I$70</f>
        <v>26703.645684063344</v>
      </c>
      <c r="J45" s="18">
        <f>Table1[[#This Row],[Adjusted % (W/Floors)]]*$J$70</f>
        <v>12511.200563597367</v>
      </c>
      <c r="K45" s="18">
        <f>Table1[[#This Row],[Adjusted % (W/Floors)]]*$K$70</f>
        <v>12511.200563597367</v>
      </c>
      <c r="L45" s="18">
        <f>Table1[[#This Row],[Adjusted % (W/Floors)]]*$L$70</f>
        <v>12511.200563597367</v>
      </c>
      <c r="M45" s="18">
        <f>Table1[[#This Row],[Adjusted % (W/Floors)]]*$M$70</f>
        <v>12511.200563597371</v>
      </c>
      <c r="N45" s="18">
        <f>Table1[[#This Row],[Adjusted % (W/Floors)]]*$N$70</f>
        <v>12511.200563597371</v>
      </c>
      <c r="O45" s="18">
        <f>Table1[[#This Row],[Adjusted % (W/Floors)]]*$O$70</f>
        <v>12511.200563597371</v>
      </c>
      <c r="P45" s="18">
        <f>SUM(Table1[[#This Row],[Payment 1]:[Payment 13]])</f>
        <v>372996.21785094758</v>
      </c>
    </row>
    <row r="46" spans="1:16" x14ac:dyDescent="0.3">
      <c r="A46" t="s">
        <v>70</v>
      </c>
      <c r="B46">
        <v>8.2185274831374621E-3</v>
      </c>
      <c r="C46" s="18">
        <f>Table1[[#This Row],[Adjusted % (W/Floors)]]*$C$70</f>
        <v>637042.61271528783</v>
      </c>
      <c r="D46" s="18">
        <f>Table1[[#This Row],[Adjusted % (W/Floors)]]*$D$70</f>
        <v>150597.04530089619</v>
      </c>
      <c r="E46" s="18">
        <f>Table1[[#This Row],[Adjusted % (W/Floors)]]*$E$70</f>
        <v>125316.43701982532</v>
      </c>
      <c r="F46" s="18">
        <f>Table1[[#This Row],[Adjusted % (W/Floors)]]*$F$70</f>
        <v>125316.43702246492</v>
      </c>
      <c r="G46" s="18">
        <f>Table1[[#This Row],[Adjusted % (W/Floors)]]*$G$70</f>
        <v>125316.43702246492</v>
      </c>
      <c r="H46" s="18">
        <f>Table1[[#This Row],[Adjusted % (W/Floors)]]*$H$70</f>
        <v>132962.1753259773</v>
      </c>
      <c r="I46" s="18">
        <f>Table1[[#This Row],[Adjusted % (W/Floors)]]*$I$70</f>
        <v>127652.66953666184</v>
      </c>
      <c r="J46" s="18">
        <f>Table1[[#This Row],[Adjusted % (W/Floors)]]*$J$70</f>
        <v>59807.869305460779</v>
      </c>
      <c r="K46" s="18">
        <f>Table1[[#This Row],[Adjusted % (W/Floors)]]*$K$70</f>
        <v>59807.869305460779</v>
      </c>
      <c r="L46" s="18">
        <f>Table1[[#This Row],[Adjusted % (W/Floors)]]*$L$70</f>
        <v>59807.869305460779</v>
      </c>
      <c r="M46" s="18">
        <f>Table1[[#This Row],[Adjusted % (W/Floors)]]*$M$70</f>
        <v>59807.869305460794</v>
      </c>
      <c r="N46" s="18">
        <f>Table1[[#This Row],[Adjusted % (W/Floors)]]*$N$70</f>
        <v>59807.869305460794</v>
      </c>
      <c r="O46" s="18">
        <f>Table1[[#This Row],[Adjusted % (W/Floors)]]*$O$70</f>
        <v>59807.869305460794</v>
      </c>
      <c r="P46" s="18">
        <f>SUM(Table1[[#This Row],[Payment 1]:[Payment 13]])</f>
        <v>1783051.0297763427</v>
      </c>
    </row>
    <row r="47" spans="1:16" x14ac:dyDescent="0.3">
      <c r="A47" t="s">
        <v>71</v>
      </c>
      <c r="B47">
        <v>5.0155878215931968E-2</v>
      </c>
      <c r="C47" s="18">
        <f>Table1[[#This Row],[Adjusted % (W/Floors)]]*$C$70</f>
        <v>3887731.928531494</v>
      </c>
      <c r="D47" s="18">
        <f>Table1[[#This Row],[Adjusted % (W/Floors)]]*$D$70</f>
        <v>919060.87547783193</v>
      </c>
      <c r="E47" s="18">
        <f>Table1[[#This Row],[Adjusted % (W/Floors)]]*$E$70</f>
        <v>764778.8446917017</v>
      </c>
      <c r="F47" s="18">
        <f>Table1[[#This Row],[Adjusted % (W/Floors)]]*$F$70</f>
        <v>764778.84470781055</v>
      </c>
      <c r="G47" s="18">
        <f>Table1[[#This Row],[Adjusted % (W/Floors)]]*$G$70</f>
        <v>764778.84470781055</v>
      </c>
      <c r="H47" s="18">
        <f>Table1[[#This Row],[Adjusted % (W/Floors)]]*$H$70</f>
        <v>811439.11566372868</v>
      </c>
      <c r="I47" s="18">
        <f>Table1[[#This Row],[Adjusted % (W/Floors)]]*$I$70</f>
        <v>779036.36148397019</v>
      </c>
      <c r="J47" s="18">
        <f>Table1[[#This Row],[Adjusted % (W/Floors)]]*$J$70</f>
        <v>364994.36369760858</v>
      </c>
      <c r="K47" s="18">
        <f>Table1[[#This Row],[Adjusted % (W/Floors)]]*$K$70</f>
        <v>364994.36369760858</v>
      </c>
      <c r="L47" s="18">
        <f>Table1[[#This Row],[Adjusted % (W/Floors)]]*$L$70</f>
        <v>364994.36369760858</v>
      </c>
      <c r="M47" s="18">
        <f>Table1[[#This Row],[Adjusted % (W/Floors)]]*$M$70</f>
        <v>364994.36369760864</v>
      </c>
      <c r="N47" s="18">
        <f>Table1[[#This Row],[Adjusted % (W/Floors)]]*$N$70</f>
        <v>364994.36369760864</v>
      </c>
      <c r="O47" s="18">
        <f>Table1[[#This Row],[Adjusted % (W/Floors)]]*$O$70</f>
        <v>364994.36369760864</v>
      </c>
      <c r="P47" s="18">
        <f>SUM(Table1[[#This Row],[Payment 1]:[Payment 13]])</f>
        <v>10881570.99745</v>
      </c>
    </row>
    <row r="48" spans="1:16" x14ac:dyDescent="0.3">
      <c r="A48" t="s">
        <v>72</v>
      </c>
      <c r="B48">
        <v>1.4285891185863999E-3</v>
      </c>
      <c r="C48" s="18">
        <f>Table1[[#This Row],[Adjusted % (W/Floors)]]*$C$70</f>
        <v>110734.20956104</v>
      </c>
      <c r="D48" s="18">
        <f>Table1[[#This Row],[Adjusted % (W/Floors)]]*$D$70</f>
        <v>26177.596978235353</v>
      </c>
      <c r="E48" s="18">
        <f>Table1[[#This Row],[Adjusted % (W/Floors)]]*$E$70</f>
        <v>21783.184235115124</v>
      </c>
      <c r="F48" s="18">
        <f>Table1[[#This Row],[Adjusted % (W/Floors)]]*$F$70</f>
        <v>21783.184235573954</v>
      </c>
      <c r="G48" s="18">
        <f>Table1[[#This Row],[Adjusted % (W/Floors)]]*$G$70</f>
        <v>21783.184235573954</v>
      </c>
      <c r="H48" s="18">
        <f>Table1[[#This Row],[Adjusted % (W/Floors)]]*$H$70</f>
        <v>23112.20802558594</v>
      </c>
      <c r="I48" s="18">
        <f>Table1[[#This Row],[Adjusted % (W/Floors)]]*$I$70</f>
        <v>22189.280869687216</v>
      </c>
      <c r="J48" s="18">
        <f>Table1[[#This Row],[Adjusted % (W/Floors)]]*$J$70</f>
        <v>10396.128925884099</v>
      </c>
      <c r="K48" s="18">
        <f>Table1[[#This Row],[Adjusted % (W/Floors)]]*$K$70</f>
        <v>10396.128925884099</v>
      </c>
      <c r="L48" s="18">
        <f>Table1[[#This Row],[Adjusted % (W/Floors)]]*$L$70</f>
        <v>10396.128925884099</v>
      </c>
      <c r="M48" s="18">
        <f>Table1[[#This Row],[Adjusted % (W/Floors)]]*$M$70</f>
        <v>10396.128925884103</v>
      </c>
      <c r="N48" s="18">
        <f>Table1[[#This Row],[Adjusted % (W/Floors)]]*$N$70</f>
        <v>10396.128925884103</v>
      </c>
      <c r="O48" s="18">
        <f>Table1[[#This Row],[Adjusted % (W/Floors)]]*$O$70</f>
        <v>10396.128925884103</v>
      </c>
      <c r="P48" s="18">
        <f>SUM(Table1[[#This Row],[Payment 1]:[Payment 13]])</f>
        <v>309939.62169611605</v>
      </c>
    </row>
    <row r="49" spans="1:16" x14ac:dyDescent="0.3">
      <c r="A49" t="s">
        <v>73</v>
      </c>
      <c r="B49">
        <v>1.6755064618428732E-2</v>
      </c>
      <c r="C49" s="18">
        <f>Table1[[#This Row],[Adjusted % (W/Floors)]]*$C$70</f>
        <v>1298735.1034157015</v>
      </c>
      <c r="D49" s="18">
        <f>Table1[[#This Row],[Adjusted % (W/Floors)]]*$D$70</f>
        <v>307021.3283995355</v>
      </c>
      <c r="E49" s="18">
        <f>Table1[[#This Row],[Adjusted % (W/Floors)]]*$E$70</f>
        <v>255481.89798312422</v>
      </c>
      <c r="F49" s="18">
        <f>Table1[[#This Row],[Adjusted % (W/Floors)]]*$F$70</f>
        <v>255481.89798850555</v>
      </c>
      <c r="G49" s="18">
        <f>Table1[[#This Row],[Adjusted % (W/Floors)]]*$G$70</f>
        <v>255481.89798850555</v>
      </c>
      <c r="H49" s="18">
        <f>Table1[[#This Row],[Adjusted % (W/Floors)]]*$H$70</f>
        <v>271069.22060728213</v>
      </c>
      <c r="I49" s="18">
        <f>Table1[[#This Row],[Adjusted % (W/Floors)]]*$I$70</f>
        <v>260244.76175203954</v>
      </c>
      <c r="J49" s="18">
        <f>Table1[[#This Row],[Adjusted % (W/Floors)]]*$J$70</f>
        <v>121929.95849433907</v>
      </c>
      <c r="K49" s="18">
        <f>Table1[[#This Row],[Adjusted % (W/Floors)]]*$K$70</f>
        <v>121929.95849433907</v>
      </c>
      <c r="L49" s="18">
        <f>Table1[[#This Row],[Adjusted % (W/Floors)]]*$L$70</f>
        <v>121929.95849433907</v>
      </c>
      <c r="M49" s="18">
        <f>Table1[[#This Row],[Adjusted % (W/Floors)]]*$M$70</f>
        <v>121929.95849433909</v>
      </c>
      <c r="N49" s="18">
        <f>Table1[[#This Row],[Adjusted % (W/Floors)]]*$N$70</f>
        <v>121929.95849433909</v>
      </c>
      <c r="O49" s="18">
        <f>Table1[[#This Row],[Adjusted % (W/Floors)]]*$O$70</f>
        <v>121929.95849433909</v>
      </c>
      <c r="P49" s="18">
        <f>SUM(Table1[[#This Row],[Payment 1]:[Payment 13]])</f>
        <v>3635095.8591007292</v>
      </c>
    </row>
    <row r="50" spans="1:16" x14ac:dyDescent="0.3">
      <c r="A50" t="s">
        <v>74</v>
      </c>
      <c r="B50">
        <v>5.7440254131604015E-3</v>
      </c>
      <c r="C50" s="18">
        <f>Table1[[#This Row],[Adjusted % (W/Floors)]]*$C$70</f>
        <v>445236.56630832364</v>
      </c>
      <c r="D50" s="18">
        <f>Table1[[#This Row],[Adjusted % (W/Floors)]]*$D$70</f>
        <v>105254.04424698539</v>
      </c>
      <c r="E50" s="18">
        <f>Table1[[#This Row],[Adjusted % (W/Floors)]]*$E$70</f>
        <v>87585.130110655358</v>
      </c>
      <c r="F50" s="18">
        <f>Table1[[#This Row],[Adjusted % (W/Floors)]]*$F$70</f>
        <v>87585.130112500206</v>
      </c>
      <c r="G50" s="18">
        <f>Table1[[#This Row],[Adjusted % (W/Floors)]]*$G$70</f>
        <v>87585.130112500206</v>
      </c>
      <c r="H50" s="18">
        <f>Table1[[#This Row],[Adjusted % (W/Floors)]]*$H$70</f>
        <v>92928.826438619129</v>
      </c>
      <c r="I50" s="18">
        <f>Table1[[#This Row],[Adjusted % (W/Floors)]]*$I$70</f>
        <v>89217.950463850531</v>
      </c>
      <c r="J50" s="18">
        <f>Table1[[#This Row],[Adjusted % (W/Floors)]]*$J$70</f>
        <v>41800.422509069154</v>
      </c>
      <c r="K50" s="18">
        <f>Table1[[#This Row],[Adjusted % (W/Floors)]]*$K$70</f>
        <v>41800.422509069154</v>
      </c>
      <c r="L50" s="18">
        <f>Table1[[#This Row],[Adjusted % (W/Floors)]]*$L$70</f>
        <v>41800.422509069154</v>
      </c>
      <c r="M50" s="18">
        <f>Table1[[#This Row],[Adjusted % (W/Floors)]]*$M$70</f>
        <v>41800.422509069162</v>
      </c>
      <c r="N50" s="18">
        <f>Table1[[#This Row],[Adjusted % (W/Floors)]]*$N$70</f>
        <v>41800.422509069162</v>
      </c>
      <c r="O50" s="18">
        <f>Table1[[#This Row],[Adjusted % (W/Floors)]]*$O$70</f>
        <v>41800.422509069162</v>
      </c>
      <c r="P50" s="18">
        <f>SUM(Table1[[#This Row],[Payment 1]:[Payment 13]])</f>
        <v>1246195.312847849</v>
      </c>
    </row>
    <row r="51" spans="1:16" x14ac:dyDescent="0.3">
      <c r="A51" t="s">
        <v>75</v>
      </c>
      <c r="B51">
        <v>2.2956227120823833E-3</v>
      </c>
      <c r="C51" s="18">
        <f>Table1[[#This Row],[Adjusted % (W/Floors)]]*$C$70</f>
        <v>177940.57309098815</v>
      </c>
      <c r="D51" s="18">
        <f>Table1[[#This Row],[Adjusted % (W/Floors)]]*$D$70</f>
        <v>42065.19942587804</v>
      </c>
      <c r="E51" s="18">
        <f>Table1[[#This Row],[Adjusted % (W/Floors)]]*$E$70</f>
        <v>35003.747278354254</v>
      </c>
      <c r="F51" s="18">
        <f>Table1[[#This Row],[Adjusted % (W/Floors)]]*$F$70</f>
        <v>35003.747279091556</v>
      </c>
      <c r="G51" s="18">
        <f>Table1[[#This Row],[Adjusted % (W/Floors)]]*$G$70</f>
        <v>35003.747279091556</v>
      </c>
      <c r="H51" s="18">
        <f>Table1[[#This Row],[Adjusted % (W/Floors)]]*$H$70</f>
        <v>37139.37687164246</v>
      </c>
      <c r="I51" s="18">
        <f>Table1[[#This Row],[Adjusted % (W/Floors)]]*$I$70</f>
        <v>35656.310457994303</v>
      </c>
      <c r="J51" s="18">
        <f>Table1[[#This Row],[Adjusted % (W/Floors)]]*$J$70</f>
        <v>16705.705909065971</v>
      </c>
      <c r="K51" s="18">
        <f>Table1[[#This Row],[Adjusted % (W/Floors)]]*$K$70</f>
        <v>16705.705909065971</v>
      </c>
      <c r="L51" s="18">
        <f>Table1[[#This Row],[Adjusted % (W/Floors)]]*$L$70</f>
        <v>16705.705909065971</v>
      </c>
      <c r="M51" s="18">
        <f>Table1[[#This Row],[Adjusted % (W/Floors)]]*$M$70</f>
        <v>16705.705909065975</v>
      </c>
      <c r="N51" s="18">
        <f>Table1[[#This Row],[Adjusted % (W/Floors)]]*$N$70</f>
        <v>16705.705909065975</v>
      </c>
      <c r="O51" s="18">
        <f>Table1[[#This Row],[Adjusted % (W/Floors)]]*$O$70</f>
        <v>16705.705909065975</v>
      </c>
      <c r="P51" s="18">
        <f>SUM(Table1[[#This Row],[Payment 1]:[Payment 13]])</f>
        <v>498046.93713743606</v>
      </c>
    </row>
    <row r="52" spans="1:16" x14ac:dyDescent="0.3">
      <c r="A52" t="s">
        <v>76</v>
      </c>
      <c r="B52">
        <v>0.23001941115465127</v>
      </c>
      <c r="C52" s="18">
        <f>Table1[[#This Row],[Adjusted % (W/Floors)]]*$C$70</f>
        <v>17829491.591753092</v>
      </c>
      <c r="D52" s="18">
        <f>Table1[[#This Row],[Adjusted % (W/Floors)]]*$D$70</f>
        <v>4214896.6165552577</v>
      </c>
      <c r="E52" s="18">
        <f>Table1[[#This Row],[Adjusted % (W/Floors)]]*$E$70</f>
        <v>3507345.2160915569</v>
      </c>
      <c r="F52" s="18">
        <f>Table1[[#This Row],[Adjusted % (W/Floors)]]*$F$70</f>
        <v>3507345.2161654336</v>
      </c>
      <c r="G52" s="18">
        <f>Table1[[#This Row],[Adjusted % (W/Floors)]]*$G$70</f>
        <v>3507345.2161654336</v>
      </c>
      <c r="H52" s="18">
        <f>Table1[[#This Row],[Adjusted % (W/Floors)]]*$H$70</f>
        <v>3721333.4550591852</v>
      </c>
      <c r="I52" s="18">
        <f>Table1[[#This Row],[Adjusted % (W/Floors)]]*$I$70</f>
        <v>3572731.4825420449</v>
      </c>
      <c r="J52" s="18">
        <f>Table1[[#This Row],[Adjusted % (W/Floors)]]*$J$70</f>
        <v>1673897.2897861067</v>
      </c>
      <c r="K52" s="18">
        <f>Table1[[#This Row],[Adjusted % (W/Floors)]]*$K$70</f>
        <v>1673897.2897861067</v>
      </c>
      <c r="L52" s="18">
        <f>Table1[[#This Row],[Adjusted % (W/Floors)]]*$L$70</f>
        <v>1673897.2897861067</v>
      </c>
      <c r="M52" s="18">
        <f>Table1[[#This Row],[Adjusted % (W/Floors)]]*$M$70</f>
        <v>1673897.2897861071</v>
      </c>
      <c r="N52" s="18">
        <f>Table1[[#This Row],[Adjusted % (W/Floors)]]*$N$70</f>
        <v>1673897.2897861071</v>
      </c>
      <c r="O52" s="18">
        <f>Table1[[#This Row],[Adjusted % (W/Floors)]]*$O$70</f>
        <v>1673897.2897861071</v>
      </c>
      <c r="P52" s="18">
        <f>SUM(Table1[[#This Row],[Payment 1]:[Payment 13]])</f>
        <v>49903872.533048652</v>
      </c>
    </row>
    <row r="53" spans="1:16" x14ac:dyDescent="0.3">
      <c r="A53" t="s">
        <v>77</v>
      </c>
      <c r="B53">
        <v>2.8123862539486417E-3</v>
      </c>
      <c r="C53" s="18">
        <f>Table1[[#This Row],[Adjusted % (W/Floors)]]*$C$70</f>
        <v>217996.45871550313</v>
      </c>
      <c r="D53" s="18">
        <f>Table1[[#This Row],[Adjusted % (W/Floors)]]*$D$70</f>
        <v>51534.421580815113</v>
      </c>
      <c r="E53" s="18">
        <f>Table1[[#This Row],[Adjusted % (W/Floors)]]*$E$70</f>
        <v>42883.378511722447</v>
      </c>
      <c r="F53" s="18">
        <f>Table1[[#This Row],[Adjusted % (W/Floors)]]*$F$70</f>
        <v>42883.378512625721</v>
      </c>
      <c r="G53" s="18">
        <f>Table1[[#This Row],[Adjusted % (W/Floors)]]*$G$70</f>
        <v>42883.378512625721</v>
      </c>
      <c r="H53" s="18">
        <f>Table1[[#This Row],[Adjusted % (W/Floors)]]*$H$70</f>
        <v>45499.755880737663</v>
      </c>
      <c r="I53" s="18">
        <f>Table1[[#This Row],[Adjusted % (W/Floors)]]*$I$70</f>
        <v>43682.839026986258</v>
      </c>
      <c r="J53" s="18">
        <f>Table1[[#This Row],[Adjusted % (W/Floors)]]*$J$70</f>
        <v>20466.297625426028</v>
      </c>
      <c r="K53" s="18">
        <f>Table1[[#This Row],[Adjusted % (W/Floors)]]*$K$70</f>
        <v>20466.297625426028</v>
      </c>
      <c r="L53" s="18">
        <f>Table1[[#This Row],[Adjusted % (W/Floors)]]*$L$70</f>
        <v>20466.297625426028</v>
      </c>
      <c r="M53" s="18">
        <f>Table1[[#This Row],[Adjusted % (W/Floors)]]*$M$70</f>
        <v>20466.297625426032</v>
      </c>
      <c r="N53" s="18">
        <f>Table1[[#This Row],[Adjusted % (W/Floors)]]*$N$70</f>
        <v>20466.297625426032</v>
      </c>
      <c r="O53" s="18">
        <f>Table1[[#This Row],[Adjusted % (W/Floors)]]*$O$70</f>
        <v>20466.297625426032</v>
      </c>
      <c r="P53" s="18">
        <f>SUM(Table1[[#This Row],[Payment 1]:[Payment 13]])</f>
        <v>610161.39649357239</v>
      </c>
    </row>
    <row r="54" spans="1:16" x14ac:dyDescent="0.3">
      <c r="A54" t="s">
        <v>78</v>
      </c>
      <c r="B54">
        <v>1.4285891185863999E-3</v>
      </c>
      <c r="C54" s="18">
        <f>Table1[[#This Row],[Adjusted % (W/Floors)]]*$C$70</f>
        <v>110734.20956104</v>
      </c>
      <c r="D54" s="18">
        <f>Table1[[#This Row],[Adjusted % (W/Floors)]]*$D$70</f>
        <v>26177.596978235353</v>
      </c>
      <c r="E54" s="18">
        <f>Table1[[#This Row],[Adjusted % (W/Floors)]]*$E$70</f>
        <v>21783.184235115124</v>
      </c>
      <c r="F54" s="18">
        <f>Table1[[#This Row],[Adjusted % (W/Floors)]]*$F$70</f>
        <v>21783.184235573954</v>
      </c>
      <c r="G54" s="18">
        <f>Table1[[#This Row],[Adjusted % (W/Floors)]]*$G$70</f>
        <v>21783.184235573954</v>
      </c>
      <c r="H54" s="18">
        <f>Table1[[#This Row],[Adjusted % (W/Floors)]]*$H$70</f>
        <v>23112.20802558594</v>
      </c>
      <c r="I54" s="18">
        <f>Table1[[#This Row],[Adjusted % (W/Floors)]]*$I$70</f>
        <v>22189.280869687216</v>
      </c>
      <c r="J54" s="18">
        <f>Table1[[#This Row],[Adjusted % (W/Floors)]]*$J$70</f>
        <v>10396.128925884099</v>
      </c>
      <c r="K54" s="18">
        <f>Table1[[#This Row],[Adjusted % (W/Floors)]]*$K$70</f>
        <v>10396.128925884099</v>
      </c>
      <c r="L54" s="18">
        <f>Table1[[#This Row],[Adjusted % (W/Floors)]]*$L$70</f>
        <v>10396.128925884099</v>
      </c>
      <c r="M54" s="18">
        <f>Table1[[#This Row],[Adjusted % (W/Floors)]]*$M$70</f>
        <v>10396.128925884103</v>
      </c>
      <c r="N54" s="18">
        <f>Table1[[#This Row],[Adjusted % (W/Floors)]]*$N$70</f>
        <v>10396.128925884103</v>
      </c>
      <c r="O54" s="18">
        <f>Table1[[#This Row],[Adjusted % (W/Floors)]]*$O$70</f>
        <v>10396.128925884103</v>
      </c>
      <c r="P54" s="18">
        <f>SUM(Table1[[#This Row],[Payment 1]:[Payment 13]])</f>
        <v>309939.62169611605</v>
      </c>
    </row>
    <row r="55" spans="1:16" x14ac:dyDescent="0.3">
      <c r="A55" t="s">
        <v>79</v>
      </c>
      <c r="B55">
        <v>9.7986327636411363E-3</v>
      </c>
      <c r="C55" s="18">
        <f>Table1[[#This Row],[Adjusted % (W/Floors)]]*$C$70</f>
        <v>759521.29254237178</v>
      </c>
      <c r="D55" s="18">
        <f>Table1[[#This Row],[Adjusted % (W/Floors)]]*$D$70</f>
        <v>179551.03821464319</v>
      </c>
      <c r="E55" s="18">
        <f>Table1[[#This Row],[Adjusted % (W/Floors)]]*$E$70</f>
        <v>149409.94577491676</v>
      </c>
      <c r="F55" s="18">
        <f>Table1[[#This Row],[Adjusted % (W/Floors)]]*$F$70</f>
        <v>149409.94577806385</v>
      </c>
      <c r="G55" s="18">
        <f>Table1[[#This Row],[Adjusted % (W/Floors)]]*$G$70</f>
        <v>149409.94577806385</v>
      </c>
      <c r="H55" s="18">
        <f>Table1[[#This Row],[Adjusted % (W/Floors)]]*$H$70</f>
        <v>158525.66413475689</v>
      </c>
      <c r="I55" s="18">
        <f>Table1[[#This Row],[Adjusted % (W/Floors)]]*$I$70</f>
        <v>152195.3455353881</v>
      </c>
      <c r="J55" s="18">
        <f>Table1[[#This Row],[Adjusted % (W/Floors)]]*$J$70</f>
        <v>71306.611665224147</v>
      </c>
      <c r="K55" s="18">
        <f>Table1[[#This Row],[Adjusted % (W/Floors)]]*$K$70</f>
        <v>71306.611665224147</v>
      </c>
      <c r="L55" s="18">
        <f>Table1[[#This Row],[Adjusted % (W/Floors)]]*$L$70</f>
        <v>71306.611665224147</v>
      </c>
      <c r="M55" s="18">
        <f>Table1[[#This Row],[Adjusted % (W/Floors)]]*$M$70</f>
        <v>71306.611665224162</v>
      </c>
      <c r="N55" s="18">
        <f>Table1[[#This Row],[Adjusted % (W/Floors)]]*$N$70</f>
        <v>71306.611665224162</v>
      </c>
      <c r="O55" s="18">
        <f>Table1[[#This Row],[Adjusted % (W/Floors)]]*$O$70</f>
        <v>71306.611665224162</v>
      </c>
      <c r="P55" s="18">
        <f>SUM(Table1[[#This Row],[Payment 1]:[Payment 13]])</f>
        <v>2125862.8477495494</v>
      </c>
    </row>
    <row r="56" spans="1:16" x14ac:dyDescent="0.3">
      <c r="A56" t="s">
        <v>80</v>
      </c>
      <c r="B56">
        <v>1.4285891185863999E-3</v>
      </c>
      <c r="C56" s="18">
        <f>Table1[[#This Row],[Adjusted % (W/Floors)]]*$C$70</f>
        <v>110734.20956104</v>
      </c>
      <c r="D56" s="18">
        <f>Table1[[#This Row],[Adjusted % (W/Floors)]]*$D$70</f>
        <v>26177.596978235353</v>
      </c>
      <c r="E56" s="18">
        <f>Table1[[#This Row],[Adjusted % (W/Floors)]]*$E$70</f>
        <v>21783.184235115124</v>
      </c>
      <c r="F56" s="18">
        <f>Table1[[#This Row],[Adjusted % (W/Floors)]]*$F$70</f>
        <v>21783.184235573954</v>
      </c>
      <c r="G56" s="18">
        <f>Table1[[#This Row],[Adjusted % (W/Floors)]]*$G$70</f>
        <v>21783.184235573954</v>
      </c>
      <c r="H56" s="18">
        <f>Table1[[#This Row],[Adjusted % (W/Floors)]]*$H$70</f>
        <v>23112.20802558594</v>
      </c>
      <c r="I56" s="18">
        <f>Table1[[#This Row],[Adjusted % (W/Floors)]]*$I$70</f>
        <v>22189.280869687216</v>
      </c>
      <c r="J56" s="18">
        <f>Table1[[#This Row],[Adjusted % (W/Floors)]]*$J$70</f>
        <v>10396.128925884099</v>
      </c>
      <c r="K56" s="18">
        <f>Table1[[#This Row],[Adjusted % (W/Floors)]]*$K$70</f>
        <v>10396.128925884099</v>
      </c>
      <c r="L56" s="18">
        <f>Table1[[#This Row],[Adjusted % (W/Floors)]]*$L$70</f>
        <v>10396.128925884099</v>
      </c>
      <c r="M56" s="18">
        <f>Table1[[#This Row],[Adjusted % (W/Floors)]]*$M$70</f>
        <v>10396.128925884103</v>
      </c>
      <c r="N56" s="18">
        <f>Table1[[#This Row],[Adjusted % (W/Floors)]]*$N$70</f>
        <v>10396.128925884103</v>
      </c>
      <c r="O56" s="18">
        <f>Table1[[#This Row],[Adjusted % (W/Floors)]]*$O$70</f>
        <v>10396.128925884103</v>
      </c>
      <c r="P56" s="18">
        <f>SUM(Table1[[#This Row],[Payment 1]:[Payment 13]])</f>
        <v>309939.62169611605</v>
      </c>
    </row>
    <row r="57" spans="1:16" x14ac:dyDescent="0.3">
      <c r="A57" t="s">
        <v>81</v>
      </c>
      <c r="B57">
        <v>4.2235480138774059E-3</v>
      </c>
      <c r="C57" s="18">
        <f>Table1[[#This Row],[Adjusted % (W/Floors)]]*$C$70</f>
        <v>327379.821654108</v>
      </c>
      <c r="D57" s="18">
        <f>Table1[[#This Row],[Adjusted % (W/Floors)]]*$D$70</f>
        <v>77392.678053512966</v>
      </c>
      <c r="E57" s="18">
        <f>Table1[[#This Row],[Adjusted % (W/Floors)]]*$E$70</f>
        <v>64400.829682353404</v>
      </c>
      <c r="F57" s="18">
        <f>Table1[[#This Row],[Adjusted % (W/Floors)]]*$F$70</f>
        <v>64400.829683709904</v>
      </c>
      <c r="G57" s="18">
        <f>Table1[[#This Row],[Adjusted % (W/Floors)]]*$G$70</f>
        <v>64400.829683709904</v>
      </c>
      <c r="H57" s="18">
        <f>Table1[[#This Row],[Adjusted % (W/Floors)]]*$H$70</f>
        <v>68330.018080619469</v>
      </c>
      <c r="I57" s="18">
        <f>Table1[[#This Row],[Adjusted % (W/Floors)]]*$I$70</f>
        <v>65601.432859344161</v>
      </c>
      <c r="J57" s="18">
        <f>Table1[[#This Row],[Adjusted % (W/Floors)]]*$J$70</f>
        <v>30735.604174543263</v>
      </c>
      <c r="K57" s="18">
        <f>Table1[[#This Row],[Adjusted % (W/Floors)]]*$K$70</f>
        <v>30735.604174543263</v>
      </c>
      <c r="L57" s="18">
        <f>Table1[[#This Row],[Adjusted % (W/Floors)]]*$L$70</f>
        <v>30735.604174543263</v>
      </c>
      <c r="M57" s="18">
        <f>Table1[[#This Row],[Adjusted % (W/Floors)]]*$M$70</f>
        <v>30735.604174543274</v>
      </c>
      <c r="N57" s="18">
        <f>Table1[[#This Row],[Adjusted % (W/Floors)]]*$N$70</f>
        <v>30735.604174543274</v>
      </c>
      <c r="O57" s="18">
        <f>Table1[[#This Row],[Adjusted % (W/Floors)]]*$O$70</f>
        <v>30735.604174543274</v>
      </c>
      <c r="P57" s="18">
        <f>SUM(Table1[[#This Row],[Payment 1]:[Payment 13]])</f>
        <v>916320.06474461756</v>
      </c>
    </row>
    <row r="58" spans="1:16" x14ac:dyDescent="0.3">
      <c r="A58" t="s">
        <v>82</v>
      </c>
      <c r="B58">
        <v>1.4285891185863999E-3</v>
      </c>
      <c r="C58" s="18">
        <f>Table1[[#This Row],[Adjusted % (W/Floors)]]*$C$70</f>
        <v>110734.20956104</v>
      </c>
      <c r="D58" s="18">
        <f>Table1[[#This Row],[Adjusted % (W/Floors)]]*$D$70</f>
        <v>26177.596978235353</v>
      </c>
      <c r="E58" s="18">
        <f>Table1[[#This Row],[Adjusted % (W/Floors)]]*$E$70</f>
        <v>21783.184235115124</v>
      </c>
      <c r="F58" s="18">
        <f>Table1[[#This Row],[Adjusted % (W/Floors)]]*$F$70</f>
        <v>21783.184235573954</v>
      </c>
      <c r="G58" s="18">
        <f>Table1[[#This Row],[Adjusted % (W/Floors)]]*$G$70</f>
        <v>21783.184235573954</v>
      </c>
      <c r="H58" s="18">
        <f>Table1[[#This Row],[Adjusted % (W/Floors)]]*$H$70</f>
        <v>23112.20802558594</v>
      </c>
      <c r="I58" s="18">
        <f>Table1[[#This Row],[Adjusted % (W/Floors)]]*$I$70</f>
        <v>22189.280869687216</v>
      </c>
      <c r="J58" s="18">
        <f>Table1[[#This Row],[Adjusted % (W/Floors)]]*$J$70</f>
        <v>10396.128925884099</v>
      </c>
      <c r="K58" s="18">
        <f>Table1[[#This Row],[Adjusted % (W/Floors)]]*$K$70</f>
        <v>10396.128925884099</v>
      </c>
      <c r="L58" s="18">
        <f>Table1[[#This Row],[Adjusted % (W/Floors)]]*$L$70</f>
        <v>10396.128925884099</v>
      </c>
      <c r="M58" s="18">
        <f>Table1[[#This Row],[Adjusted % (W/Floors)]]*$M$70</f>
        <v>10396.128925884103</v>
      </c>
      <c r="N58" s="18">
        <f>Table1[[#This Row],[Adjusted % (W/Floors)]]*$N$70</f>
        <v>10396.128925884103</v>
      </c>
      <c r="O58" s="18">
        <f>Table1[[#This Row],[Adjusted % (W/Floors)]]*$O$70</f>
        <v>10396.128925884103</v>
      </c>
      <c r="P58" s="18">
        <f>SUM(Table1[[#This Row],[Payment 1]:[Payment 13]])</f>
        <v>309939.62169611605</v>
      </c>
    </row>
    <row r="59" spans="1:16" x14ac:dyDescent="0.3">
      <c r="A59" t="s">
        <v>83</v>
      </c>
      <c r="B59">
        <v>1.6496689990441195E-3</v>
      </c>
      <c r="C59" s="18">
        <f>Table1[[#This Row],[Adjusted % (W/Floors)]]*$C$70</f>
        <v>127870.77142744917</v>
      </c>
      <c r="D59" s="18">
        <f>Table1[[#This Row],[Adjusted % (W/Floors)]]*$D$70</f>
        <v>30228.684821005183</v>
      </c>
      <c r="E59" s="18">
        <f>Table1[[#This Row],[Adjusted % (W/Floors)]]*$E$70</f>
        <v>25154.219128236131</v>
      </c>
      <c r="F59" s="18">
        <f>Table1[[#This Row],[Adjusted % (W/Floors)]]*$F$70</f>
        <v>25154.219128765963</v>
      </c>
      <c r="G59" s="18">
        <f>Table1[[#This Row],[Adjusted % (W/Floors)]]*$G$70</f>
        <v>25154.219128765963</v>
      </c>
      <c r="H59" s="18">
        <f>Table1[[#This Row],[Adjusted % (W/Floors)]]*$H$70</f>
        <v>26688.914666377466</v>
      </c>
      <c r="I59" s="18">
        <f>Table1[[#This Row],[Adjusted % (W/Floors)]]*$I$70</f>
        <v>25623.160841394791</v>
      </c>
      <c r="J59" s="18">
        <f>Table1[[#This Row],[Adjusted % (W/Floors)]]*$J$70</f>
        <v>12004.971461680367</v>
      </c>
      <c r="K59" s="18">
        <f>Table1[[#This Row],[Adjusted % (W/Floors)]]*$K$70</f>
        <v>12004.971461680367</v>
      </c>
      <c r="L59" s="18">
        <f>Table1[[#This Row],[Adjusted % (W/Floors)]]*$L$70</f>
        <v>12004.971461680367</v>
      </c>
      <c r="M59" s="18">
        <f>Table1[[#This Row],[Adjusted % (W/Floors)]]*$M$70</f>
        <v>12004.971461680369</v>
      </c>
      <c r="N59" s="18">
        <f>Table1[[#This Row],[Adjusted % (W/Floors)]]*$N$70</f>
        <v>12004.971461680369</v>
      </c>
      <c r="O59" s="18">
        <f>Table1[[#This Row],[Adjusted % (W/Floors)]]*$O$70</f>
        <v>12004.971461680369</v>
      </c>
      <c r="P59" s="18">
        <f>SUM(Table1[[#This Row],[Payment 1]:[Payment 13]])</f>
        <v>357904.01791207684</v>
      </c>
    </row>
    <row r="60" spans="1:16" x14ac:dyDescent="0.3">
      <c r="A60" t="s">
        <v>84</v>
      </c>
      <c r="B60">
        <v>1.4807269070583292E-3</v>
      </c>
      <c r="C60" s="18">
        <f>Table1[[#This Row],[Adjusted % (W/Floors)]]*$C$70</f>
        <v>114775.56527317972</v>
      </c>
      <c r="D60" s="18">
        <f>Table1[[#This Row],[Adjusted % (W/Floors)]]*$D$70</f>
        <v>27132.974557553032</v>
      </c>
      <c r="E60" s="18">
        <f>Table1[[#This Row],[Adjusted % (W/Floors)]]*$E$70</f>
        <v>22578.183326959886</v>
      </c>
      <c r="F60" s="18">
        <f>Table1[[#This Row],[Adjusted % (W/Floors)]]*$F$70</f>
        <v>22578.183327435461</v>
      </c>
      <c r="G60" s="18">
        <f>Table1[[#This Row],[Adjusted % (W/Floors)]]*$G$70</f>
        <v>22578.183327435461</v>
      </c>
      <c r="H60" s="18">
        <f>Table1[[#This Row],[Adjusted % (W/Floors)]]*$H$70</f>
        <v>23955.711169687725</v>
      </c>
      <c r="I60" s="18">
        <f>Table1[[#This Row],[Adjusted % (W/Floors)]]*$I$70</f>
        <v>22999.100864307322</v>
      </c>
      <c r="J60" s="18">
        <f>Table1[[#This Row],[Adjusted % (W/Floors)]]*$J$70</f>
        <v>10775.546047163165</v>
      </c>
      <c r="K60" s="18">
        <f>Table1[[#This Row],[Adjusted % (W/Floors)]]*$K$70</f>
        <v>10775.546047163165</v>
      </c>
      <c r="L60" s="18">
        <f>Table1[[#This Row],[Adjusted % (W/Floors)]]*$L$70</f>
        <v>10775.546047163165</v>
      </c>
      <c r="M60" s="18">
        <f>Table1[[#This Row],[Adjusted % (W/Floors)]]*$M$70</f>
        <v>10775.546047163169</v>
      </c>
      <c r="N60" s="18">
        <f>Table1[[#This Row],[Adjusted % (W/Floors)]]*$N$70</f>
        <v>10775.546047163169</v>
      </c>
      <c r="O60" s="18">
        <f>Table1[[#This Row],[Adjusted % (W/Floors)]]*$O$70</f>
        <v>10775.546047163169</v>
      </c>
      <c r="P60" s="18">
        <f>SUM(Table1[[#This Row],[Payment 1]:[Payment 13]])</f>
        <v>321251.17812953761</v>
      </c>
    </row>
    <row r="61" spans="1:16" x14ac:dyDescent="0.3">
      <c r="A61" t="s">
        <v>85</v>
      </c>
      <c r="B61">
        <v>1.4285891185863999E-3</v>
      </c>
      <c r="C61" s="18">
        <f>Table1[[#This Row],[Adjusted % (W/Floors)]]*$C$70</f>
        <v>110734.20956104</v>
      </c>
      <c r="D61" s="18">
        <f>Table1[[#This Row],[Adjusted % (W/Floors)]]*$D$70</f>
        <v>26177.596978235353</v>
      </c>
      <c r="E61" s="18">
        <f>Table1[[#This Row],[Adjusted % (W/Floors)]]*$E$70</f>
        <v>21783.184235115124</v>
      </c>
      <c r="F61" s="18">
        <f>Table1[[#This Row],[Adjusted % (W/Floors)]]*$F$70</f>
        <v>21783.184235573954</v>
      </c>
      <c r="G61" s="18">
        <f>Table1[[#This Row],[Adjusted % (W/Floors)]]*$G$70</f>
        <v>21783.184235573954</v>
      </c>
      <c r="H61" s="18">
        <f>Table1[[#This Row],[Adjusted % (W/Floors)]]*$H$70</f>
        <v>23112.20802558594</v>
      </c>
      <c r="I61" s="18">
        <f>Table1[[#This Row],[Adjusted % (W/Floors)]]*$I$70</f>
        <v>22189.280869687216</v>
      </c>
      <c r="J61" s="18">
        <f>Table1[[#This Row],[Adjusted % (W/Floors)]]*$J$70</f>
        <v>10396.128925884099</v>
      </c>
      <c r="K61" s="18">
        <f>Table1[[#This Row],[Adjusted % (W/Floors)]]*$K$70</f>
        <v>10396.128925884099</v>
      </c>
      <c r="L61" s="18">
        <f>Table1[[#This Row],[Adjusted % (W/Floors)]]*$L$70</f>
        <v>10396.128925884099</v>
      </c>
      <c r="M61" s="18">
        <f>Table1[[#This Row],[Adjusted % (W/Floors)]]*$M$70</f>
        <v>10396.128925884103</v>
      </c>
      <c r="N61" s="18">
        <f>Table1[[#This Row],[Adjusted % (W/Floors)]]*$N$70</f>
        <v>10396.128925884103</v>
      </c>
      <c r="O61" s="18">
        <f>Table1[[#This Row],[Adjusted % (W/Floors)]]*$O$70</f>
        <v>10396.128925884103</v>
      </c>
      <c r="P61" s="18">
        <f>SUM(Table1[[#This Row],[Payment 1]:[Payment 13]])</f>
        <v>309939.62169611605</v>
      </c>
    </row>
    <row r="62" spans="1:16" x14ac:dyDescent="0.3">
      <c r="A62" t="s">
        <v>86</v>
      </c>
      <c r="B62">
        <v>3.3390870617237872E-3</v>
      </c>
      <c r="C62" s="18">
        <f>Table1[[#This Row],[Adjusted % (W/Floors)]]*$C$70</f>
        <v>258822.61150172475</v>
      </c>
      <c r="D62" s="18">
        <f>Table1[[#This Row],[Adjusted % (W/Floors)]]*$D$70</f>
        <v>61185.735100332793</v>
      </c>
      <c r="E62" s="18">
        <f>Table1[[#This Row],[Adjusted % (W/Floors)]]*$E$70</f>
        <v>50914.533574630106</v>
      </c>
      <c r="F62" s="18">
        <f>Table1[[#This Row],[Adjusted % (W/Floors)]]*$F$70</f>
        <v>50914.533575702539</v>
      </c>
      <c r="G62" s="18">
        <f>Table1[[#This Row],[Adjusted % (W/Floors)]]*$G$70</f>
        <v>50914.533575702539</v>
      </c>
      <c r="H62" s="18">
        <f>Table1[[#This Row],[Adjusted % (W/Floors)]]*$H$70</f>
        <v>54020.903408858838</v>
      </c>
      <c r="I62" s="18">
        <f>Table1[[#This Row],[Adjusted % (W/Floors)]]*$I$70</f>
        <v>51863.716233707761</v>
      </c>
      <c r="J62" s="18">
        <f>Table1[[#This Row],[Adjusted % (W/Floors)]]*$J$70</f>
        <v>24299.204814594534</v>
      </c>
      <c r="K62" s="18">
        <f>Table1[[#This Row],[Adjusted % (W/Floors)]]*$K$70</f>
        <v>24299.204814594534</v>
      </c>
      <c r="L62" s="18">
        <f>Table1[[#This Row],[Adjusted % (W/Floors)]]*$L$70</f>
        <v>24299.204814594534</v>
      </c>
      <c r="M62" s="18">
        <f>Table1[[#This Row],[Adjusted % (W/Floors)]]*$M$70</f>
        <v>24299.204814594541</v>
      </c>
      <c r="N62" s="18">
        <f>Table1[[#This Row],[Adjusted % (W/Floors)]]*$N$70</f>
        <v>24299.204814594541</v>
      </c>
      <c r="O62" s="18">
        <f>Table1[[#This Row],[Adjusted % (W/Floors)]]*$O$70</f>
        <v>24299.204814594541</v>
      </c>
      <c r="P62" s="18">
        <f>SUM(Table1[[#This Row],[Payment 1]:[Payment 13]])</f>
        <v>724431.79585822683</v>
      </c>
    </row>
    <row r="63" spans="1:16" x14ac:dyDescent="0.3">
      <c r="A63" t="s">
        <v>87</v>
      </c>
      <c r="B63">
        <v>1.4285891185863999E-3</v>
      </c>
      <c r="C63" s="18">
        <f>Table1[[#This Row],[Adjusted % (W/Floors)]]*$C$70</f>
        <v>110734.20956104</v>
      </c>
      <c r="D63" s="18">
        <f>Table1[[#This Row],[Adjusted % (W/Floors)]]*$D$70</f>
        <v>26177.596978235353</v>
      </c>
      <c r="E63" s="18">
        <f>Table1[[#This Row],[Adjusted % (W/Floors)]]*$E$70</f>
        <v>21783.184235115124</v>
      </c>
      <c r="F63" s="18">
        <f>Table1[[#This Row],[Adjusted % (W/Floors)]]*$F$70</f>
        <v>21783.184235573954</v>
      </c>
      <c r="G63" s="18">
        <f>Table1[[#This Row],[Adjusted % (W/Floors)]]*$G$70</f>
        <v>21783.184235573954</v>
      </c>
      <c r="H63" s="18">
        <f>Table1[[#This Row],[Adjusted % (W/Floors)]]*$H$70</f>
        <v>23112.20802558594</v>
      </c>
      <c r="I63" s="18">
        <f>Table1[[#This Row],[Adjusted % (W/Floors)]]*$I$70</f>
        <v>22189.280869687216</v>
      </c>
      <c r="J63" s="18">
        <f>Table1[[#This Row],[Adjusted % (W/Floors)]]*$J$70</f>
        <v>10396.128925884099</v>
      </c>
      <c r="K63" s="18">
        <f>Table1[[#This Row],[Adjusted % (W/Floors)]]*$K$70</f>
        <v>10396.128925884099</v>
      </c>
      <c r="L63" s="18">
        <f>Table1[[#This Row],[Adjusted % (W/Floors)]]*$L$70</f>
        <v>10396.128925884099</v>
      </c>
      <c r="M63" s="18">
        <f>Table1[[#This Row],[Adjusted % (W/Floors)]]*$M$70</f>
        <v>10396.128925884103</v>
      </c>
      <c r="N63" s="18">
        <f>Table1[[#This Row],[Adjusted % (W/Floors)]]*$N$70</f>
        <v>10396.128925884103</v>
      </c>
      <c r="O63" s="18">
        <f>Table1[[#This Row],[Adjusted % (W/Floors)]]*$O$70</f>
        <v>10396.128925884103</v>
      </c>
      <c r="P63" s="18">
        <f>SUM(Table1[[#This Row],[Payment 1]:[Payment 13]])</f>
        <v>309939.62169611605</v>
      </c>
    </row>
    <row r="64" spans="1:16" x14ac:dyDescent="0.3">
      <c r="A64" t="s">
        <v>88</v>
      </c>
      <c r="B64">
        <v>1.6367492676323599E-2</v>
      </c>
      <c r="C64" s="18">
        <f>Table1[[#This Row],[Adjusted % (W/Floors)]]*$C$70</f>
        <v>1268693.2445644201</v>
      </c>
      <c r="D64" s="18">
        <f>Table1[[#This Row],[Adjusted % (W/Floors)]]*$D$70</f>
        <v>299919.4248721312</v>
      </c>
      <c r="E64" s="18">
        <f>Table1[[#This Row],[Adjusted % (W/Floors)]]*$E$70</f>
        <v>249572.18544969021</v>
      </c>
      <c r="F64" s="18">
        <f>Table1[[#This Row],[Adjusted % (W/Floors)]]*$F$70</f>
        <v>249572.18545494706</v>
      </c>
      <c r="G64" s="18">
        <f>Table1[[#This Row],[Adjusted % (W/Floors)]]*$G$70</f>
        <v>249572.18545494706</v>
      </c>
      <c r="H64" s="18">
        <f>Table1[[#This Row],[Adjusted % (W/Floors)]]*$H$70</f>
        <v>264798.9479065648</v>
      </c>
      <c r="I64" s="18">
        <f>Table1[[#This Row],[Adjusted % (W/Floors)]]*$I$70</f>
        <v>254224.87641993604</v>
      </c>
      <c r="J64" s="18">
        <f>Table1[[#This Row],[Adjusted % (W/Floors)]]*$J$70</f>
        <v>119109.51990513349</v>
      </c>
      <c r="K64" s="18">
        <f>Table1[[#This Row],[Adjusted % (W/Floors)]]*$K$70</f>
        <v>119109.51990513349</v>
      </c>
      <c r="L64" s="18">
        <f>Table1[[#This Row],[Adjusted % (W/Floors)]]*$L$70</f>
        <v>119109.51990513349</v>
      </c>
      <c r="M64" s="18">
        <f>Table1[[#This Row],[Adjusted % (W/Floors)]]*$M$70</f>
        <v>119109.51990513352</v>
      </c>
      <c r="N64" s="18">
        <f>Table1[[#This Row],[Adjusted % (W/Floors)]]*$N$70</f>
        <v>119109.51990513352</v>
      </c>
      <c r="O64" s="18">
        <f>Table1[[#This Row],[Adjusted % (W/Floors)]]*$O$70</f>
        <v>119109.51990513352</v>
      </c>
      <c r="P64" s="18">
        <f>SUM(Table1[[#This Row],[Payment 1]:[Payment 13]])</f>
        <v>3551010.1695534377</v>
      </c>
    </row>
    <row r="65" spans="1:16" x14ac:dyDescent="0.3">
      <c r="A65" t="s">
        <v>89</v>
      </c>
      <c r="B65">
        <v>3.13039447751333E-3</v>
      </c>
      <c r="C65" s="18">
        <f>Table1[[#This Row],[Adjusted % (W/Floors)]]*$C$70</f>
        <v>242646.22596641933</v>
      </c>
      <c r="D65" s="18">
        <f>Table1[[#This Row],[Adjusted % (W/Floors)]]*$D$70</f>
        <v>57361.633200961238</v>
      </c>
      <c r="E65" s="18">
        <f>Table1[[#This Row],[Adjusted % (W/Floors)]]*$E$70</f>
        <v>47732.380672011779</v>
      </c>
      <c r="F65" s="18">
        <f>Table1[[#This Row],[Adjusted % (W/Floors)]]*$F$70</f>
        <v>47732.380673017185</v>
      </c>
      <c r="G65" s="18">
        <f>Table1[[#This Row],[Adjusted % (W/Floors)]]*$G$70</f>
        <v>47732.380673017185</v>
      </c>
      <c r="H65" s="18">
        <f>Table1[[#This Row],[Adjusted % (W/Floors)]]*$H$70</f>
        <v>50644.602723857162</v>
      </c>
      <c r="I65" s="18">
        <f>Table1[[#This Row],[Adjusted % (W/Floors)]]*$I$70</f>
        <v>48622.239516421243</v>
      </c>
      <c r="J65" s="18">
        <f>Table1[[#This Row],[Adjusted % (W/Floors)]]*$J$70</f>
        <v>22780.507112714604</v>
      </c>
      <c r="K65" s="18">
        <f>Table1[[#This Row],[Adjusted % (W/Floors)]]*$K$70</f>
        <v>22780.507112714604</v>
      </c>
      <c r="L65" s="18">
        <f>Table1[[#This Row],[Adjusted % (W/Floors)]]*$L$70</f>
        <v>22780.507112714604</v>
      </c>
      <c r="M65" s="18">
        <f>Table1[[#This Row],[Adjusted % (W/Floors)]]*$M$70</f>
        <v>22780.507112714611</v>
      </c>
      <c r="N65" s="18">
        <f>Table1[[#This Row],[Adjusted % (W/Floors)]]*$N$70</f>
        <v>22780.507112714611</v>
      </c>
      <c r="O65" s="18">
        <f>Table1[[#This Row],[Adjusted % (W/Floors)]]*$O$70</f>
        <v>22780.507112714611</v>
      </c>
      <c r="P65" s="18">
        <f>SUM(Table1[[#This Row],[Payment 1]:[Payment 13]])</f>
        <v>679154.88610199257</v>
      </c>
    </row>
    <row r="66" spans="1:16" x14ac:dyDescent="0.3">
      <c r="A66" t="s">
        <v>90</v>
      </c>
      <c r="B66">
        <v>3.2069154250612922E-2</v>
      </c>
      <c r="C66" s="18">
        <f>Table1[[#This Row],[Adjusted % (W/Floors)]]*$C$70</f>
        <v>2485775.931673469</v>
      </c>
      <c r="D66" s="18">
        <f>Table1[[#This Row],[Adjusted % (W/Floors)]]*$D$70</f>
        <v>587638.10005503439</v>
      </c>
      <c r="E66" s="18">
        <f>Table1[[#This Row],[Adjusted % (W/Floors)]]*$E$70</f>
        <v>488991.75152381492</v>
      </c>
      <c r="F66" s="18">
        <f>Table1[[#This Row],[Adjusted % (W/Floors)]]*$F$70</f>
        <v>488991.75153411477</v>
      </c>
      <c r="G66" s="18">
        <f>Table1[[#This Row],[Adjusted % (W/Floors)]]*$G$70</f>
        <v>488991.75153411477</v>
      </c>
      <c r="H66" s="18">
        <f>Table1[[#This Row],[Adjusted % (W/Floors)]]*$H$70</f>
        <v>518825.85034539655</v>
      </c>
      <c r="I66" s="18">
        <f>Table1[[#This Row],[Adjusted % (W/Floors)]]*$I$70</f>
        <v>498107.86156925175</v>
      </c>
      <c r="J66" s="18">
        <f>Table1[[#This Row],[Adjusted % (W/Floors)]]*$J$70</f>
        <v>233373.65362500661</v>
      </c>
      <c r="K66" s="18">
        <f>Table1[[#This Row],[Adjusted % (W/Floors)]]*$K$70</f>
        <v>233373.65362500661</v>
      </c>
      <c r="L66" s="18">
        <f>Table1[[#This Row],[Adjusted % (W/Floors)]]*$L$70</f>
        <v>233373.65362500661</v>
      </c>
      <c r="M66" s="18">
        <f>Table1[[#This Row],[Adjusted % (W/Floors)]]*$M$70</f>
        <v>233373.6536250067</v>
      </c>
      <c r="N66" s="18">
        <f>Table1[[#This Row],[Adjusted % (W/Floors)]]*$N$70</f>
        <v>233373.6536250067</v>
      </c>
      <c r="O66" s="18">
        <f>Table1[[#This Row],[Adjusted % (W/Floors)]]*$O$70</f>
        <v>233373.6536250067</v>
      </c>
      <c r="P66" s="18">
        <f>SUM(Table1[[#This Row],[Payment 1]:[Payment 13]])</f>
        <v>6957564.9199852366</v>
      </c>
    </row>
    <row r="67" spans="1:16" x14ac:dyDescent="0.3">
      <c r="A67" t="s">
        <v>91</v>
      </c>
      <c r="B67">
        <v>2.0273036752403669E-3</v>
      </c>
      <c r="C67" s="18">
        <f>Table1[[#This Row],[Adjusted % (W/Floors)]]*$C$70</f>
        <v>157142.36311702404</v>
      </c>
      <c r="D67" s="18">
        <f>Table1[[#This Row],[Adjusted % (W/Floors)]]*$D$70</f>
        <v>37148.496983828896</v>
      </c>
      <c r="E67" s="18">
        <f>Table1[[#This Row],[Adjusted % (W/Floors)]]*$E$70</f>
        <v>30912.407832130695</v>
      </c>
      <c r="F67" s="18">
        <f>Table1[[#This Row],[Adjusted % (W/Floors)]]*$F$70</f>
        <v>30912.407832781817</v>
      </c>
      <c r="G67" s="18">
        <f>Table1[[#This Row],[Adjusted % (W/Floors)]]*$G$70</f>
        <v>30912.407832781817</v>
      </c>
      <c r="H67" s="18">
        <f>Table1[[#This Row],[Adjusted % (W/Floors)]]*$H$70</f>
        <v>32798.418848068875</v>
      </c>
      <c r="I67" s="18">
        <f>Table1[[#This Row],[Adjusted % (W/Floors)]]*$I$70</f>
        <v>31488.697535768777</v>
      </c>
      <c r="J67" s="18">
        <f>Table1[[#This Row],[Adjusted % (W/Floors)]]*$J$70</f>
        <v>14753.094578077495</v>
      </c>
      <c r="K67" s="18">
        <f>Table1[[#This Row],[Adjusted % (W/Floors)]]*$K$70</f>
        <v>14753.094578077495</v>
      </c>
      <c r="L67" s="18">
        <f>Table1[[#This Row],[Adjusted % (W/Floors)]]*$L$70</f>
        <v>14753.094578077495</v>
      </c>
      <c r="M67" s="18">
        <f>Table1[[#This Row],[Adjusted % (W/Floors)]]*$M$70</f>
        <v>14753.094578077498</v>
      </c>
      <c r="N67" s="18">
        <f>Table1[[#This Row],[Adjusted % (W/Floors)]]*$N$70</f>
        <v>14753.094578077498</v>
      </c>
      <c r="O67" s="18">
        <f>Table1[[#This Row],[Adjusted % (W/Floors)]]*$O$70</f>
        <v>14753.094578077498</v>
      </c>
      <c r="P67" s="18">
        <f>SUM(Table1[[#This Row],[Payment 1]:[Payment 13]])</f>
        <v>439833.76745084987</v>
      </c>
    </row>
    <row r="68" spans="1:16" x14ac:dyDescent="0.3">
      <c r="A68" t="s">
        <v>92</v>
      </c>
      <c r="B68">
        <v>2.5549983524653132E-2</v>
      </c>
      <c r="C68" s="18">
        <f>Table1[[#This Row],[Adjusted % (W/Floors)]]*$C$70</f>
        <v>1980455.5369283727</v>
      </c>
      <c r="D68" s="18">
        <f>Table1[[#This Row],[Adjusted % (W/Floors)]]*$D$70</f>
        <v>468180.22257564333</v>
      </c>
      <c r="E68" s="18">
        <f>Table1[[#This Row],[Adjusted % (W/Floors)]]*$E$70</f>
        <v>389587.17456310726</v>
      </c>
      <c r="F68" s="18">
        <f>Table1[[#This Row],[Adjusted % (W/Floors)]]*$F$70</f>
        <v>389587.17457131326</v>
      </c>
      <c r="G68" s="18">
        <f>Table1[[#This Row],[Adjusted % (W/Floors)]]*$G$70</f>
        <v>389587.17457131326</v>
      </c>
      <c r="H68" s="18">
        <f>Table1[[#This Row],[Adjusted % (W/Floors)]]*$H$70</f>
        <v>413356.45539313462</v>
      </c>
      <c r="I68" s="18">
        <f>Table1[[#This Row],[Adjusted % (W/Floors)]]*$I$70</f>
        <v>396850.11825191323</v>
      </c>
      <c r="J68" s="18">
        <f>Table1[[#This Row],[Adjusted % (W/Floors)]]*$J$70</f>
        <v>185932.34354139739</v>
      </c>
      <c r="K68" s="18">
        <f>Table1[[#This Row],[Adjusted % (W/Floors)]]*$K$70</f>
        <v>185932.34354139739</v>
      </c>
      <c r="L68" s="18">
        <f>Table1[[#This Row],[Adjusted % (W/Floors)]]*$L$70</f>
        <v>185932.34354139739</v>
      </c>
      <c r="M68" s="18">
        <f>Table1[[#This Row],[Adjusted % (W/Floors)]]*$M$70</f>
        <v>185932.34354139742</v>
      </c>
      <c r="N68" s="18">
        <f>Table1[[#This Row],[Adjusted % (W/Floors)]]*$N$70</f>
        <v>185932.34354139742</v>
      </c>
      <c r="O68" s="18">
        <f>Table1[[#This Row],[Adjusted % (W/Floors)]]*$O$70</f>
        <v>185932.34354139742</v>
      </c>
      <c r="P68" s="18">
        <f>SUM(Table1[[#This Row],[Payment 1]:[Payment 13]])</f>
        <v>5543197.9181031846</v>
      </c>
    </row>
    <row r="70" spans="1:16" s="16" customFormat="1" x14ac:dyDescent="0.3">
      <c r="A70" s="16" t="s">
        <v>25</v>
      </c>
      <c r="C70" s="17">
        <f>'County Breakdown'!J2</f>
        <v>77512986.848599523</v>
      </c>
      <c r="D70" s="17">
        <f>'County Breakdown'!J3</f>
        <v>18324090.977354139</v>
      </c>
      <c r="E70" s="17">
        <f>'County Breakdown'!J4</f>
        <v>15248040.147939637</v>
      </c>
      <c r="F70" s="17">
        <f>'County Breakdown'!J5</f>
        <v>15248040.148260813</v>
      </c>
      <c r="G70" s="17">
        <f>'County Breakdown'!J6</f>
        <v>15248040.148260813</v>
      </c>
      <c r="H70" s="17">
        <f>'County Breakdown'!J7</f>
        <v>16178345.281290993</v>
      </c>
      <c r="I70" s="17">
        <f>'County Breakdown'!J8</f>
        <v>15532304.272094473</v>
      </c>
      <c r="J70" s="17">
        <f>'County Breakdown'!J9</f>
        <v>7277200.1344733397</v>
      </c>
      <c r="K70" s="17">
        <f>'County Breakdown'!J10</f>
        <v>7277200.1344733397</v>
      </c>
      <c r="L70" s="17">
        <f>'County Breakdown'!J11</f>
        <v>7277200.1344733397</v>
      </c>
      <c r="M70" s="17">
        <f>'County Breakdown'!J12</f>
        <v>7277200.1344733415</v>
      </c>
      <c r="N70" s="17">
        <f>'County Breakdown'!J13</f>
        <v>7277200.1344733415</v>
      </c>
      <c r="O70" s="17">
        <f>'County Breakdown'!J14</f>
        <v>7277200.1344733415</v>
      </c>
      <c r="P70" s="17">
        <f>SUM(C70:O70)</f>
        <v>216955048.63064051</v>
      </c>
    </row>
  </sheetData>
  <pageMargins left="0.7" right="0.7" top="0.75" bottom="0.75" header="0.3" footer="0.3"/>
  <pageSetup orientation="portrait" r:id="rId1"/>
  <customProperties>
    <customPr name="OrphanNamesChecked" r:id="rId2"/>
  </customProperties>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topLeftCell="A43" workbookViewId="0">
      <selection activeCell="B29" sqref="B29"/>
    </sheetView>
  </sheetViews>
  <sheetFormatPr defaultRowHeight="14.4" x14ac:dyDescent="0.3"/>
  <cols>
    <col min="1" max="1" width="20" customWidth="1"/>
    <col min="2" max="18" width="17.6640625" customWidth="1"/>
  </cols>
  <sheetData>
    <row r="1" spans="1:18" x14ac:dyDescent="0.3">
      <c r="A1" t="s">
        <v>4</v>
      </c>
      <c r="B1" t="s">
        <v>114</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26</v>
      </c>
      <c r="B2">
        <v>9.1563811681927808E-3</v>
      </c>
      <c r="C2" s="7">
        <f>Table5[[#This Row],[Floor % w/ No Philadelphia]]*$C$70</f>
        <v>-2783.4629924945789</v>
      </c>
      <c r="D2" s="7">
        <f>Table5[[#This Row],[Floor % w/ No Philadelphia]]*$D$70</f>
        <v>140139.79031856955</v>
      </c>
      <c r="E2" s="7">
        <f>Table5[[#This Row],[Floor % w/ No Philadelphia]]*$E$70</f>
        <v>103984.16660535682</v>
      </c>
      <c r="F2" s="7">
        <f>Table5[[#This Row],[Floor % w/ No Philadelphia]]*$F$70</f>
        <v>103984.16660535682</v>
      </c>
      <c r="G2" s="7">
        <f>Table5[[#This Row],[Floor % w/ No Philadelphia]]*$G$70</f>
        <v>103984.16660535682</v>
      </c>
      <c r="H2" s="7">
        <f>Table5[[#This Row],[Floor % w/ No Philadelphia]]*$H$70</f>
        <v>131873.5364656852</v>
      </c>
      <c r="I2" s="7">
        <f>Table5[[#This Row],[Floor % w/ No Philadelphia]]*$I$70</f>
        <v>128536.84393502181</v>
      </c>
      <c r="J2" s="7">
        <f>Table5[[#This Row],[Floor % w/ No Philadelphia]]*$J$70</f>
        <v>139780.64579396849</v>
      </c>
      <c r="K2" s="7">
        <f>Table5[[#This Row],[Floor % w/ No Philadelphia]]*$K$70</f>
        <v>139727.69047550776</v>
      </c>
      <c r="L2" s="7">
        <f>Table5[[#This Row],[Floor % w/ No Philadelphia]]*$L$70</f>
        <v>139727.69059314052</v>
      </c>
      <c r="M2" s="7">
        <f>Table5[[#This Row],[Floor % w/ No Philadelphia]]*$M$70</f>
        <v>67586.355820567172</v>
      </c>
      <c r="N2" s="7">
        <f>Table5[[#This Row],[Floor % w/ No Philadelphia]]*$N$70</f>
        <v>67586.355820567172</v>
      </c>
      <c r="O2" s="7">
        <f>Table5[[#This Row],[Floor % w/ No Philadelphia]]*$O$70</f>
        <v>67586.355820567172</v>
      </c>
      <c r="P2" s="7">
        <f>Table5[[#This Row],[Floor % w/ No Philadelphia]]*$P$70</f>
        <v>67586.355820567172</v>
      </c>
      <c r="Q2" s="7">
        <f>Table5[[#This Row],[Floor % w/ No Philadelphia]]*$Q$70</f>
        <v>67586.355820567172</v>
      </c>
      <c r="R2" s="7">
        <f>SUM(Table5[[#This Row],[Payment 1]:[Payment 15]])</f>
        <v>1466887.0135083047</v>
      </c>
    </row>
    <row r="3" spans="1:18" x14ac:dyDescent="0.3">
      <c r="A3" t="s">
        <v>27</v>
      </c>
      <c r="B3">
        <v>0.10809319125197787</v>
      </c>
      <c r="C3" s="7">
        <f>Table5[[#This Row],[Floor % w/ No Philadelphia]]*$C$70</f>
        <v>-32859.422523353009</v>
      </c>
      <c r="D3" s="7">
        <f>Table5[[#This Row],[Floor % w/ No Philadelphia]]*$D$70</f>
        <v>1654382.542476336</v>
      </c>
      <c r="E3" s="7">
        <f>Table5[[#This Row],[Floor % w/ No Philadelphia]]*$E$70</f>
        <v>1227557.0666603027</v>
      </c>
      <c r="F3" s="7">
        <f>Table5[[#This Row],[Floor % w/ No Philadelphia]]*$F$70</f>
        <v>1227557.0666603027</v>
      </c>
      <c r="G3" s="7">
        <f>Table5[[#This Row],[Floor % w/ No Philadelphia]]*$G$70</f>
        <v>1227557.0666603027</v>
      </c>
      <c r="H3" s="7">
        <f>Table5[[#This Row],[Floor % w/ No Philadelphia]]*$H$70</f>
        <v>1556797.509454651</v>
      </c>
      <c r="I3" s="7">
        <f>Table5[[#This Row],[Floor % w/ No Philadelphia]]*$I$70</f>
        <v>1517407.0846524439</v>
      </c>
      <c r="J3" s="7">
        <f>Table5[[#This Row],[Floor % w/ No Philadelphia]]*$J$70</f>
        <v>1650142.7585407721</v>
      </c>
      <c r="K3" s="7">
        <f>Table5[[#This Row],[Floor % w/ No Philadelphia]]*$K$70</f>
        <v>1649517.6087942687</v>
      </c>
      <c r="L3" s="7">
        <f>Table5[[#This Row],[Floor % w/ No Philadelphia]]*$L$70</f>
        <v>1649517.6101829505</v>
      </c>
      <c r="M3" s="7">
        <f>Table5[[#This Row],[Floor % w/ No Philadelphia]]*$M$70</f>
        <v>797872.51661332115</v>
      </c>
      <c r="N3" s="7">
        <f>Table5[[#This Row],[Floor % w/ No Philadelphia]]*$N$70</f>
        <v>797872.51661332115</v>
      </c>
      <c r="O3" s="7">
        <f>Table5[[#This Row],[Floor % w/ No Philadelphia]]*$O$70</f>
        <v>797872.51661332115</v>
      </c>
      <c r="P3" s="7">
        <f>Table5[[#This Row],[Floor % w/ No Philadelphia]]*$P$70</f>
        <v>797872.51661332115</v>
      </c>
      <c r="Q3" s="7">
        <f>Table5[[#This Row],[Floor % w/ No Philadelphia]]*$Q$70</f>
        <v>797872.51661332115</v>
      </c>
      <c r="R3" s="7">
        <f>SUM(Table5[[#This Row],[Payment 1]:[Payment 15]])</f>
        <v>17316939.474625584</v>
      </c>
    </row>
    <row r="4" spans="1:18" x14ac:dyDescent="0.3">
      <c r="A4" t="s">
        <v>28</v>
      </c>
      <c r="B4">
        <v>5.7542383182339367E-3</v>
      </c>
      <c r="C4" s="7">
        <f>Table5[[#This Row],[Floor % w/ No Philadelphia]]*$C$70</f>
        <v>-1749.2401326013896</v>
      </c>
      <c r="D4" s="7">
        <f>Table5[[#This Row],[Floor % w/ No Philadelphia]]*$D$70</f>
        <v>88069.482533299015</v>
      </c>
      <c r="E4" s="7">
        <f>Table5[[#This Row],[Floor % w/ No Philadelphia]]*$E$70</f>
        <v>65347.833929052533</v>
      </c>
      <c r="F4" s="7">
        <f>Table5[[#This Row],[Floor % w/ No Philadelphia]]*$F$70</f>
        <v>65347.833929052533</v>
      </c>
      <c r="G4" s="7">
        <f>Table5[[#This Row],[Floor % w/ No Philadelphia]]*$G$70</f>
        <v>65347.833929052533</v>
      </c>
      <c r="H4" s="7">
        <f>Table5[[#This Row],[Floor % w/ No Philadelphia]]*$H$70</f>
        <v>82874.636032833339</v>
      </c>
      <c r="I4" s="7">
        <f>Table5[[#This Row],[Floor % w/ No Philadelphia]]*$I$70</f>
        <v>80777.724200153738</v>
      </c>
      <c r="J4" s="7">
        <f>Table5[[#This Row],[Floor % w/ No Philadelphia]]*$J$70</f>
        <v>87843.781664442417</v>
      </c>
      <c r="K4" s="7">
        <f>Table5[[#This Row],[Floor % w/ No Philadelphia]]*$K$70</f>
        <v>87810.502411750364</v>
      </c>
      <c r="L4" s="7">
        <f>Table5[[#This Row],[Floor % w/ No Philadelphia]]*$L$70</f>
        <v>87810.502485675519</v>
      </c>
      <c r="M4" s="7">
        <f>Table5[[#This Row],[Floor % w/ No Philadelphia]]*$M$70</f>
        <v>42473.985225023207</v>
      </c>
      <c r="N4" s="7">
        <f>Table5[[#This Row],[Floor % w/ No Philadelphia]]*$N$70</f>
        <v>42473.985225023207</v>
      </c>
      <c r="O4" s="7">
        <f>Table5[[#This Row],[Floor % w/ No Philadelphia]]*$O$70</f>
        <v>42473.985225023207</v>
      </c>
      <c r="P4" s="7">
        <f>Table5[[#This Row],[Floor % w/ No Philadelphia]]*$P$70</f>
        <v>42473.985225023207</v>
      </c>
      <c r="Q4" s="7">
        <f>Table5[[#This Row],[Floor % w/ No Philadelphia]]*$Q$70</f>
        <v>42473.985225023207</v>
      </c>
      <c r="R4" s="7">
        <f>SUM(Table5[[#This Row],[Payment 1]:[Payment 15]])</f>
        <v>921850.8171078267</v>
      </c>
    </row>
    <row r="5" spans="1:18" x14ac:dyDescent="0.3">
      <c r="A5" t="s">
        <v>29</v>
      </c>
      <c r="B5">
        <v>1.4571507426736248E-2</v>
      </c>
      <c r="C5" s="7">
        <f>Table5[[#This Row],[Floor % w/ No Philadelphia]]*$C$70</f>
        <v>-4429.6159063445311</v>
      </c>
      <c r="D5" s="7">
        <f>Table5[[#This Row],[Floor % w/ No Philadelphia]]*$D$70</f>
        <v>223019.11179734571</v>
      </c>
      <c r="E5" s="7">
        <f>Table5[[#This Row],[Floor % w/ No Philadelphia]]*$E$70</f>
        <v>165480.88465521979</v>
      </c>
      <c r="F5" s="7">
        <f>Table5[[#This Row],[Floor % w/ No Philadelphia]]*$F$70</f>
        <v>165480.88465521979</v>
      </c>
      <c r="G5" s="7">
        <f>Table5[[#This Row],[Floor % w/ No Philadelphia]]*$G$70</f>
        <v>165480.88465521979</v>
      </c>
      <c r="H5" s="7">
        <f>Table5[[#This Row],[Floor % w/ No Philadelphia]]*$H$70</f>
        <v>209864.15710552773</v>
      </c>
      <c r="I5" s="7">
        <f>Table5[[#This Row],[Floor % w/ No Philadelphia]]*$I$70</f>
        <v>204554.12914817335</v>
      </c>
      <c r="J5" s="7">
        <f>Table5[[#This Row],[Floor % w/ No Philadelphia]]*$J$70</f>
        <v>222447.56753642359</v>
      </c>
      <c r="K5" s="7">
        <f>Table5[[#This Row],[Floor % w/ No Philadelphia]]*$K$70</f>
        <v>222363.29419720129</v>
      </c>
      <c r="L5" s="7">
        <f>Table5[[#This Row],[Floor % w/ No Philadelphia]]*$L$70</f>
        <v>222363.2943844026</v>
      </c>
      <c r="M5" s="7">
        <f>Table5[[#This Row],[Floor % w/ No Philadelphia]]*$M$70</f>
        <v>107557.23988495913</v>
      </c>
      <c r="N5" s="7">
        <f>Table5[[#This Row],[Floor % w/ No Philadelphia]]*$N$70</f>
        <v>107557.23988495913</v>
      </c>
      <c r="O5" s="7">
        <f>Table5[[#This Row],[Floor % w/ No Philadelphia]]*$O$70</f>
        <v>107557.23988495913</v>
      </c>
      <c r="P5" s="7">
        <f>Table5[[#This Row],[Floor % w/ No Philadelphia]]*$P$70</f>
        <v>107557.23988495913</v>
      </c>
      <c r="Q5" s="7">
        <f>Table5[[#This Row],[Floor % w/ No Philadelphia]]*$Q$70</f>
        <v>107557.23988495913</v>
      </c>
      <c r="R5" s="7">
        <f>SUM(Table5[[#This Row],[Payment 1]:[Payment 15]])</f>
        <v>2334410.7916531847</v>
      </c>
    </row>
    <row r="6" spans="1:18" x14ac:dyDescent="0.3">
      <c r="A6" t="s">
        <v>30</v>
      </c>
      <c r="B6">
        <v>4.2567230182063301E-3</v>
      </c>
      <c r="C6" s="7">
        <f>Table5[[#This Row],[Floor % w/ No Philadelphia]]*$C$70</f>
        <v>-1294.0080554570998</v>
      </c>
      <c r="D6" s="7">
        <f>Table5[[#This Row],[Floor % w/ No Philadelphia]]*$D$70</f>
        <v>65149.785734990714</v>
      </c>
      <c r="E6" s="7">
        <f>Table5[[#This Row],[Floor % w/ No Philadelphia]]*$E$70</f>
        <v>48341.346585223881</v>
      </c>
      <c r="F6" s="7">
        <f>Table5[[#This Row],[Floor % w/ No Philadelphia]]*$F$70</f>
        <v>48341.346585223881</v>
      </c>
      <c r="G6" s="7">
        <f>Table5[[#This Row],[Floor % w/ No Philadelphia]]*$G$70</f>
        <v>48341.346585223881</v>
      </c>
      <c r="H6" s="7">
        <f>Table5[[#This Row],[Floor % w/ No Philadelphia]]*$H$70</f>
        <v>61306.875265935327</v>
      </c>
      <c r="I6" s="7">
        <f>Table5[[#This Row],[Floor % w/ No Philadelphia]]*$I$70</f>
        <v>59755.675546411716</v>
      </c>
      <c r="J6" s="7">
        <f>Table5[[#This Row],[Floor % w/ No Philadelphia]]*$J$70</f>
        <v>64982.822527949626</v>
      </c>
      <c r="K6" s="7">
        <f>Table5[[#This Row],[Floor % w/ No Philadelphia]]*$K$70</f>
        <v>64958.204054899237</v>
      </c>
      <c r="L6" s="7">
        <f>Table5[[#This Row],[Floor % w/ No Philadelphia]]*$L$70</f>
        <v>64958.204109585691</v>
      </c>
      <c r="M6" s="7">
        <f>Table5[[#This Row],[Floor % w/ No Philadelphia]]*$M$70</f>
        <v>31420.316744510874</v>
      </c>
      <c r="N6" s="7">
        <f>Table5[[#This Row],[Floor % w/ No Philadelphia]]*$N$70</f>
        <v>31420.316744510874</v>
      </c>
      <c r="O6" s="7">
        <f>Table5[[#This Row],[Floor % w/ No Philadelphia]]*$O$70</f>
        <v>31420.316744510874</v>
      </c>
      <c r="P6" s="7">
        <f>Table5[[#This Row],[Floor % w/ No Philadelphia]]*$P$70</f>
        <v>31420.316744510874</v>
      </c>
      <c r="Q6" s="7">
        <f>Table5[[#This Row],[Floor % w/ No Philadelphia]]*$Q$70</f>
        <v>31420.316744510874</v>
      </c>
      <c r="R6" s="7">
        <f>SUM(Table5[[#This Row],[Payment 1]:[Payment 15]])</f>
        <v>681943.1826625414</v>
      </c>
    </row>
    <row r="7" spans="1:18" x14ac:dyDescent="0.3">
      <c r="A7" t="s">
        <v>31</v>
      </c>
      <c r="B7">
        <v>3.7436904720177307E-2</v>
      </c>
      <c r="C7" s="7">
        <f>Table5[[#This Row],[Floor % w/ No Philadelphia]]*$C$70</f>
        <v>-11380.504691541388</v>
      </c>
      <c r="D7" s="7">
        <f>Table5[[#This Row],[Floor % w/ No Philadelphia]]*$D$70</f>
        <v>572977.45487996214</v>
      </c>
      <c r="E7" s="7">
        <f>Table5[[#This Row],[Floor % w/ No Philadelphia]]*$E$70</f>
        <v>425151.07946080924</v>
      </c>
      <c r="F7" s="7">
        <f>Table5[[#This Row],[Floor % w/ No Philadelphia]]*$F$70</f>
        <v>425151.07946080924</v>
      </c>
      <c r="G7" s="7">
        <f>Table5[[#This Row],[Floor % w/ No Philadelphia]]*$G$70</f>
        <v>425151.07946080924</v>
      </c>
      <c r="H7" s="7">
        <f>Table5[[#This Row],[Floor % w/ No Philadelphia]]*$H$70</f>
        <v>539179.93682138296</v>
      </c>
      <c r="I7" s="7">
        <f>Table5[[#This Row],[Floor % w/ No Philadelphia]]*$I$70</f>
        <v>525537.49030715309</v>
      </c>
      <c r="J7" s="7">
        <f>Table5[[#This Row],[Floor % w/ No Philadelphia]]*$J$70</f>
        <v>571509.05168646376</v>
      </c>
      <c r="K7" s="7">
        <f>Table5[[#This Row],[Floor % w/ No Philadelphia]]*$K$70</f>
        <v>571292.53785035049</v>
      </c>
      <c r="L7" s="7">
        <f>Table5[[#This Row],[Floor % w/ No Philadelphia]]*$L$70</f>
        <v>571292.53833130538</v>
      </c>
      <c r="M7" s="7">
        <f>Table5[[#This Row],[Floor % w/ No Philadelphia]]*$M$70</f>
        <v>276334.49468311848</v>
      </c>
      <c r="N7" s="7">
        <f>Table5[[#This Row],[Floor % w/ No Philadelphia]]*$N$70</f>
        <v>276334.49468311848</v>
      </c>
      <c r="O7" s="7">
        <f>Table5[[#This Row],[Floor % w/ No Philadelphia]]*$O$70</f>
        <v>276334.49468311848</v>
      </c>
      <c r="P7" s="7">
        <f>Table5[[#This Row],[Floor % w/ No Philadelphia]]*$P$70</f>
        <v>276334.49468311848</v>
      </c>
      <c r="Q7" s="7">
        <f>Table5[[#This Row],[Floor % w/ No Philadelphia]]*$Q$70</f>
        <v>276334.49468311848</v>
      </c>
      <c r="R7" s="7">
        <f>SUM(Table5[[#This Row],[Payment 1]:[Payment 15]])</f>
        <v>5997534.2169830967</v>
      </c>
    </row>
    <row r="8" spans="1:18" x14ac:dyDescent="0.3">
      <c r="A8" t="s">
        <v>32</v>
      </c>
      <c r="B8">
        <v>1.0829274736574069E-2</v>
      </c>
      <c r="C8" s="7">
        <f>Table5[[#This Row],[Floor % w/ No Philadelphia]]*$C$70</f>
        <v>-3292.0085906340423</v>
      </c>
      <c r="D8" s="7">
        <f>Table5[[#This Row],[Floor % w/ No Philadelphia]]*$D$70</f>
        <v>165743.67787980672</v>
      </c>
      <c r="E8" s="7">
        <f>Table5[[#This Row],[Floor % w/ No Philadelphia]]*$E$70</f>
        <v>122982.33196481876</v>
      </c>
      <c r="F8" s="7">
        <f>Table5[[#This Row],[Floor % w/ No Philadelphia]]*$F$70</f>
        <v>122982.33196481876</v>
      </c>
      <c r="G8" s="7">
        <f>Table5[[#This Row],[Floor % w/ No Philadelphia]]*$G$70</f>
        <v>122982.33196481876</v>
      </c>
      <c r="H8" s="7">
        <f>Table5[[#This Row],[Floor % w/ No Philadelphia]]*$H$70</f>
        <v>155967.15892861751</v>
      </c>
      <c r="I8" s="7">
        <f>Table5[[#This Row],[Floor % w/ No Philadelphia]]*$I$70</f>
        <v>152020.84438990548</v>
      </c>
      <c r="J8" s="7">
        <f>Table5[[#This Row],[Floor % w/ No Philadelphia]]*$J$70</f>
        <v>165318.91675905394</v>
      </c>
      <c r="K8" s="7">
        <f>Table5[[#This Row],[Floor % w/ No Philadelphia]]*$K$70</f>
        <v>165256.28637245906</v>
      </c>
      <c r="L8" s="7">
        <f>Table5[[#This Row],[Floor % w/ No Philadelphia]]*$L$70</f>
        <v>165256.2865115836</v>
      </c>
      <c r="M8" s="7">
        <f>Table5[[#This Row],[Floor % w/ No Philadelphia]]*$M$70</f>
        <v>79934.550799094039</v>
      </c>
      <c r="N8" s="7">
        <f>Table5[[#This Row],[Floor % w/ No Philadelphia]]*$N$70</f>
        <v>79934.550799094039</v>
      </c>
      <c r="O8" s="7">
        <f>Table5[[#This Row],[Floor % w/ No Philadelphia]]*$O$70</f>
        <v>79934.550799094039</v>
      </c>
      <c r="P8" s="7">
        <f>Table5[[#This Row],[Floor % w/ No Philadelphia]]*$P$70</f>
        <v>79934.550799094039</v>
      </c>
      <c r="Q8" s="7">
        <f>Table5[[#This Row],[Floor % w/ No Philadelphia]]*$Q$70</f>
        <v>79934.550799094039</v>
      </c>
      <c r="R8" s="7">
        <f>SUM(Table5[[#This Row],[Payment 1]:[Payment 15]])</f>
        <v>1734890.9121407191</v>
      </c>
    </row>
    <row r="9" spans="1:18" x14ac:dyDescent="0.3">
      <c r="A9" t="s">
        <v>33</v>
      </c>
      <c r="B9">
        <v>5.3620594434359431E-3</v>
      </c>
      <c r="C9" s="7">
        <f>Table5[[#This Row],[Floor % w/ No Philadelphia]]*$C$70</f>
        <v>-1630.0210476390457</v>
      </c>
      <c r="D9" s="7">
        <f>Table5[[#This Row],[Floor % w/ No Philadelphia]]*$D$70</f>
        <v>82067.125895669989</v>
      </c>
      <c r="E9" s="7">
        <f>Table5[[#This Row],[Floor % w/ No Philadelphia]]*$E$70</f>
        <v>60894.066364443286</v>
      </c>
      <c r="F9" s="7">
        <f>Table5[[#This Row],[Floor % w/ No Philadelphia]]*$F$70</f>
        <v>60894.066364443286</v>
      </c>
      <c r="G9" s="7">
        <f>Table5[[#This Row],[Floor % w/ No Philadelphia]]*$G$70</f>
        <v>60894.066364443286</v>
      </c>
      <c r="H9" s="7">
        <f>Table5[[#This Row],[Floor % w/ No Philadelphia]]*$H$70</f>
        <v>77226.333040991827</v>
      </c>
      <c r="I9" s="7">
        <f>Table5[[#This Row],[Floor % w/ No Philadelphia]]*$I$70</f>
        <v>75272.335783206523</v>
      </c>
      <c r="J9" s="7">
        <f>Table5[[#This Row],[Floor % w/ No Philadelphia]]*$J$70</f>
        <v>81856.807620980311</v>
      </c>
      <c r="K9" s="7">
        <f>Table5[[#This Row],[Floor % w/ No Philadelphia]]*$K$70</f>
        <v>81825.796508596861</v>
      </c>
      <c r="L9" s="7">
        <f>Table5[[#This Row],[Floor % w/ No Philadelphia]]*$L$70</f>
        <v>81825.796577483663</v>
      </c>
      <c r="M9" s="7">
        <f>Table5[[#This Row],[Floor % w/ No Philadelphia]]*$M$70</f>
        <v>39579.179898495015</v>
      </c>
      <c r="N9" s="7">
        <f>Table5[[#This Row],[Floor % w/ No Philadelphia]]*$N$70</f>
        <v>39579.179898495015</v>
      </c>
      <c r="O9" s="7">
        <f>Table5[[#This Row],[Floor % w/ No Philadelphia]]*$O$70</f>
        <v>39579.179898495015</v>
      </c>
      <c r="P9" s="7">
        <f>Table5[[#This Row],[Floor % w/ No Philadelphia]]*$P$70</f>
        <v>39579.179898495015</v>
      </c>
      <c r="Q9" s="7">
        <f>Table5[[#This Row],[Floor % w/ No Philadelphia]]*$Q$70</f>
        <v>39579.179898495015</v>
      </c>
      <c r="R9" s="7">
        <f>SUM(Table5[[#This Row],[Payment 1]:[Payment 15]])</f>
        <v>859022.27296509477</v>
      </c>
    </row>
    <row r="10" spans="1:18" x14ac:dyDescent="0.3">
      <c r="A10" t="s">
        <v>34</v>
      </c>
      <c r="B10">
        <v>5.5846378438199361E-2</v>
      </c>
      <c r="C10" s="7">
        <f>Table5[[#This Row],[Floor % w/ No Philadelphia]]*$C$70</f>
        <v>-16976.830124499498</v>
      </c>
      <c r="D10" s="7">
        <f>Table5[[#This Row],[Floor % w/ No Philadelphia]]*$D$70</f>
        <v>854737.21775230987</v>
      </c>
      <c r="E10" s="7">
        <f>Table5[[#This Row],[Floor % w/ No Philadelphia]]*$E$70</f>
        <v>634217.71256052889</v>
      </c>
      <c r="F10" s="7">
        <f>Table5[[#This Row],[Floor % w/ No Philadelphia]]*$F$70</f>
        <v>634217.71256052889</v>
      </c>
      <c r="G10" s="7">
        <f>Table5[[#This Row],[Floor % w/ No Philadelphia]]*$G$70</f>
        <v>634217.71256052889</v>
      </c>
      <c r="H10" s="7">
        <f>Table5[[#This Row],[Floor % w/ No Philadelphia]]*$H$70</f>
        <v>804319.88229471247</v>
      </c>
      <c r="I10" s="7">
        <f>Table5[[#This Row],[Floor % w/ No Philadelphia]]*$I$70</f>
        <v>783968.80795907299</v>
      </c>
      <c r="J10" s="7">
        <f>Table5[[#This Row],[Floor % w/ No Philadelphia]]*$J$70</f>
        <v>852546.73215909849</v>
      </c>
      <c r="K10" s="7">
        <f>Table5[[#This Row],[Floor % w/ No Philadelphia]]*$K$70</f>
        <v>852223.74836225237</v>
      </c>
      <c r="L10" s="7">
        <f>Table5[[#This Row],[Floor % w/ No Philadelphia]]*$L$70</f>
        <v>852223.74907971523</v>
      </c>
      <c r="M10" s="7">
        <f>Table5[[#This Row],[Floor % w/ No Philadelphia]]*$M$70</f>
        <v>412221.06584267138</v>
      </c>
      <c r="N10" s="7">
        <f>Table5[[#This Row],[Floor % w/ No Philadelphia]]*$N$70</f>
        <v>412221.06584267138</v>
      </c>
      <c r="O10" s="7">
        <f>Table5[[#This Row],[Floor % w/ No Philadelphia]]*$O$70</f>
        <v>412221.06584267138</v>
      </c>
      <c r="P10" s="7">
        <f>Table5[[#This Row],[Floor % w/ No Philadelphia]]*$P$70</f>
        <v>412221.06584267138</v>
      </c>
      <c r="Q10" s="7">
        <f>Table5[[#This Row],[Floor % w/ No Philadelphia]]*$Q$70</f>
        <v>412221.06584267138</v>
      </c>
      <c r="R10" s="7">
        <f>SUM(Table5[[#This Row],[Payment 1]:[Payment 15]])</f>
        <v>8946801.7743776068</v>
      </c>
    </row>
    <row r="11" spans="1:18" x14ac:dyDescent="0.3">
      <c r="A11" t="s">
        <v>35</v>
      </c>
      <c r="B11">
        <v>1.6698091153088745E-2</v>
      </c>
      <c r="C11" s="7">
        <f>Table5[[#This Row],[Floor % w/ No Philadelphia]]*$C$70</f>
        <v>-5076.0795030442405</v>
      </c>
      <c r="D11" s="7">
        <f>Table5[[#This Row],[Floor % w/ No Philadelphia]]*$D$70</f>
        <v>255566.79543257624</v>
      </c>
      <c r="E11" s="7">
        <f>Table5[[#This Row],[Floor % w/ No Philadelphia]]*$E$70</f>
        <v>189631.3686116368</v>
      </c>
      <c r="F11" s="7">
        <f>Table5[[#This Row],[Floor % w/ No Philadelphia]]*$F$70</f>
        <v>189631.3686116368</v>
      </c>
      <c r="G11" s="7">
        <f>Table5[[#This Row],[Floor % w/ No Philadelphia]]*$G$70</f>
        <v>189631.3686116368</v>
      </c>
      <c r="H11" s="7">
        <f>Table5[[#This Row],[Floor % w/ No Philadelphia]]*$H$70</f>
        <v>240491.99046382707</v>
      </c>
      <c r="I11" s="7">
        <f>Table5[[#This Row],[Floor % w/ No Philadelphia]]*$I$70</f>
        <v>234407.01049156534</v>
      </c>
      <c r="J11" s="7">
        <f>Table5[[#This Row],[Floor % w/ No Philadelphia]]*$J$70</f>
        <v>254911.83929884149</v>
      </c>
      <c r="K11" s="7">
        <f>Table5[[#This Row],[Floor % w/ No Philadelphia]]*$K$70</f>
        <v>254815.26700478172</v>
      </c>
      <c r="L11" s="7">
        <f>Table5[[#This Row],[Floor % w/ No Philadelphia]]*$L$70</f>
        <v>254815.26721930344</v>
      </c>
      <c r="M11" s="7">
        <f>Table5[[#This Row],[Floor % w/ No Philadelphia]]*$M$70</f>
        <v>123254.27583959659</v>
      </c>
      <c r="N11" s="7">
        <f>Table5[[#This Row],[Floor % w/ No Philadelphia]]*$N$70</f>
        <v>123254.27583959659</v>
      </c>
      <c r="O11" s="7">
        <f>Table5[[#This Row],[Floor % w/ No Philadelphia]]*$O$70</f>
        <v>123254.27583959659</v>
      </c>
      <c r="P11" s="7">
        <f>Table5[[#This Row],[Floor % w/ No Philadelphia]]*$P$70</f>
        <v>123254.27583959659</v>
      </c>
      <c r="Q11" s="7">
        <f>Table5[[#This Row],[Floor % w/ No Philadelphia]]*$Q$70</f>
        <v>123254.27583959659</v>
      </c>
      <c r="R11" s="7">
        <f>SUM(Table5[[#This Row],[Payment 1]:[Payment 15]])</f>
        <v>2675097.5754407439</v>
      </c>
    </row>
    <row r="12" spans="1:18" x14ac:dyDescent="0.3">
      <c r="A12" t="s">
        <v>36</v>
      </c>
      <c r="B12">
        <v>1.1572654593767093E-2</v>
      </c>
      <c r="C12" s="7">
        <f>Table5[[#This Row],[Floor % w/ No Philadelphia]]*$C$70</f>
        <v>-3517.9898253439428</v>
      </c>
      <c r="D12" s="7">
        <f>Table5[[#This Row],[Floor % w/ No Philadelphia]]*$D$70</f>
        <v>177121.21835135965</v>
      </c>
      <c r="E12" s="7">
        <f>Table5[[#This Row],[Floor % w/ No Philadelphia]]*$E$70</f>
        <v>131424.50289474332</v>
      </c>
      <c r="F12" s="7">
        <f>Table5[[#This Row],[Floor % w/ No Philadelphia]]*$F$70</f>
        <v>131424.50289474332</v>
      </c>
      <c r="G12" s="7">
        <f>Table5[[#This Row],[Floor % w/ No Philadelphia]]*$G$70</f>
        <v>131424.50289474332</v>
      </c>
      <c r="H12" s="7">
        <f>Table5[[#This Row],[Floor % w/ No Philadelphia]]*$H$70</f>
        <v>166673.58638119471</v>
      </c>
      <c r="I12" s="7">
        <f>Table5[[#This Row],[Floor % w/ No Philadelphia]]*$I$70</f>
        <v>162456.37551658941</v>
      </c>
      <c r="J12" s="7">
        <f>Table5[[#This Row],[Floor % w/ No Philadelphia]]*$J$70</f>
        <v>176667.29933509056</v>
      </c>
      <c r="K12" s="7">
        <f>Table5[[#This Row],[Floor % w/ No Philadelphia]]*$K$70</f>
        <v>176600.36966078018</v>
      </c>
      <c r="L12" s="7">
        <f>Table5[[#This Row],[Floor % w/ No Philadelphia]]*$L$70</f>
        <v>176600.36980945501</v>
      </c>
      <c r="M12" s="7">
        <f>Table5[[#This Row],[Floor % w/ No Philadelphia]]*$M$70</f>
        <v>85421.689726055789</v>
      </c>
      <c r="N12" s="7">
        <f>Table5[[#This Row],[Floor % w/ No Philadelphia]]*$N$70</f>
        <v>85421.689726055789</v>
      </c>
      <c r="O12" s="7">
        <f>Table5[[#This Row],[Floor % w/ No Philadelphia]]*$O$70</f>
        <v>85421.689726055789</v>
      </c>
      <c r="P12" s="7">
        <f>Table5[[#This Row],[Floor % w/ No Philadelphia]]*$P$70</f>
        <v>85421.689726055789</v>
      </c>
      <c r="Q12" s="7">
        <f>Table5[[#This Row],[Floor % w/ No Philadelphia]]*$Q$70</f>
        <v>85421.689726055789</v>
      </c>
      <c r="R12" s="7">
        <f>SUM(Table5[[#This Row],[Payment 1]:[Payment 15]])</f>
        <v>1853983.1865436346</v>
      </c>
    </row>
    <row r="13" spans="1:18" x14ac:dyDescent="0.3">
      <c r="A13" t="s">
        <v>37</v>
      </c>
      <c r="B13">
        <v>1.4285890000000001E-3</v>
      </c>
      <c r="C13" s="7">
        <f>Table5[[#This Row],[Floor % w/ No Philadelphia]]*$C$70</f>
        <v>-434.2790606837172</v>
      </c>
      <c r="D13" s="7">
        <f>Table5[[#This Row],[Floor % w/ No Philadelphia]]*$D$70</f>
        <v>21864.769414238945</v>
      </c>
      <c r="E13" s="7">
        <f>Table5[[#This Row],[Floor % w/ No Philadelphia]]*$E$70</f>
        <v>16223.727896192413</v>
      </c>
      <c r="F13" s="7">
        <f>Table5[[#This Row],[Floor % w/ No Philadelphia]]*$F$70</f>
        <v>16223.727896192413</v>
      </c>
      <c r="G13" s="7">
        <f>Table5[[#This Row],[Floor % w/ No Philadelphia]]*$G$70</f>
        <v>16223.727896192413</v>
      </c>
      <c r="H13" s="7">
        <f>Table5[[#This Row],[Floor % w/ No Philadelphia]]*$H$70</f>
        <v>20575.059089983297</v>
      </c>
      <c r="I13" s="7">
        <f>Table5[[#This Row],[Floor % w/ No Philadelphia]]*$I$70</f>
        <v>20054.46452777279</v>
      </c>
      <c r="J13" s="7">
        <f>Table5[[#This Row],[Floor % w/ No Philadelphia]]*$J$70</f>
        <v>21808.735277189517</v>
      </c>
      <c r="K13" s="7">
        <f>Table5[[#This Row],[Floor % w/ No Philadelphia]]*$K$70</f>
        <v>21800.473128196936</v>
      </c>
      <c r="L13" s="7">
        <f>Table5[[#This Row],[Floor % w/ No Philadelphia]]*$L$70</f>
        <v>21800.473146550132</v>
      </c>
      <c r="M13" s="7">
        <f>Table5[[#This Row],[Floor % w/ No Philadelphia]]*$M$70</f>
        <v>10544.900075889391</v>
      </c>
      <c r="N13" s="7">
        <f>Table5[[#This Row],[Floor % w/ No Philadelphia]]*$N$70</f>
        <v>10544.900075889391</v>
      </c>
      <c r="O13" s="7">
        <f>Table5[[#This Row],[Floor % w/ No Philadelphia]]*$O$70</f>
        <v>10544.900075889391</v>
      </c>
      <c r="P13" s="7">
        <f>Table5[[#This Row],[Floor % w/ No Philadelphia]]*$P$70</f>
        <v>10544.900075889391</v>
      </c>
      <c r="Q13" s="7">
        <f>Table5[[#This Row],[Floor % w/ No Philadelphia]]*$Q$70</f>
        <v>10544.900075889391</v>
      </c>
      <c r="R13" s="7">
        <f>SUM(Table5[[#This Row],[Payment 1]:[Payment 15]])</f>
        <v>228865.37959127213</v>
      </c>
    </row>
    <row r="14" spans="1:18" x14ac:dyDescent="0.3">
      <c r="A14" t="s">
        <v>38</v>
      </c>
      <c r="B14">
        <v>5.7050826251778871E-3</v>
      </c>
      <c r="C14" s="7">
        <f>Table5[[#This Row],[Floor % w/ No Philadelphia]]*$C$70</f>
        <v>-1734.2972146539335</v>
      </c>
      <c r="D14" s="7">
        <f>Table5[[#This Row],[Floor % w/ No Philadelphia]]*$D$70</f>
        <v>87317.147261175531</v>
      </c>
      <c r="E14" s="7">
        <f>Table5[[#This Row],[Floor % w/ No Philadelphia]]*$E$70</f>
        <v>64789.598783261754</v>
      </c>
      <c r="F14" s="7">
        <f>Table5[[#This Row],[Floor % w/ No Philadelphia]]*$F$70</f>
        <v>64789.598783261754</v>
      </c>
      <c r="G14" s="7">
        <f>Table5[[#This Row],[Floor % w/ No Philadelphia]]*$G$70</f>
        <v>64789.598783261754</v>
      </c>
      <c r="H14" s="7">
        <f>Table5[[#This Row],[Floor % w/ No Philadelphia]]*$H$70</f>
        <v>82166.677838253032</v>
      </c>
      <c r="I14" s="7">
        <f>Table5[[#This Row],[Floor % w/ No Philadelphia]]*$I$70</f>
        <v>80087.67891579929</v>
      </c>
      <c r="J14" s="7">
        <f>Table5[[#This Row],[Floor % w/ No Philadelphia]]*$J$70</f>
        <v>87093.374446392889</v>
      </c>
      <c r="K14" s="7">
        <f>Table5[[#This Row],[Floor % w/ No Philadelphia]]*$K$70</f>
        <v>87060.379482365985</v>
      </c>
      <c r="L14" s="7">
        <f>Table5[[#This Row],[Floor % w/ No Philadelphia]]*$L$70</f>
        <v>87060.379555659631</v>
      </c>
      <c r="M14" s="7">
        <f>Table5[[#This Row],[Floor % w/ No Philadelphia]]*$M$70</f>
        <v>42111.150377885831</v>
      </c>
      <c r="N14" s="7">
        <f>Table5[[#This Row],[Floor % w/ No Philadelphia]]*$N$70</f>
        <v>42111.150377885831</v>
      </c>
      <c r="O14" s="7">
        <f>Table5[[#This Row],[Floor % w/ No Philadelphia]]*$O$70</f>
        <v>42111.150377885831</v>
      </c>
      <c r="P14" s="7">
        <f>Table5[[#This Row],[Floor % w/ No Philadelphia]]*$P$70</f>
        <v>42111.150377885831</v>
      </c>
      <c r="Q14" s="7">
        <f>Table5[[#This Row],[Floor % w/ No Philadelphia]]*$Q$70</f>
        <v>42111.150377885831</v>
      </c>
      <c r="R14" s="7">
        <f>SUM(Table5[[#This Row],[Payment 1]:[Payment 15]])</f>
        <v>913975.8885242067</v>
      </c>
    </row>
    <row r="15" spans="1:18" x14ac:dyDescent="0.3">
      <c r="A15" t="s">
        <v>39</v>
      </c>
      <c r="B15">
        <v>1.4434262598384456E-2</v>
      </c>
      <c r="C15" s="7">
        <f>Table5[[#This Row],[Floor % w/ No Philadelphia]]*$C$70</f>
        <v>-4387.8946309179983</v>
      </c>
      <c r="D15" s="7">
        <f>Table5[[#This Row],[Floor % w/ No Philadelphia]]*$D$70</f>
        <v>220918.55906649819</v>
      </c>
      <c r="E15" s="7">
        <f>Table5[[#This Row],[Floor % w/ No Philadelphia]]*$E$70</f>
        <v>163922.26790096849</v>
      </c>
      <c r="F15" s="7">
        <f>Table5[[#This Row],[Floor % w/ No Philadelphia]]*$F$70</f>
        <v>163922.26790096849</v>
      </c>
      <c r="G15" s="7">
        <f>Table5[[#This Row],[Floor % w/ No Philadelphia]]*$G$70</f>
        <v>163922.26790096849</v>
      </c>
      <c r="H15" s="7">
        <f>Table5[[#This Row],[Floor % w/ No Philadelphia]]*$H$70</f>
        <v>207887.50710112989</v>
      </c>
      <c r="I15" s="7">
        <f>Table5[[#This Row],[Floor % w/ No Philadelphia]]*$I$70</f>
        <v>202627.49276653994</v>
      </c>
      <c r="J15" s="7">
        <f>Table5[[#This Row],[Floor % w/ No Philadelphia]]*$J$70</f>
        <v>220352.39801622741</v>
      </c>
      <c r="K15" s="7">
        <f>Table5[[#This Row],[Floor % w/ No Philadelphia]]*$K$70</f>
        <v>220268.91842329627</v>
      </c>
      <c r="L15" s="7">
        <f>Table5[[#This Row],[Floor % w/ No Philadelphia]]*$L$70</f>
        <v>220268.91860873438</v>
      </c>
      <c r="M15" s="7">
        <f>Table5[[#This Row],[Floor % w/ No Philadelphia]]*$M$70</f>
        <v>106544.18924485044</v>
      </c>
      <c r="N15" s="7">
        <f>Table5[[#This Row],[Floor % w/ No Philadelphia]]*$N$70</f>
        <v>106544.18924485044</v>
      </c>
      <c r="O15" s="7">
        <f>Table5[[#This Row],[Floor % w/ No Philadelphia]]*$O$70</f>
        <v>106544.18924485044</v>
      </c>
      <c r="P15" s="7">
        <f>Table5[[#This Row],[Floor % w/ No Philadelphia]]*$P$70</f>
        <v>106544.18924485044</v>
      </c>
      <c r="Q15" s="7">
        <f>Table5[[#This Row],[Floor % w/ No Philadelphia]]*$Q$70</f>
        <v>106544.18924485044</v>
      </c>
      <c r="R15" s="7">
        <f>SUM(Table5[[#This Row],[Payment 1]:[Payment 15]])</f>
        <v>2312423.6492786659</v>
      </c>
    </row>
    <row r="16" spans="1:18" x14ac:dyDescent="0.3">
      <c r="A16" t="s">
        <v>40</v>
      </c>
      <c r="B16">
        <v>4.6665819424597452E-2</v>
      </c>
      <c r="C16" s="7">
        <f>Table5[[#This Row],[Floor % w/ No Philadelphia]]*$C$70</f>
        <v>-14186.01727001268</v>
      </c>
      <c r="D16" s="7">
        <f>Table5[[#This Row],[Floor % w/ No Philadelphia]]*$D$70</f>
        <v>714227.38187493803</v>
      </c>
      <c r="E16" s="7">
        <f>Table5[[#This Row],[Floor % w/ No Philadelphia]]*$E$70</f>
        <v>529958.97098292049</v>
      </c>
      <c r="F16" s="7">
        <f>Table5[[#This Row],[Floor % w/ No Philadelphia]]*$F$70</f>
        <v>529958.97098292049</v>
      </c>
      <c r="G16" s="7">
        <f>Table5[[#This Row],[Floor % w/ No Philadelphia]]*$G$70</f>
        <v>529958.97098292049</v>
      </c>
      <c r="H16" s="7">
        <f>Table5[[#This Row],[Floor % w/ No Philadelphia]]*$H$70</f>
        <v>672098.12769353739</v>
      </c>
      <c r="I16" s="7">
        <f>Table5[[#This Row],[Floor % w/ No Philadelphia]]*$I$70</f>
        <v>655092.55657858204</v>
      </c>
      <c r="J16" s="7">
        <f>Table5[[#This Row],[Floor % w/ No Philadelphia]]*$J$70</f>
        <v>712396.98914395552</v>
      </c>
      <c r="K16" s="7">
        <f>Table5[[#This Row],[Floor % w/ No Philadelphia]]*$K$70</f>
        <v>712127.10049652297</v>
      </c>
      <c r="L16" s="7">
        <f>Table5[[#This Row],[Floor % w/ No Philadelphia]]*$L$70</f>
        <v>712127.10109604243</v>
      </c>
      <c r="M16" s="7">
        <f>Table5[[#This Row],[Floor % w/ No Philadelphia]]*$M$70</f>
        <v>344456.24514249951</v>
      </c>
      <c r="N16" s="7">
        <f>Table5[[#This Row],[Floor % w/ No Philadelphia]]*$N$70</f>
        <v>344456.24514249951</v>
      </c>
      <c r="O16" s="7">
        <f>Table5[[#This Row],[Floor % w/ No Philadelphia]]*$O$70</f>
        <v>344456.24514249951</v>
      </c>
      <c r="P16" s="7">
        <f>Table5[[#This Row],[Floor % w/ No Philadelphia]]*$P$70</f>
        <v>344456.24514249951</v>
      </c>
      <c r="Q16" s="7">
        <f>Table5[[#This Row],[Floor % w/ No Philadelphia]]*$Q$70</f>
        <v>344456.24514249951</v>
      </c>
      <c r="R16" s="7">
        <f>SUM(Table5[[#This Row],[Payment 1]:[Payment 15]])</f>
        <v>7476041.3782748273</v>
      </c>
    </row>
    <row r="17" spans="1:18" x14ac:dyDescent="0.3">
      <c r="A17" t="s">
        <v>41</v>
      </c>
      <c r="B17">
        <v>3.416720668514344E-3</v>
      </c>
      <c r="C17" s="7">
        <f>Table5[[#This Row],[Floor % w/ No Philadelphia]]*$C$70</f>
        <v>-1038.6543943296858</v>
      </c>
      <c r="D17" s="7">
        <f>Table5[[#This Row],[Floor % w/ No Philadelphia]]*$D$70</f>
        <v>52293.423489842397</v>
      </c>
      <c r="E17" s="7">
        <f>Table5[[#This Row],[Floor % w/ No Philadelphia]]*$E$70</f>
        <v>38801.885233102978</v>
      </c>
      <c r="F17" s="7">
        <f>Table5[[#This Row],[Floor % w/ No Philadelphia]]*$F$70</f>
        <v>38801.885233102978</v>
      </c>
      <c r="G17" s="7">
        <f>Table5[[#This Row],[Floor % w/ No Philadelphia]]*$G$70</f>
        <v>38801.885233102978</v>
      </c>
      <c r="H17" s="7">
        <f>Table5[[#This Row],[Floor % w/ No Philadelphia]]*$H$70</f>
        <v>49208.855485132437</v>
      </c>
      <c r="I17" s="7">
        <f>Table5[[#This Row],[Floor % w/ No Philadelphia]]*$I$70</f>
        <v>47963.762459342077</v>
      </c>
      <c r="J17" s="7">
        <f>Table5[[#This Row],[Floor % w/ No Philadelphia]]*$J$70</f>
        <v>52159.408042293006</v>
      </c>
      <c r="K17" s="7">
        <f>Table5[[#This Row],[Floor % w/ No Philadelphia]]*$K$70</f>
        <v>52139.647666685109</v>
      </c>
      <c r="L17" s="7">
        <f>Table5[[#This Row],[Floor % w/ No Philadelphia]]*$L$70</f>
        <v>52139.647710579993</v>
      </c>
      <c r="M17" s="7">
        <f>Table5[[#This Row],[Floor % w/ No Philadelphia]]*$M$70</f>
        <v>25219.974420011462</v>
      </c>
      <c r="N17" s="7">
        <f>Table5[[#This Row],[Floor % w/ No Philadelphia]]*$N$70</f>
        <v>25219.974420011462</v>
      </c>
      <c r="O17" s="7">
        <f>Table5[[#This Row],[Floor % w/ No Philadelphia]]*$O$70</f>
        <v>25219.974420011462</v>
      </c>
      <c r="P17" s="7">
        <f>Table5[[#This Row],[Floor % w/ No Philadelphia]]*$P$70</f>
        <v>25219.974420011462</v>
      </c>
      <c r="Q17" s="7">
        <f>Table5[[#This Row],[Floor % w/ No Philadelphia]]*$Q$70</f>
        <v>25219.974420011462</v>
      </c>
      <c r="R17" s="7">
        <f>SUM(Table5[[#This Row],[Payment 1]:[Payment 15]])</f>
        <v>547371.61825891153</v>
      </c>
    </row>
    <row r="18" spans="1:18" x14ac:dyDescent="0.3">
      <c r="A18" t="s">
        <v>42</v>
      </c>
      <c r="B18">
        <v>7.0449085952209878E-3</v>
      </c>
      <c r="C18" s="7">
        <f>Table5[[#This Row],[Floor % w/ No Philadelphia]]*$C$70</f>
        <v>-2141.5930595400191</v>
      </c>
      <c r="D18" s="7">
        <f>Table5[[#This Row],[Floor % w/ No Philadelphia]]*$D$70</f>
        <v>107823.38515759038</v>
      </c>
      <c r="E18" s="7">
        <f>Table5[[#This Row],[Floor % w/ No Philadelphia]]*$E$70</f>
        <v>80005.292006597025</v>
      </c>
      <c r="F18" s="7">
        <f>Table5[[#This Row],[Floor % w/ No Philadelphia]]*$F$70</f>
        <v>80005.292006597025</v>
      </c>
      <c r="G18" s="7">
        <f>Table5[[#This Row],[Floor % w/ No Philadelphia]]*$G$70</f>
        <v>80005.292006597025</v>
      </c>
      <c r="H18" s="7">
        <f>Table5[[#This Row],[Floor % w/ No Philadelphia]]*$H$70</f>
        <v>101463.33944206699</v>
      </c>
      <c r="I18" s="7">
        <f>Table5[[#This Row],[Floor % w/ No Philadelphia]]*$I$70</f>
        <v>98896.092245048028</v>
      </c>
      <c r="J18" s="7">
        <f>Table5[[#This Row],[Floor % w/ No Philadelphia]]*$J$70</f>
        <v>107547.05979478464</v>
      </c>
      <c r="K18" s="7">
        <f>Table5[[#This Row],[Floor % w/ No Philadelphia]]*$K$70</f>
        <v>107506.31603681587</v>
      </c>
      <c r="L18" s="7">
        <f>Table5[[#This Row],[Floor % w/ No Philadelphia]]*$L$70</f>
        <v>107506.31612732237</v>
      </c>
      <c r="M18" s="7">
        <f>Table5[[#This Row],[Floor % w/ No Philadelphia]]*$M$70</f>
        <v>52000.860415682611</v>
      </c>
      <c r="N18" s="7">
        <f>Table5[[#This Row],[Floor % w/ No Philadelphia]]*$N$70</f>
        <v>52000.860415682611</v>
      </c>
      <c r="O18" s="7">
        <f>Table5[[#This Row],[Floor % w/ No Philadelphia]]*$O$70</f>
        <v>52000.860415682611</v>
      </c>
      <c r="P18" s="7">
        <f>Table5[[#This Row],[Floor % w/ No Philadelphia]]*$P$70</f>
        <v>52000.860415682611</v>
      </c>
      <c r="Q18" s="7">
        <f>Table5[[#This Row],[Floor % w/ No Philadelphia]]*$Q$70</f>
        <v>52000.860415682611</v>
      </c>
      <c r="R18" s="7">
        <f>SUM(Table5[[#This Row],[Payment 1]:[Payment 15]])</f>
        <v>1128621.0938422927</v>
      </c>
    </row>
    <row r="19" spans="1:18" x14ac:dyDescent="0.3">
      <c r="A19" t="s">
        <v>43</v>
      </c>
      <c r="B19">
        <v>3.4339651611958516E-3</v>
      </c>
      <c r="C19" s="7">
        <f>Table5[[#This Row],[Floor % w/ No Philadelphia]]*$C$70</f>
        <v>-1043.8965753094444</v>
      </c>
      <c r="D19" s="7">
        <f>Table5[[#This Row],[Floor % w/ No Philadelphia]]*$D$70</f>
        <v>52557.353042811585</v>
      </c>
      <c r="E19" s="7">
        <f>Table5[[#This Row],[Floor % w/ No Philadelphia]]*$E$70</f>
        <v>38997.721794194142</v>
      </c>
      <c r="F19" s="7">
        <f>Table5[[#This Row],[Floor % w/ No Philadelphia]]*$F$70</f>
        <v>38997.721794194142</v>
      </c>
      <c r="G19" s="7">
        <f>Table5[[#This Row],[Floor % w/ No Philadelphia]]*$G$70</f>
        <v>38997.721794194142</v>
      </c>
      <c r="H19" s="7">
        <f>Table5[[#This Row],[Floor % w/ No Philadelphia]]*$H$70</f>
        <v>49457.21694941559</v>
      </c>
      <c r="I19" s="7">
        <f>Table5[[#This Row],[Floor % w/ No Philadelphia]]*$I$70</f>
        <v>48205.839828536948</v>
      </c>
      <c r="J19" s="7">
        <f>Table5[[#This Row],[Floor % w/ No Philadelphia]]*$J$70</f>
        <v>52422.661207395373</v>
      </c>
      <c r="K19" s="7">
        <f>Table5[[#This Row],[Floor % w/ No Philadelphia]]*$K$70</f>
        <v>52402.801099416705</v>
      </c>
      <c r="L19" s="7">
        <f>Table5[[#This Row],[Floor % w/ No Philadelphia]]*$L$70</f>
        <v>52402.801143533128</v>
      </c>
      <c r="M19" s="7">
        <f>Table5[[#This Row],[Floor % w/ No Philadelphia]]*$M$70</f>
        <v>25347.261870905946</v>
      </c>
      <c r="N19" s="7">
        <f>Table5[[#This Row],[Floor % w/ No Philadelphia]]*$N$70</f>
        <v>25347.261870905946</v>
      </c>
      <c r="O19" s="7">
        <f>Table5[[#This Row],[Floor % w/ No Philadelphia]]*$O$70</f>
        <v>25347.261870905946</v>
      </c>
      <c r="P19" s="7">
        <f>Table5[[#This Row],[Floor % w/ No Philadelphia]]*$P$70</f>
        <v>25347.261870905946</v>
      </c>
      <c r="Q19" s="7">
        <f>Table5[[#This Row],[Floor % w/ No Philadelphia]]*$Q$70</f>
        <v>25347.261870905946</v>
      </c>
      <c r="R19" s="7">
        <f>SUM(Table5[[#This Row],[Payment 1]:[Payment 15]])</f>
        <v>550134.25143291207</v>
      </c>
    </row>
    <row r="20" spans="1:18" x14ac:dyDescent="0.3">
      <c r="A20" t="s">
        <v>44</v>
      </c>
      <c r="B20">
        <v>5.7745939307291185E-3</v>
      </c>
      <c r="C20" s="7">
        <f>Table5[[#This Row],[Floor % w/ No Philadelphia]]*$C$70</f>
        <v>-1755.4280678816201</v>
      </c>
      <c r="D20" s="7">
        <f>Table5[[#This Row],[Floor % w/ No Philadelphia]]*$D$70</f>
        <v>88381.028242731714</v>
      </c>
      <c r="E20" s="7">
        <f>Table5[[#This Row],[Floor % w/ No Philadelphia]]*$E$70</f>
        <v>65579.001828484892</v>
      </c>
      <c r="F20" s="7">
        <f>Table5[[#This Row],[Floor % w/ No Philadelphia]]*$F$70</f>
        <v>65579.001828484892</v>
      </c>
      <c r="G20" s="7">
        <f>Table5[[#This Row],[Floor % w/ No Philadelphia]]*$G$70</f>
        <v>65579.001828484892</v>
      </c>
      <c r="H20" s="7">
        <f>Table5[[#This Row],[Floor % w/ No Philadelphia]]*$H$70</f>
        <v>83167.804977786145</v>
      </c>
      <c r="I20" s="7">
        <f>Table5[[#This Row],[Floor % w/ No Philadelphia]]*$I$70</f>
        <v>81063.475321522943</v>
      </c>
      <c r="J20" s="7">
        <f>Table5[[#This Row],[Floor % w/ No Philadelphia]]*$J$70</f>
        <v>88154.528957269446</v>
      </c>
      <c r="K20" s="7">
        <f>Table5[[#This Row],[Floor % w/ No Philadelphia]]*$K$70</f>
        <v>88121.131979253129</v>
      </c>
      <c r="L20" s="7">
        <f>Table5[[#This Row],[Floor % w/ No Philadelphia]]*$L$70</f>
        <v>88121.132053439796</v>
      </c>
      <c r="M20" s="7">
        <f>Table5[[#This Row],[Floor % w/ No Philadelphia]]*$M$70</f>
        <v>42624.236906749175</v>
      </c>
      <c r="N20" s="7">
        <f>Table5[[#This Row],[Floor % w/ No Philadelphia]]*$N$70</f>
        <v>42624.236906749175</v>
      </c>
      <c r="O20" s="7">
        <f>Table5[[#This Row],[Floor % w/ No Philadelphia]]*$O$70</f>
        <v>42624.236906749175</v>
      </c>
      <c r="P20" s="7">
        <f>Table5[[#This Row],[Floor % w/ No Philadelphia]]*$P$70</f>
        <v>42624.236906749175</v>
      </c>
      <c r="Q20" s="7">
        <f>Table5[[#This Row],[Floor % w/ No Philadelphia]]*$Q$70</f>
        <v>42624.236906749175</v>
      </c>
      <c r="R20" s="7">
        <f>SUM(Table5[[#This Row],[Payment 1]:[Payment 15]])</f>
        <v>925111.86348332209</v>
      </c>
    </row>
    <row r="21" spans="1:18" x14ac:dyDescent="0.3">
      <c r="A21" t="s">
        <v>45</v>
      </c>
      <c r="B21">
        <v>7.5225988203262506E-3</v>
      </c>
      <c r="C21" s="7">
        <f>Table5[[#This Row],[Floor % w/ No Philadelphia]]*$C$70</f>
        <v>-2286.8068769896195</v>
      </c>
      <c r="D21" s="7">
        <f>Table5[[#This Row],[Floor % w/ No Philadelphia]]*$D$70</f>
        <v>115134.50586715939</v>
      </c>
      <c r="E21" s="7">
        <f>Table5[[#This Row],[Floor % w/ No Philadelphia]]*$E$70</f>
        <v>85430.166642184093</v>
      </c>
      <c r="F21" s="7">
        <f>Table5[[#This Row],[Floor % w/ No Philadelphia]]*$F$70</f>
        <v>85430.166642184093</v>
      </c>
      <c r="G21" s="7">
        <f>Table5[[#This Row],[Floor % w/ No Philadelphia]]*$G$70</f>
        <v>85430.166642184093</v>
      </c>
      <c r="H21" s="7">
        <f>Table5[[#This Row],[Floor % w/ No Philadelphia]]*$H$70</f>
        <v>108343.20804545692</v>
      </c>
      <c r="I21" s="7">
        <f>Table5[[#This Row],[Floor % w/ No Philadelphia]]*$I$70</f>
        <v>105601.88493604404</v>
      </c>
      <c r="J21" s="7">
        <f>Table5[[#This Row],[Floor % w/ No Philadelphia]]*$J$70</f>
        <v>114839.44386313582</v>
      </c>
      <c r="K21" s="7">
        <f>Table5[[#This Row],[Floor % w/ No Philadelphia]]*$K$70</f>
        <v>114795.93741567965</v>
      </c>
      <c r="L21" s="7">
        <f>Table5[[#This Row],[Floor % w/ No Philadelphia]]*$L$70</f>
        <v>114795.93751232307</v>
      </c>
      <c r="M21" s="7">
        <f>Table5[[#This Row],[Floor % w/ No Philadelphia]]*$M$70</f>
        <v>55526.854029636037</v>
      </c>
      <c r="N21" s="7">
        <f>Table5[[#This Row],[Floor % w/ No Philadelphia]]*$N$70</f>
        <v>55526.854029636037</v>
      </c>
      <c r="O21" s="7">
        <f>Table5[[#This Row],[Floor % w/ No Philadelphia]]*$O$70</f>
        <v>55526.854029636037</v>
      </c>
      <c r="P21" s="7">
        <f>Table5[[#This Row],[Floor % w/ No Philadelphia]]*$P$70</f>
        <v>55526.854029636037</v>
      </c>
      <c r="Q21" s="7">
        <f>Table5[[#This Row],[Floor % w/ No Philadelphia]]*$Q$70</f>
        <v>55526.854029636037</v>
      </c>
      <c r="R21" s="7">
        <f>SUM(Table5[[#This Row],[Payment 1]:[Payment 15]])</f>
        <v>1205148.880837542</v>
      </c>
    </row>
    <row r="22" spans="1:18" x14ac:dyDescent="0.3">
      <c r="A22" t="s">
        <v>46</v>
      </c>
      <c r="B22">
        <v>2.252184077687391E-2</v>
      </c>
      <c r="C22" s="7">
        <f>Table5[[#This Row],[Floor % w/ No Philadelphia]]*$C$70</f>
        <v>-6846.4504888733154</v>
      </c>
      <c r="D22" s="7">
        <f>Table5[[#This Row],[Floor % w/ No Philadelphia]]*$D$70</f>
        <v>344700.15894743142</v>
      </c>
      <c r="E22" s="7">
        <f>Table5[[#This Row],[Floor % w/ No Philadelphia]]*$E$70</f>
        <v>255768.60558591245</v>
      </c>
      <c r="F22" s="7">
        <f>Table5[[#This Row],[Floor % w/ No Philadelphia]]*$F$70</f>
        <v>255768.60558591245</v>
      </c>
      <c r="G22" s="7">
        <f>Table5[[#This Row],[Floor % w/ No Philadelphia]]*$G$70</f>
        <v>255768.60558591245</v>
      </c>
      <c r="H22" s="7">
        <f>Table5[[#This Row],[Floor % w/ No Philadelphia]]*$H$70</f>
        <v>324367.75363619352</v>
      </c>
      <c r="I22" s="7">
        <f>Table5[[#This Row],[Floor % w/ No Philadelphia]]*$I$70</f>
        <v>316160.53109744267</v>
      </c>
      <c r="J22" s="7">
        <f>Table5[[#This Row],[Floor % w/ No Philadelphia]]*$J$70</f>
        <v>343816.77547416044</v>
      </c>
      <c r="K22" s="7">
        <f>Table5[[#This Row],[Floor % w/ No Philadelphia]]*$K$70</f>
        <v>343686.52191341919</v>
      </c>
      <c r="L22" s="7">
        <f>Table5[[#This Row],[Floor % w/ No Philadelphia]]*$L$70</f>
        <v>343686.52220275905</v>
      </c>
      <c r="M22" s="7">
        <f>Table5[[#This Row],[Floor % w/ No Philadelphia]]*$M$70</f>
        <v>166241.34759348311</v>
      </c>
      <c r="N22" s="7">
        <f>Table5[[#This Row],[Floor % w/ No Philadelphia]]*$N$70</f>
        <v>166241.34759348311</v>
      </c>
      <c r="O22" s="7">
        <f>Table5[[#This Row],[Floor % w/ No Philadelphia]]*$O$70</f>
        <v>166241.34759348311</v>
      </c>
      <c r="P22" s="7">
        <f>Table5[[#This Row],[Floor % w/ No Philadelphia]]*$P$70</f>
        <v>166241.34759348311</v>
      </c>
      <c r="Q22" s="7">
        <f>Table5[[#This Row],[Floor % w/ No Philadelphia]]*$Q$70</f>
        <v>166241.34759348311</v>
      </c>
      <c r="R22" s="7">
        <f>SUM(Table5[[#This Row],[Payment 1]:[Payment 15]])</f>
        <v>3608084.3675076854</v>
      </c>
    </row>
    <row r="23" spans="1:18" x14ac:dyDescent="0.3">
      <c r="A23" t="s">
        <v>47</v>
      </c>
      <c r="B23">
        <v>2.4737758086447615E-2</v>
      </c>
      <c r="C23" s="7">
        <f>Table5[[#This Row],[Floor % w/ No Philadelphia]]*$C$70</f>
        <v>-7520.0707447722889</v>
      </c>
      <c r="D23" s="7">
        <f>Table5[[#This Row],[Floor % w/ No Philadelphia]]*$D$70</f>
        <v>378615.10650397133</v>
      </c>
      <c r="E23" s="7">
        <f>Table5[[#This Row],[Floor % w/ No Philadelphia]]*$E$70</f>
        <v>280933.60368612641</v>
      </c>
      <c r="F23" s="7">
        <f>Table5[[#This Row],[Floor % w/ No Philadelphia]]*$F$70</f>
        <v>280933.60368612641</v>
      </c>
      <c r="G23" s="7">
        <f>Table5[[#This Row],[Floor % w/ No Philadelphia]]*$G$70</f>
        <v>280933.60368612641</v>
      </c>
      <c r="H23" s="7">
        <f>Table5[[#This Row],[Floor % w/ No Philadelphia]]*$H$70</f>
        <v>356282.20179657819</v>
      </c>
      <c r="I23" s="7">
        <f>Table5[[#This Row],[Floor % w/ No Philadelphia]]*$I$70</f>
        <v>347267.4730389833</v>
      </c>
      <c r="J23" s="7">
        <f>Table5[[#This Row],[Floor % w/ No Philadelphia]]*$J$70</f>
        <v>377644.8071898148</v>
      </c>
      <c r="K23" s="7">
        <f>Table5[[#This Row],[Floor % w/ No Philadelphia]]*$K$70</f>
        <v>377501.73801942868</v>
      </c>
      <c r="L23" s="7">
        <f>Table5[[#This Row],[Floor % w/ No Philadelphia]]*$L$70</f>
        <v>377501.73833723663</v>
      </c>
      <c r="M23" s="7">
        <f>Table5[[#This Row],[Floor % w/ No Philadelphia]]*$M$70</f>
        <v>182597.78503342447</v>
      </c>
      <c r="N23" s="7">
        <f>Table5[[#This Row],[Floor % w/ No Philadelphia]]*$N$70</f>
        <v>182597.78503342447</v>
      </c>
      <c r="O23" s="7">
        <f>Table5[[#This Row],[Floor % w/ No Philadelphia]]*$O$70</f>
        <v>182597.78503342447</v>
      </c>
      <c r="P23" s="7">
        <f>Table5[[#This Row],[Floor % w/ No Philadelphia]]*$P$70</f>
        <v>182597.78503342447</v>
      </c>
      <c r="Q23" s="7">
        <f>Table5[[#This Row],[Floor % w/ No Philadelphia]]*$Q$70</f>
        <v>182597.78503342447</v>
      </c>
      <c r="R23" s="7">
        <f>SUM(Table5[[#This Row],[Payment 1]:[Payment 15]])</f>
        <v>3963082.7303667418</v>
      </c>
    </row>
    <row r="24" spans="1:18" x14ac:dyDescent="0.3">
      <c r="A24" t="s">
        <v>48</v>
      </c>
      <c r="B24">
        <v>5.0377652029723163E-2</v>
      </c>
      <c r="C24" s="7">
        <f>Table5[[#This Row],[Floor % w/ No Philadelphia]]*$C$70</f>
        <v>-15314.383215129988</v>
      </c>
      <c r="D24" s="7">
        <f>Table5[[#This Row],[Floor % w/ No Philadelphia]]*$D$70</f>
        <v>771037.537920748</v>
      </c>
      <c r="E24" s="7">
        <f>Table5[[#This Row],[Floor % w/ No Philadelphia]]*$E$70</f>
        <v>572112.28602438769</v>
      </c>
      <c r="F24" s="7">
        <f>Table5[[#This Row],[Floor % w/ No Philadelphia]]*$F$70</f>
        <v>572112.28602438769</v>
      </c>
      <c r="G24" s="7">
        <f>Table5[[#This Row],[Floor % w/ No Philadelphia]]*$G$70</f>
        <v>572112.28602438769</v>
      </c>
      <c r="H24" s="7">
        <f>Table5[[#This Row],[Floor % w/ No Philadelphia]]*$H$70</f>
        <v>725557.2927736186</v>
      </c>
      <c r="I24" s="7">
        <f>Table5[[#This Row],[Floor % w/ No Philadelphia]]*$I$70</f>
        <v>707199.08638703218</v>
      </c>
      <c r="J24" s="7">
        <f>Table5[[#This Row],[Floor % w/ No Philadelphia]]*$J$70</f>
        <v>769061.55444470141</v>
      </c>
      <c r="K24" s="7">
        <f>Table5[[#This Row],[Floor % w/ No Philadelphia]]*$K$70</f>
        <v>768770.19866150129</v>
      </c>
      <c r="L24" s="7">
        <f>Table5[[#This Row],[Floor % w/ No Philadelphia]]*$L$70</f>
        <v>768770.19930870703</v>
      </c>
      <c r="M24" s="7">
        <f>Table5[[#This Row],[Floor % w/ No Philadelphia]]*$M$70</f>
        <v>371854.54088709701</v>
      </c>
      <c r="N24" s="7">
        <f>Table5[[#This Row],[Floor % w/ No Philadelphia]]*$N$70</f>
        <v>371854.54088709701</v>
      </c>
      <c r="O24" s="7">
        <f>Table5[[#This Row],[Floor % w/ No Philadelphia]]*$O$70</f>
        <v>371854.54088709701</v>
      </c>
      <c r="P24" s="7">
        <f>Table5[[#This Row],[Floor % w/ No Philadelphia]]*$P$70</f>
        <v>371854.54088709701</v>
      </c>
      <c r="Q24" s="7">
        <f>Table5[[#This Row],[Floor % w/ No Philadelphia]]*$Q$70</f>
        <v>371854.54088709701</v>
      </c>
      <c r="R24" s="7">
        <f>SUM(Table5[[#This Row],[Payment 1]:[Payment 15]])</f>
        <v>8070691.0487898272</v>
      </c>
    </row>
    <row r="25" spans="1:18" x14ac:dyDescent="0.3">
      <c r="A25" t="s">
        <v>49</v>
      </c>
      <c r="B25">
        <v>2.6586741036282854E-3</v>
      </c>
      <c r="C25" s="7">
        <f>Table5[[#This Row],[Floor % w/ No Philadelphia]]*$C$70</f>
        <v>-808.21460363184622</v>
      </c>
      <c r="D25" s="7">
        <f>Table5[[#This Row],[Floor % w/ No Philadelphia]]*$D$70</f>
        <v>40691.40685210433</v>
      </c>
      <c r="E25" s="7">
        <f>Table5[[#This Row],[Floor % w/ No Philadelphia]]*$E$70</f>
        <v>30193.15227956996</v>
      </c>
      <c r="F25" s="7">
        <f>Table5[[#This Row],[Floor % w/ No Philadelphia]]*$F$70</f>
        <v>30193.15227956996</v>
      </c>
      <c r="G25" s="7">
        <f>Table5[[#This Row],[Floor % w/ No Philadelphia]]*$G$70</f>
        <v>30193.15227956996</v>
      </c>
      <c r="H25" s="7">
        <f>Table5[[#This Row],[Floor % w/ No Philadelphia]]*$H$70</f>
        <v>38291.192766541215</v>
      </c>
      <c r="I25" s="7">
        <f>Table5[[#This Row],[Floor % w/ No Philadelphia]]*$I$70</f>
        <v>37322.340786693414</v>
      </c>
      <c r="J25" s="7">
        <f>Table5[[#This Row],[Floor % w/ No Philadelphia]]*$J$70</f>
        <v>40587.124578411567</v>
      </c>
      <c r="K25" s="7">
        <f>Table5[[#This Row],[Floor % w/ No Philadelphia]]*$K$70</f>
        <v>40571.748314442782</v>
      </c>
      <c r="L25" s="7">
        <f>Table5[[#This Row],[Floor % w/ No Philadelphia]]*$L$70</f>
        <v>40571.74834859898</v>
      </c>
      <c r="M25" s="7">
        <f>Table5[[#This Row],[Floor % w/ No Philadelphia]]*$M$70</f>
        <v>19624.575547701308</v>
      </c>
      <c r="N25" s="7">
        <f>Table5[[#This Row],[Floor % w/ No Philadelphia]]*$N$70</f>
        <v>19624.575547701308</v>
      </c>
      <c r="O25" s="7">
        <f>Table5[[#This Row],[Floor % w/ No Philadelphia]]*$O$70</f>
        <v>19624.575547701308</v>
      </c>
      <c r="P25" s="7">
        <f>Table5[[#This Row],[Floor % w/ No Philadelphia]]*$P$70</f>
        <v>19624.575547701308</v>
      </c>
      <c r="Q25" s="7">
        <f>Table5[[#This Row],[Floor % w/ No Philadelphia]]*$Q$70</f>
        <v>19624.575547701308</v>
      </c>
      <c r="R25" s="7">
        <f>SUM(Table5[[#This Row],[Payment 1]:[Payment 15]])</f>
        <v>425929.681620377</v>
      </c>
    </row>
    <row r="26" spans="1:18" x14ac:dyDescent="0.3">
      <c r="A26" t="s">
        <v>50</v>
      </c>
      <c r="B26">
        <v>2.3975889288647613E-2</v>
      </c>
      <c r="C26" s="7">
        <f>Table5[[#This Row],[Floor % w/ No Philadelphia]]*$C$70</f>
        <v>-7288.469027362441</v>
      </c>
      <c r="D26" s="7">
        <f>Table5[[#This Row],[Floor % w/ No Philadelphia]]*$D$70</f>
        <v>366954.59001686377</v>
      </c>
      <c r="E26" s="7">
        <f>Table5[[#This Row],[Floor % w/ No Philadelphia]]*$E$70</f>
        <v>272281.46365977416</v>
      </c>
      <c r="F26" s="7">
        <f>Table5[[#This Row],[Floor % w/ No Philadelphia]]*$F$70</f>
        <v>272281.46365977416</v>
      </c>
      <c r="G26" s="7">
        <f>Table5[[#This Row],[Floor % w/ No Philadelphia]]*$G$70</f>
        <v>272281.46365977416</v>
      </c>
      <c r="H26" s="7">
        <f>Table5[[#This Row],[Floor % w/ No Philadelphia]]*$H$70</f>
        <v>345309.48988744995</v>
      </c>
      <c r="I26" s="7">
        <f>Table5[[#This Row],[Floor % w/ No Philadelphia]]*$I$70</f>
        <v>336572.39504223474</v>
      </c>
      <c r="J26" s="7">
        <f>Table5[[#This Row],[Floor % w/ No Philadelphia]]*$J$70</f>
        <v>366014.17379758589</v>
      </c>
      <c r="K26" s="7">
        <f>Table5[[#This Row],[Floor % w/ No Philadelphia]]*$K$70</f>
        <v>365875.5108444675</v>
      </c>
      <c r="L26" s="7">
        <f>Table5[[#This Row],[Floor % w/ No Philadelphia]]*$L$70</f>
        <v>365875.51115248766</v>
      </c>
      <c r="M26" s="7">
        <f>Table5[[#This Row],[Floor % w/ No Philadelphia]]*$M$70</f>
        <v>176974.17296323561</v>
      </c>
      <c r="N26" s="7">
        <f>Table5[[#This Row],[Floor % w/ No Philadelphia]]*$N$70</f>
        <v>176974.17296323561</v>
      </c>
      <c r="O26" s="7">
        <f>Table5[[#This Row],[Floor % w/ No Philadelphia]]*$O$70</f>
        <v>176974.17296323561</v>
      </c>
      <c r="P26" s="7">
        <f>Table5[[#This Row],[Floor % w/ No Philadelphia]]*$P$70</f>
        <v>176974.17296323561</v>
      </c>
      <c r="Q26" s="7">
        <f>Table5[[#This Row],[Floor % w/ No Philadelphia]]*$Q$70</f>
        <v>176974.17296323561</v>
      </c>
      <c r="R26" s="7">
        <f>SUM(Table5[[#This Row],[Payment 1]:[Payment 15]])</f>
        <v>3841028.4575092276</v>
      </c>
    </row>
    <row r="27" spans="1:18" x14ac:dyDescent="0.3">
      <c r="A27" t="s">
        <v>51</v>
      </c>
      <c r="B27">
        <v>1.1491054365511299E-2</v>
      </c>
      <c r="C27" s="7">
        <f>Table5[[#This Row],[Floor % w/ No Philadelphia]]*$C$70</f>
        <v>-3493.1840411201365</v>
      </c>
      <c r="D27" s="7">
        <f>Table5[[#This Row],[Floor % w/ No Philadelphia]]*$D$70</f>
        <v>175872.31459040238</v>
      </c>
      <c r="E27" s="7">
        <f>Table5[[#This Row],[Floor % w/ No Philadelphia]]*$E$70</f>
        <v>130497.81236339442</v>
      </c>
      <c r="F27" s="7">
        <f>Table5[[#This Row],[Floor % w/ No Philadelphia]]*$F$70</f>
        <v>130497.81236339442</v>
      </c>
      <c r="G27" s="7">
        <f>Table5[[#This Row],[Floor % w/ No Philadelphia]]*$G$70</f>
        <v>130497.81236339442</v>
      </c>
      <c r="H27" s="7">
        <f>Table5[[#This Row],[Floor % w/ No Philadelphia]]*$H$70</f>
        <v>165498.3501739167</v>
      </c>
      <c r="I27" s="7">
        <f>Table5[[#This Row],[Floor % w/ No Philadelphia]]*$I$70</f>
        <v>161310.87538813122</v>
      </c>
      <c r="J27" s="7">
        <f>Table5[[#This Row],[Floor % w/ No Philadelphia]]*$J$70</f>
        <v>175421.59621362676</v>
      </c>
      <c r="K27" s="7">
        <f>Table5[[#This Row],[Floor % w/ No Philadelphia]]*$K$70</f>
        <v>175355.13846878221</v>
      </c>
      <c r="L27" s="7">
        <f>Table5[[#This Row],[Floor % w/ No Philadelphia]]*$L$70</f>
        <v>175355.13861640872</v>
      </c>
      <c r="M27" s="7">
        <f>Table5[[#This Row],[Floor % w/ No Philadelphia]]*$M$70</f>
        <v>84819.370757390119</v>
      </c>
      <c r="N27" s="7">
        <f>Table5[[#This Row],[Floor % w/ No Philadelphia]]*$N$70</f>
        <v>84819.370757390119</v>
      </c>
      <c r="O27" s="7">
        <f>Table5[[#This Row],[Floor % w/ No Philadelphia]]*$O$70</f>
        <v>84819.370757390119</v>
      </c>
      <c r="P27" s="7">
        <f>Table5[[#This Row],[Floor % w/ No Philadelphia]]*$P$70</f>
        <v>84819.370757390119</v>
      </c>
      <c r="Q27" s="7">
        <f>Table5[[#This Row],[Floor % w/ No Philadelphia]]*$Q$70</f>
        <v>84819.370757390119</v>
      </c>
      <c r="R27" s="7">
        <f>SUM(Table5[[#This Row],[Payment 1]:[Payment 15]])</f>
        <v>1840910.5202872811</v>
      </c>
    </row>
    <row r="28" spans="1:18" x14ac:dyDescent="0.3">
      <c r="A28" t="s">
        <v>52</v>
      </c>
      <c r="B28">
        <v>1.4285890000000001E-3</v>
      </c>
      <c r="C28" s="7">
        <f>Table5[[#This Row],[Floor % w/ No Philadelphia]]*$C$70</f>
        <v>-434.2790606837172</v>
      </c>
      <c r="D28" s="7">
        <f>Table5[[#This Row],[Floor % w/ No Philadelphia]]*$D$70</f>
        <v>21864.769414238945</v>
      </c>
      <c r="E28" s="7">
        <f>Table5[[#This Row],[Floor % w/ No Philadelphia]]*$E$70</f>
        <v>16223.727896192413</v>
      </c>
      <c r="F28" s="7">
        <f>Table5[[#This Row],[Floor % w/ No Philadelphia]]*$F$70</f>
        <v>16223.727896192413</v>
      </c>
      <c r="G28" s="7">
        <f>Table5[[#This Row],[Floor % w/ No Philadelphia]]*$G$70</f>
        <v>16223.727896192413</v>
      </c>
      <c r="H28" s="7">
        <f>Table5[[#This Row],[Floor % w/ No Philadelphia]]*$H$70</f>
        <v>20575.059089983297</v>
      </c>
      <c r="I28" s="7">
        <f>Table5[[#This Row],[Floor % w/ No Philadelphia]]*$I$70</f>
        <v>20054.46452777279</v>
      </c>
      <c r="J28" s="7">
        <f>Table5[[#This Row],[Floor % w/ No Philadelphia]]*$J$70</f>
        <v>21808.735277189517</v>
      </c>
      <c r="K28" s="7">
        <f>Table5[[#This Row],[Floor % w/ No Philadelphia]]*$K$70</f>
        <v>21800.473128196936</v>
      </c>
      <c r="L28" s="7">
        <f>Table5[[#This Row],[Floor % w/ No Philadelphia]]*$L$70</f>
        <v>21800.473146550132</v>
      </c>
      <c r="M28" s="7">
        <f>Table5[[#This Row],[Floor % w/ No Philadelphia]]*$M$70</f>
        <v>10544.900075889391</v>
      </c>
      <c r="N28" s="7">
        <f>Table5[[#This Row],[Floor % w/ No Philadelphia]]*$N$70</f>
        <v>10544.900075889391</v>
      </c>
      <c r="O28" s="7">
        <f>Table5[[#This Row],[Floor % w/ No Philadelphia]]*$O$70</f>
        <v>10544.900075889391</v>
      </c>
      <c r="P28" s="7">
        <f>Table5[[#This Row],[Floor % w/ No Philadelphia]]*$P$70</f>
        <v>10544.900075889391</v>
      </c>
      <c r="Q28" s="7">
        <f>Table5[[#This Row],[Floor % w/ No Philadelphia]]*$Q$70</f>
        <v>10544.900075889391</v>
      </c>
      <c r="R28" s="7">
        <f>SUM(Table5[[#This Row],[Payment 1]:[Payment 15]])</f>
        <v>228865.37959127213</v>
      </c>
    </row>
    <row r="29" spans="1:18" x14ac:dyDescent="0.3">
      <c r="A29" t="s">
        <v>53</v>
      </c>
      <c r="B29">
        <v>1.3780216324412644E-2</v>
      </c>
      <c r="C29" s="7">
        <f>Table5[[#This Row],[Floor % w/ No Philadelphia]]*$C$70</f>
        <v>-4189.0700554073628</v>
      </c>
      <c r="D29" s="7">
        <f>Table5[[#This Row],[Floor % w/ No Philadelphia]]*$D$70</f>
        <v>210908.28251625469</v>
      </c>
      <c r="E29" s="7">
        <f>Table5[[#This Row],[Floor % w/ No Philadelphia]]*$E$70</f>
        <v>156494.61111484093</v>
      </c>
      <c r="F29" s="7">
        <f>Table5[[#This Row],[Floor % w/ No Philadelphia]]*$F$70</f>
        <v>156494.61111484093</v>
      </c>
      <c r="G29" s="7">
        <f>Table5[[#This Row],[Floor % w/ No Philadelphia]]*$G$70</f>
        <v>156494.61111484093</v>
      </c>
      <c r="H29" s="7">
        <f>Table5[[#This Row],[Floor % w/ No Philadelphia]]*$H$70</f>
        <v>198467.69445063808</v>
      </c>
      <c r="I29" s="7">
        <f>Table5[[#This Row],[Floor % w/ No Philadelphia]]*$I$70</f>
        <v>193446.02223800469</v>
      </c>
      <c r="J29" s="7">
        <f>Table5[[#This Row],[Floor % w/ No Philadelphia]]*$J$70</f>
        <v>210367.77539342729</v>
      </c>
      <c r="K29" s="7">
        <f>Table5[[#This Row],[Floor % w/ No Philadelphia]]*$K$70</f>
        <v>210288.07843340427</v>
      </c>
      <c r="L29" s="7">
        <f>Table5[[#This Row],[Floor % w/ No Philadelphia]]*$L$70</f>
        <v>210288.07861043978</v>
      </c>
      <c r="M29" s="7">
        <f>Table5[[#This Row],[Floor % w/ No Philadelphia]]*$M$70</f>
        <v>101716.45180319258</v>
      </c>
      <c r="N29" s="7">
        <f>Table5[[#This Row],[Floor % w/ No Philadelphia]]*$N$70</f>
        <v>101716.45180319258</v>
      </c>
      <c r="O29" s="7">
        <f>Table5[[#This Row],[Floor % w/ No Philadelphia]]*$O$70</f>
        <v>101716.45180319258</v>
      </c>
      <c r="P29" s="7">
        <f>Table5[[#This Row],[Floor % w/ No Philadelphia]]*$P$70</f>
        <v>101716.45180319258</v>
      </c>
      <c r="Q29" s="7">
        <f>Table5[[#This Row],[Floor % w/ No Philadelphia]]*$Q$70</f>
        <v>101716.45180319258</v>
      </c>
      <c r="R29" s="7">
        <f>SUM(Table5[[#This Row],[Payment 1]:[Payment 15]])</f>
        <v>2207642.953947247</v>
      </c>
    </row>
    <row r="30" spans="1:18" x14ac:dyDescent="0.3">
      <c r="A30" t="s">
        <v>54</v>
      </c>
      <c r="B30">
        <v>1.4285890000000001E-3</v>
      </c>
      <c r="C30" s="7">
        <f>Table5[[#This Row],[Floor % w/ No Philadelphia]]*$C$70</f>
        <v>-434.2790606837172</v>
      </c>
      <c r="D30" s="7">
        <f>Table5[[#This Row],[Floor % w/ No Philadelphia]]*$D$70</f>
        <v>21864.769414238945</v>
      </c>
      <c r="E30" s="7">
        <f>Table5[[#This Row],[Floor % w/ No Philadelphia]]*$E$70</f>
        <v>16223.727896192413</v>
      </c>
      <c r="F30" s="7">
        <f>Table5[[#This Row],[Floor % w/ No Philadelphia]]*$F$70</f>
        <v>16223.727896192413</v>
      </c>
      <c r="G30" s="7">
        <f>Table5[[#This Row],[Floor % w/ No Philadelphia]]*$G$70</f>
        <v>16223.727896192413</v>
      </c>
      <c r="H30" s="7">
        <f>Table5[[#This Row],[Floor % w/ No Philadelphia]]*$H$70</f>
        <v>20575.059089983297</v>
      </c>
      <c r="I30" s="7">
        <f>Table5[[#This Row],[Floor % w/ No Philadelphia]]*$I$70</f>
        <v>20054.46452777279</v>
      </c>
      <c r="J30" s="7">
        <f>Table5[[#This Row],[Floor % w/ No Philadelphia]]*$J$70</f>
        <v>21808.735277189517</v>
      </c>
      <c r="K30" s="7">
        <f>Table5[[#This Row],[Floor % w/ No Philadelphia]]*$K$70</f>
        <v>21800.473128196936</v>
      </c>
      <c r="L30" s="7">
        <f>Table5[[#This Row],[Floor % w/ No Philadelphia]]*$L$70</f>
        <v>21800.473146550132</v>
      </c>
      <c r="M30" s="7">
        <f>Table5[[#This Row],[Floor % w/ No Philadelphia]]*$M$70</f>
        <v>10544.900075889391</v>
      </c>
      <c r="N30" s="7">
        <f>Table5[[#This Row],[Floor % w/ No Philadelphia]]*$N$70</f>
        <v>10544.900075889391</v>
      </c>
      <c r="O30" s="7">
        <f>Table5[[#This Row],[Floor % w/ No Philadelphia]]*$O$70</f>
        <v>10544.900075889391</v>
      </c>
      <c r="P30" s="7">
        <f>Table5[[#This Row],[Floor % w/ No Philadelphia]]*$P$70</f>
        <v>10544.900075889391</v>
      </c>
      <c r="Q30" s="7">
        <f>Table5[[#This Row],[Floor % w/ No Philadelphia]]*$Q$70</f>
        <v>10544.900075889391</v>
      </c>
      <c r="R30" s="7">
        <f>SUM(Table5[[#This Row],[Payment 1]:[Payment 15]])</f>
        <v>228865.37959127213</v>
      </c>
    </row>
    <row r="31" spans="1:18" x14ac:dyDescent="0.3">
      <c r="A31" t="s">
        <v>55</v>
      </c>
      <c r="B31">
        <v>3.2207201202528808E-3</v>
      </c>
      <c r="C31" s="7">
        <f>Table5[[#This Row],[Floor % w/ No Philadelphia]]*$C$70</f>
        <v>-979.07187339995608</v>
      </c>
      <c r="D31" s="7">
        <f>Table5[[#This Row],[Floor % w/ No Philadelphia]]*$D$70</f>
        <v>49293.605632641127</v>
      </c>
      <c r="E31" s="7">
        <f>Table5[[#This Row],[Floor % w/ No Philadelphia]]*$E$70</f>
        <v>36576.010917608102</v>
      </c>
      <c r="F31" s="7">
        <f>Table5[[#This Row],[Floor % w/ No Philadelphia]]*$F$70</f>
        <v>36576.010917608102</v>
      </c>
      <c r="G31" s="7">
        <f>Table5[[#This Row],[Floor % w/ No Philadelphia]]*$G$70</f>
        <v>36576.010917608102</v>
      </c>
      <c r="H31" s="7">
        <f>Table5[[#This Row],[Floor % w/ No Philadelphia]]*$H$70</f>
        <v>46385.984202945096</v>
      </c>
      <c r="I31" s="7">
        <f>Table5[[#This Row],[Floor % w/ No Philadelphia]]*$I$70</f>
        <v>45212.316072359165</v>
      </c>
      <c r="J31" s="7">
        <f>Table5[[#This Row],[Floor % w/ No Philadelphia]]*$J$70</f>
        <v>49167.277995639801</v>
      </c>
      <c r="K31" s="7">
        <f>Table5[[#This Row],[Floor % w/ No Philadelphia]]*$K$70</f>
        <v>49148.651176101819</v>
      </c>
      <c r="L31" s="7">
        <f>Table5[[#This Row],[Floor % w/ No Philadelphia]]*$L$70</f>
        <v>49148.651217478669</v>
      </c>
      <c r="M31" s="7">
        <f>Table5[[#This Row],[Floor % w/ No Philadelphia]]*$M$70</f>
        <v>23773.227877628266</v>
      </c>
      <c r="N31" s="7">
        <f>Table5[[#This Row],[Floor % w/ No Philadelphia]]*$N$70</f>
        <v>23773.227877628266</v>
      </c>
      <c r="O31" s="7">
        <f>Table5[[#This Row],[Floor % w/ No Philadelphia]]*$O$70</f>
        <v>23773.227877628266</v>
      </c>
      <c r="P31" s="7">
        <f>Table5[[#This Row],[Floor % w/ No Philadelphia]]*$P$70</f>
        <v>23773.227877628266</v>
      </c>
      <c r="Q31" s="7">
        <f>Table5[[#This Row],[Floor % w/ No Philadelphia]]*$Q$70</f>
        <v>23773.227877628266</v>
      </c>
      <c r="R31" s="7">
        <f>SUM(Table5[[#This Row],[Payment 1]:[Payment 15]])</f>
        <v>515971.58656473149</v>
      </c>
    </row>
    <row r="32" spans="1:18" x14ac:dyDescent="0.3">
      <c r="A32" t="s">
        <v>56</v>
      </c>
      <c r="B32">
        <v>4.0128112248142868E-3</v>
      </c>
      <c r="C32" s="7">
        <f>Table5[[#This Row],[Floor % w/ No Philadelphia]]*$C$70</f>
        <v>-1219.8609183001026</v>
      </c>
      <c r="D32" s="7">
        <f>Table5[[#This Row],[Floor % w/ No Philadelphia]]*$D$70</f>
        <v>61416.679068251353</v>
      </c>
      <c r="E32" s="7">
        <f>Table5[[#This Row],[Floor % w/ No Philadelphia]]*$E$70</f>
        <v>45571.3696592747</v>
      </c>
      <c r="F32" s="7">
        <f>Table5[[#This Row],[Floor % w/ No Philadelphia]]*$F$70</f>
        <v>45571.3696592747</v>
      </c>
      <c r="G32" s="7">
        <f>Table5[[#This Row],[Floor % w/ No Philadelphia]]*$G$70</f>
        <v>45571.3696592747</v>
      </c>
      <c r="H32" s="7">
        <f>Table5[[#This Row],[Floor % w/ No Philadelphia]]*$H$70</f>
        <v>57793.968781435527</v>
      </c>
      <c r="I32" s="7">
        <f>Table5[[#This Row],[Floor % w/ No Philadelphia]]*$I$70</f>
        <v>56331.653375944086</v>
      </c>
      <c r="J32" s="7">
        <f>Table5[[#This Row],[Floor % w/ No Philadelphia]]*$J$70</f>
        <v>61259.282914336742</v>
      </c>
      <c r="K32" s="7">
        <f>Table5[[#This Row],[Floor % w/ No Philadelphia]]*$K$70</f>
        <v>61236.075088840022</v>
      </c>
      <c r="L32" s="7">
        <f>Table5[[#This Row],[Floor % w/ No Philadelphia]]*$L$70</f>
        <v>61236.075140392924</v>
      </c>
      <c r="M32" s="7">
        <f>Table5[[#This Row],[Floor % w/ No Philadelphia]]*$M$70</f>
        <v>29619.921047322896</v>
      </c>
      <c r="N32" s="7">
        <f>Table5[[#This Row],[Floor % w/ No Philadelphia]]*$N$70</f>
        <v>29619.921047322896</v>
      </c>
      <c r="O32" s="7">
        <f>Table5[[#This Row],[Floor % w/ No Philadelphia]]*$O$70</f>
        <v>29619.921047322896</v>
      </c>
      <c r="P32" s="7">
        <f>Table5[[#This Row],[Floor % w/ No Philadelphia]]*$P$70</f>
        <v>29619.921047322896</v>
      </c>
      <c r="Q32" s="7">
        <f>Table5[[#This Row],[Floor % w/ No Philadelphia]]*$Q$70</f>
        <v>29619.921047322896</v>
      </c>
      <c r="R32" s="7">
        <f>SUM(Table5[[#This Row],[Payment 1]:[Payment 15]])</f>
        <v>642867.58766533923</v>
      </c>
    </row>
    <row r="33" spans="1:18" x14ac:dyDescent="0.3">
      <c r="A33" t="s">
        <v>57</v>
      </c>
      <c r="B33">
        <v>7.4731764598576006E-3</v>
      </c>
      <c r="C33" s="7">
        <f>Table5[[#This Row],[Floor % w/ No Philadelphia]]*$C$70</f>
        <v>-2271.7828943878371</v>
      </c>
      <c r="D33" s="7">
        <f>Table5[[#This Row],[Floor % w/ No Philadelphia]]*$D$70</f>
        <v>114378.08921019617</v>
      </c>
      <c r="E33" s="7">
        <f>Table5[[#This Row],[Floor % w/ No Philadelphia]]*$E$70</f>
        <v>84868.903095964066</v>
      </c>
      <c r="F33" s="7">
        <f>Table5[[#This Row],[Floor % w/ No Philadelphia]]*$F$70</f>
        <v>84868.903095964066</v>
      </c>
      <c r="G33" s="7">
        <f>Table5[[#This Row],[Floor % w/ No Philadelphia]]*$G$70</f>
        <v>84868.903095964066</v>
      </c>
      <c r="H33" s="7">
        <f>Table5[[#This Row],[Floor % w/ No Philadelphia]]*$H$70</f>
        <v>107631.40920967635</v>
      </c>
      <c r="I33" s="7">
        <f>Table5[[#This Row],[Floor % w/ No Philadelphia]]*$I$70</f>
        <v>104908.09618721751</v>
      </c>
      <c r="J33" s="7">
        <f>Table5[[#This Row],[Floor % w/ No Philadelphia]]*$J$70</f>
        <v>114084.96571985274</v>
      </c>
      <c r="K33" s="7">
        <f>Table5[[#This Row],[Floor % w/ No Philadelphia]]*$K$70</f>
        <v>114041.74510331488</v>
      </c>
      <c r="L33" s="7">
        <f>Table5[[#This Row],[Floor % w/ No Philadelphia]]*$L$70</f>
        <v>114041.74519932337</v>
      </c>
      <c r="M33" s="7">
        <f>Table5[[#This Row],[Floor % w/ No Philadelphia]]*$M$70</f>
        <v>55162.050819855962</v>
      </c>
      <c r="N33" s="7">
        <f>Table5[[#This Row],[Floor % w/ No Philadelphia]]*$N$70</f>
        <v>55162.050819855962</v>
      </c>
      <c r="O33" s="7">
        <f>Table5[[#This Row],[Floor % w/ No Philadelphia]]*$O$70</f>
        <v>55162.050819855962</v>
      </c>
      <c r="P33" s="7">
        <f>Table5[[#This Row],[Floor % w/ No Philadelphia]]*$P$70</f>
        <v>55162.050819855962</v>
      </c>
      <c r="Q33" s="7">
        <f>Table5[[#This Row],[Floor % w/ No Philadelphia]]*$Q$70</f>
        <v>55162.050819855962</v>
      </c>
      <c r="R33" s="7">
        <f>SUM(Table5[[#This Row],[Payment 1]:[Payment 15]])</f>
        <v>1197231.231122365</v>
      </c>
    </row>
    <row r="34" spans="1:18" x14ac:dyDescent="0.3">
      <c r="A34" t="s">
        <v>58</v>
      </c>
      <c r="B34">
        <v>3.8600107973941252E-3</v>
      </c>
      <c r="C34" s="7">
        <f>Table5[[#This Row],[Floor % w/ No Philadelphia]]*$C$70</f>
        <v>-1173.410871371211</v>
      </c>
      <c r="D34" s="7">
        <f>Table5[[#This Row],[Floor % w/ No Philadelphia]]*$D$70</f>
        <v>59078.045555086275</v>
      </c>
      <c r="E34" s="7">
        <f>Table5[[#This Row],[Floor % w/ No Philadelphia]]*$E$70</f>
        <v>43836.096213317469</v>
      </c>
      <c r="F34" s="7">
        <f>Table5[[#This Row],[Floor % w/ No Philadelphia]]*$F$70</f>
        <v>43836.096213317469</v>
      </c>
      <c r="G34" s="7">
        <f>Table5[[#This Row],[Floor % w/ No Philadelphia]]*$G$70</f>
        <v>43836.096213317469</v>
      </c>
      <c r="H34" s="7">
        <f>Table5[[#This Row],[Floor % w/ No Philadelphia]]*$H$70</f>
        <v>55593.281373689475</v>
      </c>
      <c r="I34" s="7">
        <f>Table5[[#This Row],[Floor % w/ No Philadelphia]]*$I$70</f>
        <v>54186.648233439038</v>
      </c>
      <c r="J34" s="7">
        <f>Table5[[#This Row],[Floor % w/ No Philadelphia]]*$J$70</f>
        <v>58926.642755517292</v>
      </c>
      <c r="K34" s="7">
        <f>Table5[[#This Row],[Floor % w/ No Philadelphia]]*$K$70</f>
        <v>58904.318641079168</v>
      </c>
      <c r="L34" s="7">
        <f>Table5[[#This Row],[Floor % w/ No Philadelphia]]*$L$70</f>
        <v>58904.318690669032</v>
      </c>
      <c r="M34" s="7">
        <f>Table5[[#This Row],[Floor % w/ No Philadelphia]]*$M$70</f>
        <v>28492.049253056812</v>
      </c>
      <c r="N34" s="7">
        <f>Table5[[#This Row],[Floor % w/ No Philadelphia]]*$N$70</f>
        <v>28492.049253056812</v>
      </c>
      <c r="O34" s="7">
        <f>Table5[[#This Row],[Floor % w/ No Philadelphia]]*$O$70</f>
        <v>28492.049253056812</v>
      </c>
      <c r="P34" s="7">
        <f>Table5[[#This Row],[Floor % w/ No Philadelphia]]*$P$70</f>
        <v>28492.049253056812</v>
      </c>
      <c r="Q34" s="7">
        <f>Table5[[#This Row],[Floor % w/ No Philadelphia]]*$Q$70</f>
        <v>28492.049253056812</v>
      </c>
      <c r="R34" s="7">
        <f>SUM(Table5[[#This Row],[Payment 1]:[Payment 15]])</f>
        <v>618388.3792833453</v>
      </c>
    </row>
    <row r="35" spans="1:18" x14ac:dyDescent="0.3">
      <c r="A35" t="s">
        <v>59</v>
      </c>
      <c r="B35">
        <v>2.2011617127431372E-3</v>
      </c>
      <c r="C35" s="7">
        <f>Table5[[#This Row],[Floor % w/ No Philadelphia]]*$C$70</f>
        <v>-669.13467835959239</v>
      </c>
      <c r="D35" s="7">
        <f>Table5[[#This Row],[Floor % w/ No Philadelphia]]*$D$70</f>
        <v>33689.110928741546</v>
      </c>
      <c r="E35" s="7">
        <f>Table5[[#This Row],[Floor % w/ No Philadelphia]]*$E$70</f>
        <v>24997.426609795752</v>
      </c>
      <c r="F35" s="7">
        <f>Table5[[#This Row],[Floor % w/ No Philadelphia]]*$F$70</f>
        <v>24997.426609795752</v>
      </c>
      <c r="G35" s="7">
        <f>Table5[[#This Row],[Floor % w/ No Philadelphia]]*$G$70</f>
        <v>24997.426609795752</v>
      </c>
      <c r="H35" s="7">
        <f>Table5[[#This Row],[Floor % w/ No Philadelphia]]*$H$70</f>
        <v>31701.932680637248</v>
      </c>
      <c r="I35" s="7">
        <f>Table5[[#This Row],[Floor % w/ No Philadelphia]]*$I$70</f>
        <v>30899.803574085225</v>
      </c>
      <c r="J35" s="7">
        <f>Table5[[#This Row],[Floor % w/ No Philadelphia]]*$J$70</f>
        <v>33602.77385273172</v>
      </c>
      <c r="K35" s="7">
        <f>Table5[[#This Row],[Floor % w/ No Philadelphia]]*$K$70</f>
        <v>33590.04358109484</v>
      </c>
      <c r="L35" s="7">
        <f>Table5[[#This Row],[Floor % w/ No Philadelphia]]*$L$70</f>
        <v>33590.043609373337</v>
      </c>
      <c r="M35" s="7">
        <f>Table5[[#This Row],[Floor % w/ No Philadelphia]]*$M$70</f>
        <v>16247.521373712052</v>
      </c>
      <c r="N35" s="7">
        <f>Table5[[#This Row],[Floor % w/ No Philadelphia]]*$N$70</f>
        <v>16247.521373712052</v>
      </c>
      <c r="O35" s="7">
        <f>Table5[[#This Row],[Floor % w/ No Philadelphia]]*$O$70</f>
        <v>16247.521373712052</v>
      </c>
      <c r="P35" s="7">
        <f>Table5[[#This Row],[Floor % w/ No Philadelphia]]*$P$70</f>
        <v>16247.521373712052</v>
      </c>
      <c r="Q35" s="7">
        <f>Table5[[#This Row],[Floor % w/ No Philadelphia]]*$Q$70</f>
        <v>16247.521373712052</v>
      </c>
      <c r="R35" s="7">
        <f>SUM(Table5[[#This Row],[Payment 1]:[Payment 15]])</f>
        <v>352634.46024625184</v>
      </c>
    </row>
    <row r="36" spans="1:18" x14ac:dyDescent="0.3">
      <c r="A36" t="s">
        <v>60</v>
      </c>
      <c r="B36">
        <v>1.8637741023208192E-2</v>
      </c>
      <c r="C36" s="7">
        <f>Table5[[#This Row],[Floor % w/ No Philadelphia]]*$C$70</f>
        <v>-5665.7167770613069</v>
      </c>
      <c r="D36" s="7">
        <f>Table5[[#This Row],[Floor % w/ No Philadelphia]]*$D$70</f>
        <v>285253.42829515622</v>
      </c>
      <c r="E36" s="7">
        <f>Table5[[#This Row],[Floor % w/ No Philadelphia]]*$E$70</f>
        <v>211658.94386715317</v>
      </c>
      <c r="F36" s="7">
        <f>Table5[[#This Row],[Floor % w/ No Philadelphia]]*$F$70</f>
        <v>211658.94386715317</v>
      </c>
      <c r="G36" s="7">
        <f>Table5[[#This Row],[Floor % w/ No Philadelphia]]*$G$70</f>
        <v>211658.94386715317</v>
      </c>
      <c r="H36" s="7">
        <f>Table5[[#This Row],[Floor % w/ No Philadelphia]]*$H$70</f>
        <v>268427.53434074763</v>
      </c>
      <c r="I36" s="7">
        <f>Table5[[#This Row],[Floor % w/ No Philadelphia]]*$I$70</f>
        <v>261635.72324002523</v>
      </c>
      <c r="J36" s="7">
        <f>Table5[[#This Row],[Floor % w/ No Philadelphia]]*$J$70</f>
        <v>284522.39247254649</v>
      </c>
      <c r="K36" s="7">
        <f>Table5[[#This Row],[Floor % w/ No Philadelphia]]*$K$70</f>
        <v>284414.60234311182</v>
      </c>
      <c r="L36" s="7">
        <f>Table5[[#This Row],[Floor % w/ No Philadelphia]]*$L$70</f>
        <v>284414.60258255235</v>
      </c>
      <c r="M36" s="7">
        <f>Table5[[#This Row],[Floor % w/ No Philadelphia]]*$M$70</f>
        <v>137571.48958170254</v>
      </c>
      <c r="N36" s="7">
        <f>Table5[[#This Row],[Floor % w/ No Philadelphia]]*$N$70</f>
        <v>137571.48958170254</v>
      </c>
      <c r="O36" s="7">
        <f>Table5[[#This Row],[Floor % w/ No Philadelphia]]*$O$70</f>
        <v>137571.48958170254</v>
      </c>
      <c r="P36" s="7">
        <f>Table5[[#This Row],[Floor % w/ No Philadelphia]]*$P$70</f>
        <v>137571.48958170254</v>
      </c>
      <c r="Q36" s="7">
        <f>Table5[[#This Row],[Floor % w/ No Philadelphia]]*$Q$70</f>
        <v>137571.48958170254</v>
      </c>
      <c r="R36" s="7">
        <f>SUM(Table5[[#This Row],[Payment 1]:[Payment 15]])</f>
        <v>2985836.8460070519</v>
      </c>
    </row>
    <row r="37" spans="1:18" x14ac:dyDescent="0.3">
      <c r="A37" t="s">
        <v>61</v>
      </c>
      <c r="B37">
        <v>4.8508935691355483E-2</v>
      </c>
      <c r="C37" s="7">
        <f>Table5[[#This Row],[Floor % w/ No Philadelphia]]*$C$70</f>
        <v>-14746.309139163681</v>
      </c>
      <c r="D37" s="7">
        <f>Table5[[#This Row],[Floor % w/ No Philadelphia]]*$D$70</f>
        <v>742436.55342553614</v>
      </c>
      <c r="E37" s="7">
        <f>Table5[[#This Row],[Floor % w/ No Philadelphia]]*$E$70</f>
        <v>550890.26528305048</v>
      </c>
      <c r="F37" s="7">
        <f>Table5[[#This Row],[Floor % w/ No Philadelphia]]*$F$70</f>
        <v>550890.26528305048</v>
      </c>
      <c r="G37" s="7">
        <f>Table5[[#This Row],[Floor % w/ No Philadelphia]]*$G$70</f>
        <v>550890.26528305048</v>
      </c>
      <c r="H37" s="7">
        <f>Table5[[#This Row],[Floor % w/ No Philadelphia]]*$H$70</f>
        <v>698643.35945596581</v>
      </c>
      <c r="I37" s="7">
        <f>Table5[[#This Row],[Floor % w/ No Philadelphia]]*$I$70</f>
        <v>680966.13518814708</v>
      </c>
      <c r="J37" s="7">
        <f>Table5[[#This Row],[Floor % w/ No Philadelphia]]*$J$70</f>
        <v>740533.86738311849</v>
      </c>
      <c r="K37" s="7">
        <f>Table5[[#This Row],[Floor % w/ No Philadelphia]]*$K$70</f>
        <v>740253.31919595378</v>
      </c>
      <c r="L37" s="7">
        <f>Table5[[#This Row],[Floor % w/ No Philadelphia]]*$L$70</f>
        <v>740253.31981915189</v>
      </c>
      <c r="M37" s="7">
        <f>Table5[[#This Row],[Floor % w/ No Philadelphia]]*$M$70</f>
        <v>358060.91160794877</v>
      </c>
      <c r="N37" s="7">
        <f>Table5[[#This Row],[Floor % w/ No Philadelphia]]*$N$70</f>
        <v>358060.91160794877</v>
      </c>
      <c r="O37" s="7">
        <f>Table5[[#This Row],[Floor % w/ No Philadelphia]]*$O$70</f>
        <v>358060.91160794877</v>
      </c>
      <c r="P37" s="7">
        <f>Table5[[#This Row],[Floor % w/ No Philadelphia]]*$P$70</f>
        <v>358060.91160794877</v>
      </c>
      <c r="Q37" s="7">
        <f>Table5[[#This Row],[Floor % w/ No Philadelphia]]*$Q$70</f>
        <v>358060.91160794877</v>
      </c>
      <c r="R37" s="7">
        <f>SUM(Table5[[#This Row],[Payment 1]:[Payment 15]])</f>
        <v>7771315.5992176067</v>
      </c>
    </row>
    <row r="38" spans="1:18" x14ac:dyDescent="0.3">
      <c r="A38" t="s">
        <v>62</v>
      </c>
      <c r="B38">
        <v>7.6010879287683698E-3</v>
      </c>
      <c r="C38" s="7">
        <f>Table5[[#This Row],[Floor % w/ No Philadelphia]]*$C$70</f>
        <v>-2310.6669069129534</v>
      </c>
      <c r="D38" s="7">
        <f>Table5[[#This Row],[Floor % w/ No Philadelphia]]*$D$70</f>
        <v>116335.79347165315</v>
      </c>
      <c r="E38" s="7">
        <f>Table5[[#This Row],[Floor % w/ No Philadelphia]]*$E$70</f>
        <v>86321.525835191787</v>
      </c>
      <c r="F38" s="7">
        <f>Table5[[#This Row],[Floor % w/ No Philadelphia]]*$F$70</f>
        <v>86321.525835191787</v>
      </c>
      <c r="G38" s="7">
        <f>Table5[[#This Row],[Floor % w/ No Philadelphia]]*$G$70</f>
        <v>86321.525835191787</v>
      </c>
      <c r="H38" s="7">
        <f>Table5[[#This Row],[Floor % w/ No Philadelphia]]*$H$70</f>
        <v>109473.63677206528</v>
      </c>
      <c r="I38" s="7">
        <f>Table5[[#This Row],[Floor % w/ No Philadelphia]]*$I$70</f>
        <v>106703.7113123279</v>
      </c>
      <c r="J38" s="7">
        <f>Table5[[#This Row],[Floor % w/ No Philadelphia]]*$J$70</f>
        <v>116037.65285687496</v>
      </c>
      <c r="K38" s="7">
        <f>Table5[[#This Row],[Floor % w/ No Philadelphia]]*$K$70</f>
        <v>115993.69247290643</v>
      </c>
      <c r="L38" s="7">
        <f>Table5[[#This Row],[Floor % w/ No Philadelphia]]*$L$70</f>
        <v>115993.69257055821</v>
      </c>
      <c r="M38" s="7">
        <f>Table5[[#This Row],[Floor % w/ No Philadelphia]]*$M$70</f>
        <v>56106.208767470212</v>
      </c>
      <c r="N38" s="7">
        <f>Table5[[#This Row],[Floor % w/ No Philadelphia]]*$N$70</f>
        <v>56106.208767470212</v>
      </c>
      <c r="O38" s="7">
        <f>Table5[[#This Row],[Floor % w/ No Philadelphia]]*$O$70</f>
        <v>56106.208767470212</v>
      </c>
      <c r="P38" s="7">
        <f>Table5[[#This Row],[Floor % w/ No Philadelphia]]*$P$70</f>
        <v>56106.208767470212</v>
      </c>
      <c r="Q38" s="7">
        <f>Table5[[#This Row],[Floor % w/ No Philadelphia]]*$Q$70</f>
        <v>56106.208767470212</v>
      </c>
      <c r="R38" s="7">
        <f>SUM(Table5[[#This Row],[Payment 1]:[Payment 15]])</f>
        <v>1217723.1338923993</v>
      </c>
    </row>
    <row r="39" spans="1:18" x14ac:dyDescent="0.3">
      <c r="A39" t="s">
        <v>63</v>
      </c>
      <c r="B39">
        <v>1.2603857478293731E-2</v>
      </c>
      <c r="C39" s="7">
        <f>Table5[[#This Row],[Floor % w/ No Philadelphia]]*$C$70</f>
        <v>-3831.4668436232155</v>
      </c>
      <c r="D39" s="7">
        <f>Table5[[#This Row],[Floor % w/ No Philadelphia]]*$D$70</f>
        <v>192903.9335265941</v>
      </c>
      <c r="E39" s="7">
        <f>Table5[[#This Row],[Floor % w/ No Philadelphia]]*$E$70</f>
        <v>143135.3273546327</v>
      </c>
      <c r="F39" s="7">
        <f>Table5[[#This Row],[Floor % w/ No Philadelphia]]*$F$70</f>
        <v>143135.3273546327</v>
      </c>
      <c r="G39" s="7">
        <f>Table5[[#This Row],[Floor % w/ No Philadelphia]]*$G$70</f>
        <v>143135.3273546327</v>
      </c>
      <c r="H39" s="7">
        <f>Table5[[#This Row],[Floor % w/ No Philadelphia]]*$H$70</f>
        <v>181525.34590258036</v>
      </c>
      <c r="I39" s="7">
        <f>Table5[[#This Row],[Floor % w/ No Philadelphia]]*$I$70</f>
        <v>176932.35263014442</v>
      </c>
      <c r="J39" s="7">
        <f>Table5[[#This Row],[Floor % w/ No Philadelphia]]*$J$70</f>
        <v>192409.56721319666</v>
      </c>
      <c r="K39" s="7">
        <f>Table5[[#This Row],[Floor % w/ No Philadelphia]]*$K$70</f>
        <v>192336.67364593066</v>
      </c>
      <c r="L39" s="7">
        <f>Table5[[#This Row],[Floor % w/ No Philadelphia]]*$L$70</f>
        <v>192336.67380785343</v>
      </c>
      <c r="M39" s="7">
        <f>Table5[[#This Row],[Floor % w/ No Philadelphia]]*$M$70</f>
        <v>93033.348065369821</v>
      </c>
      <c r="N39" s="7">
        <f>Table5[[#This Row],[Floor % w/ No Philadelphia]]*$N$70</f>
        <v>93033.348065369821</v>
      </c>
      <c r="O39" s="7">
        <f>Table5[[#This Row],[Floor % w/ No Philadelphia]]*$O$70</f>
        <v>93033.348065369821</v>
      </c>
      <c r="P39" s="7">
        <f>Table5[[#This Row],[Floor % w/ No Philadelphia]]*$P$70</f>
        <v>93033.348065369821</v>
      </c>
      <c r="Q39" s="7">
        <f>Table5[[#This Row],[Floor % w/ No Philadelphia]]*$Q$70</f>
        <v>93033.348065369821</v>
      </c>
      <c r="R39" s="7">
        <f>SUM(Table5[[#This Row],[Payment 1]:[Payment 15]])</f>
        <v>2019185.8022734232</v>
      </c>
    </row>
    <row r="40" spans="1:18" x14ac:dyDescent="0.3">
      <c r="A40" t="s">
        <v>64</v>
      </c>
      <c r="B40">
        <v>3.2828358495613212E-2</v>
      </c>
      <c r="C40" s="7">
        <f>Table5[[#This Row],[Floor % w/ No Philadelphia]]*$C$70</f>
        <v>-9979.5453354766378</v>
      </c>
      <c r="D40" s="7">
        <f>Table5[[#This Row],[Floor % w/ No Philadelphia]]*$D$70</f>
        <v>502442.96207975486</v>
      </c>
      <c r="E40" s="7">
        <f>Table5[[#This Row],[Floor % w/ No Philadelphia]]*$E$70</f>
        <v>372814.26324260182</v>
      </c>
      <c r="F40" s="7">
        <f>Table5[[#This Row],[Floor % w/ No Philadelphia]]*$F$70</f>
        <v>372814.26324260182</v>
      </c>
      <c r="G40" s="7">
        <f>Table5[[#This Row],[Floor % w/ No Philadelphia]]*$G$70</f>
        <v>372814.26324260182</v>
      </c>
      <c r="H40" s="7">
        <f>Table5[[#This Row],[Floor % w/ No Philadelphia]]*$H$70</f>
        <v>472805.97559857805</v>
      </c>
      <c r="I40" s="7">
        <f>Table5[[#This Row],[Floor % w/ No Philadelphia]]*$I$70</f>
        <v>460842.93730056973</v>
      </c>
      <c r="J40" s="7">
        <f>Table5[[#This Row],[Floor % w/ No Philadelphia]]*$J$70</f>
        <v>501155.32180039468</v>
      </c>
      <c r="K40" s="7">
        <f>Table5[[#This Row],[Floor % w/ No Philadelphia]]*$K$70</f>
        <v>500965.4611833294</v>
      </c>
      <c r="L40" s="7">
        <f>Table5[[#This Row],[Floor % w/ No Philadelphia]]*$L$70</f>
        <v>500965.4616050779</v>
      </c>
      <c r="M40" s="7">
        <f>Table5[[#This Row],[Floor % w/ No Philadelphia]]*$M$70</f>
        <v>242317.25149200775</v>
      </c>
      <c r="N40" s="7">
        <f>Table5[[#This Row],[Floor % w/ No Philadelphia]]*$N$70</f>
        <v>242317.25149200775</v>
      </c>
      <c r="O40" s="7">
        <f>Table5[[#This Row],[Floor % w/ No Philadelphia]]*$O$70</f>
        <v>242317.25149200775</v>
      </c>
      <c r="P40" s="7">
        <f>Table5[[#This Row],[Floor % w/ No Philadelphia]]*$P$70</f>
        <v>242317.25149200775</v>
      </c>
      <c r="Q40" s="7">
        <f>Table5[[#This Row],[Floor % w/ No Philadelphia]]*$Q$70</f>
        <v>242317.25149200775</v>
      </c>
      <c r="R40" s="7">
        <f>SUM(Table5[[#This Row],[Payment 1]:[Payment 15]])</f>
        <v>5259227.6214200724</v>
      </c>
    </row>
    <row r="41" spans="1:18" x14ac:dyDescent="0.3">
      <c r="A41" t="s">
        <v>65</v>
      </c>
      <c r="B41">
        <v>2.821492336848477E-2</v>
      </c>
      <c r="C41" s="7">
        <f>Table5[[#This Row],[Floor % w/ No Philadelphia]]*$C$70</f>
        <v>-8577.0997940825728</v>
      </c>
      <c r="D41" s="7">
        <f>Table5[[#This Row],[Floor % w/ No Philadelphia]]*$D$70</f>
        <v>431833.6438908191</v>
      </c>
      <c r="E41" s="7">
        <f>Table5[[#This Row],[Floor % w/ No Philadelphia]]*$E$70</f>
        <v>320421.92634985817</v>
      </c>
      <c r="F41" s="7">
        <f>Table5[[#This Row],[Floor % w/ No Philadelphia]]*$F$70</f>
        <v>320421.92634985817</v>
      </c>
      <c r="G41" s="7">
        <f>Table5[[#This Row],[Floor % w/ No Philadelphia]]*$G$70</f>
        <v>320421.92634985817</v>
      </c>
      <c r="H41" s="7">
        <f>Table5[[#This Row],[Floor % w/ No Philadelphia]]*$H$70</f>
        <v>406361.60262043506</v>
      </c>
      <c r="I41" s="7">
        <f>Table5[[#This Row],[Floor % w/ No Philadelphia]]*$I$70</f>
        <v>396079.75411199813</v>
      </c>
      <c r="J41" s="7">
        <f>Table5[[#This Row],[Floor % w/ No Philadelphia]]*$J$70</f>
        <v>430726.95828504395</v>
      </c>
      <c r="K41" s="7">
        <f>Table5[[#This Row],[Floor % w/ No Philadelphia]]*$K$70</f>
        <v>430563.77916166786</v>
      </c>
      <c r="L41" s="7">
        <f>Table5[[#This Row],[Floor % w/ No Philadelphia]]*$L$70</f>
        <v>430563.77952414722</v>
      </c>
      <c r="M41" s="7">
        <f>Table5[[#This Row],[Floor % w/ No Philadelphia]]*$M$70</f>
        <v>208263.92165244752</v>
      </c>
      <c r="N41" s="7">
        <f>Table5[[#This Row],[Floor % w/ No Philadelphia]]*$N$70</f>
        <v>208263.92165244752</v>
      </c>
      <c r="O41" s="7">
        <f>Table5[[#This Row],[Floor % w/ No Philadelphia]]*$O$70</f>
        <v>208263.92165244752</v>
      </c>
      <c r="P41" s="7">
        <f>Table5[[#This Row],[Floor % w/ No Philadelphia]]*$P$70</f>
        <v>208263.92165244752</v>
      </c>
      <c r="Q41" s="7">
        <f>Table5[[#This Row],[Floor % w/ No Philadelphia]]*$Q$70</f>
        <v>208263.92165244752</v>
      </c>
      <c r="R41" s="7">
        <f>SUM(Table5[[#This Row],[Payment 1]:[Payment 15]])</f>
        <v>4520137.8051118404</v>
      </c>
    </row>
    <row r="42" spans="1:18" x14ac:dyDescent="0.3">
      <c r="A42" t="s">
        <v>66</v>
      </c>
      <c r="B42">
        <v>1.0071050393412943E-2</v>
      </c>
      <c r="C42" s="7">
        <f>Table5[[#This Row],[Floor % w/ No Philadelphia]]*$C$70</f>
        <v>-3061.5147568333182</v>
      </c>
      <c r="D42" s="7">
        <f>Table5[[#This Row],[Floor % w/ No Philadelphia]]*$D$70</f>
        <v>154138.94031884216</v>
      </c>
      <c r="E42" s="7">
        <f>Table5[[#This Row],[Floor % w/ No Philadelphia]]*$E$70</f>
        <v>114371.58007766624</v>
      </c>
      <c r="F42" s="7">
        <f>Table5[[#This Row],[Floor % w/ No Philadelphia]]*$F$70</f>
        <v>114371.58007766624</v>
      </c>
      <c r="G42" s="7">
        <f>Table5[[#This Row],[Floor % w/ No Philadelphia]]*$G$70</f>
        <v>114371.58007766624</v>
      </c>
      <c r="H42" s="7">
        <f>Table5[[#This Row],[Floor % w/ No Philadelphia]]*$H$70</f>
        <v>145046.93578255945</v>
      </c>
      <c r="I42" s="7">
        <f>Table5[[#This Row],[Floor % w/ No Philadelphia]]*$I$70</f>
        <v>141376.92707427542</v>
      </c>
      <c r="J42" s="7">
        <f>Table5[[#This Row],[Floor % w/ No Philadelphia]]*$J$70</f>
        <v>153743.91934501679</v>
      </c>
      <c r="K42" s="7">
        <f>Table5[[#This Row],[Floor % w/ No Philadelphia]]*$K$70</f>
        <v>153685.67409822979</v>
      </c>
      <c r="L42" s="7">
        <f>Table5[[#This Row],[Floor % w/ No Philadelphia]]*$L$70</f>
        <v>153685.67422761337</v>
      </c>
      <c r="M42" s="7">
        <f>Table5[[#This Row],[Floor % w/ No Philadelphia]]*$M$70</f>
        <v>74337.839685022074</v>
      </c>
      <c r="N42" s="7">
        <f>Table5[[#This Row],[Floor % w/ No Philadelphia]]*$N$70</f>
        <v>74337.839685022074</v>
      </c>
      <c r="O42" s="7">
        <f>Table5[[#This Row],[Floor % w/ No Philadelphia]]*$O$70</f>
        <v>74337.839685022074</v>
      </c>
      <c r="P42" s="7">
        <f>Table5[[#This Row],[Floor % w/ No Philadelphia]]*$P$70</f>
        <v>74337.839685022074</v>
      </c>
      <c r="Q42" s="7">
        <f>Table5[[#This Row],[Floor % w/ No Philadelphia]]*$Q$70</f>
        <v>74337.839685022074</v>
      </c>
      <c r="R42" s="7">
        <f>SUM(Table5[[#This Row],[Payment 1]:[Payment 15]])</f>
        <v>1613420.4947478131</v>
      </c>
    </row>
    <row r="43" spans="1:18" x14ac:dyDescent="0.3">
      <c r="A43" t="s">
        <v>67</v>
      </c>
      <c r="B43">
        <v>3.611121212300204E-3</v>
      </c>
      <c r="C43" s="7">
        <f>Table5[[#This Row],[Floor % w/ No Philadelphia]]*$C$70</f>
        <v>-1097.7505273334589</v>
      </c>
      <c r="D43" s="7">
        <f>Table5[[#This Row],[Floor % w/ No Philadelphia]]*$D$70</f>
        <v>55268.753038005299</v>
      </c>
      <c r="E43" s="7">
        <f>Table5[[#This Row],[Floor % w/ No Philadelphia]]*$E$70</f>
        <v>41009.589146022394</v>
      </c>
      <c r="F43" s="7">
        <f>Table5[[#This Row],[Floor % w/ No Philadelphia]]*$F$70</f>
        <v>41009.589146022394</v>
      </c>
      <c r="G43" s="7">
        <f>Table5[[#This Row],[Floor % w/ No Philadelphia]]*$G$70</f>
        <v>41009.589146022394</v>
      </c>
      <c r="H43" s="7">
        <f>Table5[[#This Row],[Floor % w/ No Philadelphia]]*$H$70</f>
        <v>52008.682920118255</v>
      </c>
      <c r="I43" s="7">
        <f>Table5[[#This Row],[Floor % w/ No Philadelphia]]*$I$70</f>
        <v>50692.748059492485</v>
      </c>
      <c r="J43" s="7">
        <f>Table5[[#This Row],[Floor % w/ No Philadelphia]]*$J$70</f>
        <v>55127.11253754497</v>
      </c>
      <c r="K43" s="7">
        <f>Table5[[#This Row],[Floor % w/ No Philadelphia]]*$K$70</f>
        <v>55106.227859386105</v>
      </c>
      <c r="L43" s="7">
        <f>Table5[[#This Row],[Floor % w/ No Philadelphia]]*$L$70</f>
        <v>55106.227905778462</v>
      </c>
      <c r="M43" s="7">
        <f>Table5[[#This Row],[Floor % w/ No Philadelphia]]*$M$70</f>
        <v>26654.910786538469</v>
      </c>
      <c r="N43" s="7">
        <f>Table5[[#This Row],[Floor % w/ No Philadelphia]]*$N$70</f>
        <v>26654.910786538469</v>
      </c>
      <c r="O43" s="7">
        <f>Table5[[#This Row],[Floor % w/ No Philadelphia]]*$O$70</f>
        <v>26654.910786538469</v>
      </c>
      <c r="P43" s="7">
        <f>Table5[[#This Row],[Floor % w/ No Philadelphia]]*$P$70</f>
        <v>26654.910786538469</v>
      </c>
      <c r="Q43" s="7">
        <f>Table5[[#This Row],[Floor % w/ No Philadelphia]]*$Q$70</f>
        <v>26654.910786538469</v>
      </c>
      <c r="R43" s="7">
        <f>SUM(Table5[[#This Row],[Payment 1]:[Payment 15]])</f>
        <v>578515.32316375175</v>
      </c>
    </row>
    <row r="44" spans="1:18" x14ac:dyDescent="0.3">
      <c r="A44" t="s">
        <v>68</v>
      </c>
      <c r="B44">
        <v>9.726604985470462E-3</v>
      </c>
      <c r="C44" s="7">
        <f>Table5[[#This Row],[Floor % w/ No Philadelphia]]*$C$70</f>
        <v>-2956.8062449953577</v>
      </c>
      <c r="D44" s="7">
        <f>Table5[[#This Row],[Floor % w/ No Philadelphia]]*$D$70</f>
        <v>148867.15156752474</v>
      </c>
      <c r="E44" s="7">
        <f>Table5[[#This Row],[Floor % w/ No Philadelphia]]*$E$70</f>
        <v>110459.89618989179</v>
      </c>
      <c r="F44" s="7">
        <f>Table5[[#This Row],[Floor % w/ No Philadelphia]]*$F$70</f>
        <v>110459.89618989179</v>
      </c>
      <c r="G44" s="7">
        <f>Table5[[#This Row],[Floor % w/ No Philadelphia]]*$G$70</f>
        <v>110459.89618989179</v>
      </c>
      <c r="H44" s="7">
        <f>Table5[[#This Row],[Floor % w/ No Philadelphia]]*$H$70</f>
        <v>140086.10756556355</v>
      </c>
      <c r="I44" s="7">
        <f>Table5[[#This Row],[Floor % w/ No Philadelphia]]*$I$70</f>
        <v>136541.61879783153</v>
      </c>
      <c r="J44" s="7">
        <f>Table5[[#This Row],[Floor % w/ No Philadelphia]]*$J$70</f>
        <v>148485.64091835867</v>
      </c>
      <c r="K44" s="7">
        <f>Table5[[#This Row],[Floor % w/ No Philadelphia]]*$K$70</f>
        <v>148429.38774856529</v>
      </c>
      <c r="L44" s="7">
        <f>Table5[[#This Row],[Floor % w/ No Philadelphia]]*$L$70</f>
        <v>148429.38787352375</v>
      </c>
      <c r="M44" s="7">
        <f>Table5[[#This Row],[Floor % w/ No Philadelphia]]*$M$70</f>
        <v>71795.371271536875</v>
      </c>
      <c r="N44" s="7">
        <f>Table5[[#This Row],[Floor % w/ No Philadelphia]]*$N$70</f>
        <v>71795.371271536875</v>
      </c>
      <c r="O44" s="7">
        <f>Table5[[#This Row],[Floor % w/ No Philadelphia]]*$O$70</f>
        <v>71795.371271536875</v>
      </c>
      <c r="P44" s="7">
        <f>Table5[[#This Row],[Floor % w/ No Philadelphia]]*$P$70</f>
        <v>71795.371271536875</v>
      </c>
      <c r="Q44" s="7">
        <f>Table5[[#This Row],[Floor % w/ No Philadelphia]]*$Q$70</f>
        <v>71795.371271536875</v>
      </c>
      <c r="R44" s="7">
        <f>SUM(Table5[[#This Row],[Payment 1]:[Payment 15]])</f>
        <v>1558239.0331537321</v>
      </c>
    </row>
    <row r="45" spans="1:18" x14ac:dyDescent="0.3">
      <c r="A45" t="s">
        <v>69</v>
      </c>
      <c r="B45">
        <v>4.1011670275226285E-3</v>
      </c>
      <c r="C45" s="7">
        <f>Table5[[#This Row],[Floor % w/ No Philadelphia]]*$C$70</f>
        <v>-1246.7203404335044</v>
      </c>
      <c r="D45" s="7">
        <f>Table5[[#This Row],[Floor % w/ No Philadelphia]]*$D$70</f>
        <v>62768.977911815091</v>
      </c>
      <c r="E45" s="7">
        <f>Table5[[#This Row],[Floor % w/ No Philadelphia]]*$E$70</f>
        <v>46574.779668164454</v>
      </c>
      <c r="F45" s="7">
        <f>Table5[[#This Row],[Floor % w/ No Philadelphia]]*$F$70</f>
        <v>46574.779668164454</v>
      </c>
      <c r="G45" s="7">
        <f>Table5[[#This Row],[Floor % w/ No Philadelphia]]*$G$70</f>
        <v>46574.779668164454</v>
      </c>
      <c r="H45" s="7">
        <f>Table5[[#This Row],[Floor % w/ No Philadelphia]]*$H$70</f>
        <v>59066.501232453302</v>
      </c>
      <c r="I45" s="7">
        <f>Table5[[#This Row],[Floor % w/ No Philadelphia]]*$I$70</f>
        <v>57571.987937695107</v>
      </c>
      <c r="J45" s="7">
        <f>Table5[[#This Row],[Floor % w/ No Philadelphia]]*$J$70</f>
        <v>62608.116141716906</v>
      </c>
      <c r="K45" s="7">
        <f>Table5[[#This Row],[Floor % w/ No Philadelphia]]*$K$70</f>
        <v>62584.397316341056</v>
      </c>
      <c r="L45" s="7">
        <f>Table5[[#This Row],[Floor % w/ No Philadelphia]]*$L$70</f>
        <v>62584.397369029073</v>
      </c>
      <c r="M45" s="7">
        <f>Table5[[#This Row],[Floor % w/ No Philadelphia]]*$M$70</f>
        <v>30272.105202936902</v>
      </c>
      <c r="N45" s="7">
        <f>Table5[[#This Row],[Floor % w/ No Philadelphia]]*$N$70</f>
        <v>30272.105202936902</v>
      </c>
      <c r="O45" s="7">
        <f>Table5[[#This Row],[Floor % w/ No Philadelphia]]*$O$70</f>
        <v>30272.105202936902</v>
      </c>
      <c r="P45" s="7">
        <f>Table5[[#This Row],[Floor % w/ No Philadelphia]]*$P$70</f>
        <v>30272.105202936902</v>
      </c>
      <c r="Q45" s="7">
        <f>Table5[[#This Row],[Floor % w/ No Philadelphia]]*$Q$70</f>
        <v>30272.105202936902</v>
      </c>
      <c r="R45" s="7">
        <f>SUM(Table5[[#This Row],[Payment 1]:[Payment 15]])</f>
        <v>657022.52258779493</v>
      </c>
    </row>
    <row r="46" spans="1:18" x14ac:dyDescent="0.3">
      <c r="A46" t="s">
        <v>70</v>
      </c>
      <c r="B46">
        <v>1.5135242336973982E-2</v>
      </c>
      <c r="C46" s="7">
        <f>Table5[[#This Row],[Floor % w/ No Philadelphia]]*$C$70</f>
        <v>-4600.9865855900398</v>
      </c>
      <c r="D46" s="7">
        <f>Table5[[#This Row],[Floor % w/ No Philadelphia]]*$D$70</f>
        <v>231647.15934853416</v>
      </c>
      <c r="E46" s="7">
        <f>Table5[[#This Row],[Floor % w/ No Philadelphia]]*$E$70</f>
        <v>171882.92316264316</v>
      </c>
      <c r="F46" s="7">
        <f>Table5[[#This Row],[Floor % w/ No Philadelphia]]*$F$70</f>
        <v>171882.92316264316</v>
      </c>
      <c r="G46" s="7">
        <f>Table5[[#This Row],[Floor % w/ No Philadelphia]]*$G$70</f>
        <v>171882.92316264316</v>
      </c>
      <c r="H46" s="7">
        <f>Table5[[#This Row],[Floor % w/ No Philadelphia]]*$H$70</f>
        <v>217983.27260286658</v>
      </c>
      <c r="I46" s="7">
        <f>Table5[[#This Row],[Floor % w/ No Philadelphia]]*$I$70</f>
        <v>212467.81304216234</v>
      </c>
      <c r="J46" s="7">
        <f>Table5[[#This Row],[Floor % w/ No Philadelphia]]*$J$70</f>
        <v>231053.50348013092</v>
      </c>
      <c r="K46" s="7">
        <f>Table5[[#This Row],[Floor % w/ No Philadelphia]]*$K$70</f>
        <v>230965.96981773613</v>
      </c>
      <c r="L46" s="7">
        <f>Table5[[#This Row],[Floor % w/ No Philadelphia]]*$L$70</f>
        <v>230965.97001217978</v>
      </c>
      <c r="M46" s="7">
        <f>Table5[[#This Row],[Floor % w/ No Philadelphia]]*$M$70</f>
        <v>111718.35851162318</v>
      </c>
      <c r="N46" s="7">
        <f>Table5[[#This Row],[Floor % w/ No Philadelphia]]*$N$70</f>
        <v>111718.35851162318</v>
      </c>
      <c r="O46" s="7">
        <f>Table5[[#This Row],[Floor % w/ No Philadelphia]]*$O$70</f>
        <v>111718.35851162318</v>
      </c>
      <c r="P46" s="7">
        <f>Table5[[#This Row],[Floor % w/ No Philadelphia]]*$P$70</f>
        <v>111718.35851162318</v>
      </c>
      <c r="Q46" s="7">
        <f>Table5[[#This Row],[Floor % w/ No Philadelphia]]*$Q$70</f>
        <v>111718.35851162318</v>
      </c>
      <c r="R46" s="7">
        <f>SUM(Table5[[#This Row],[Payment 1]:[Payment 15]])</f>
        <v>2424723.2637640652</v>
      </c>
    </row>
    <row r="47" spans="1:18" x14ac:dyDescent="0.3">
      <c r="A47" t="s">
        <v>71</v>
      </c>
      <c r="B47">
        <v>7.3859317713684272E-2</v>
      </c>
      <c r="C47" s="7">
        <f>Table5[[#This Row],[Floor % w/ No Philadelphia]]*$C$70</f>
        <v>-22452.612416474607</v>
      </c>
      <c r="D47" s="7">
        <f>Table5[[#This Row],[Floor % w/ No Philadelphia]]*$D$70</f>
        <v>1130427.9613679794</v>
      </c>
      <c r="E47" s="7">
        <f>Table5[[#This Row],[Floor % w/ No Philadelphia]]*$E$70</f>
        <v>838781.11422196159</v>
      </c>
      <c r="F47" s="7">
        <f>Table5[[#This Row],[Floor % w/ No Philadelphia]]*$F$70</f>
        <v>838781.11422196159</v>
      </c>
      <c r="G47" s="7">
        <f>Table5[[#This Row],[Floor % w/ No Philadelphia]]*$G$70</f>
        <v>838781.11422196159</v>
      </c>
      <c r="H47" s="7">
        <f>Table5[[#This Row],[Floor % w/ No Philadelphia]]*$H$70</f>
        <v>1063748.7943032628</v>
      </c>
      <c r="I47" s="7">
        <f>Table5[[#This Row],[Floor % w/ No Philadelphia]]*$I$70</f>
        <v>1036833.5939410016</v>
      </c>
      <c r="J47" s="7">
        <f>Table5[[#This Row],[Floor % w/ No Philadelphia]]*$J$70</f>
        <v>1127530.9468094565</v>
      </c>
      <c r="K47" s="7">
        <f>Table5[[#This Row],[Floor % w/ No Philadelphia]]*$K$70</f>
        <v>1127103.786382321</v>
      </c>
      <c r="L47" s="7">
        <f>Table5[[#This Row],[Floor % w/ No Philadelphia]]*$L$70</f>
        <v>1127103.7873311976</v>
      </c>
      <c r="M47" s="7">
        <f>Table5[[#This Row],[Floor % w/ No Philadelphia]]*$M$70</f>
        <v>545180.68175253191</v>
      </c>
      <c r="N47" s="7">
        <f>Table5[[#This Row],[Floor % w/ No Philadelphia]]*$N$70</f>
        <v>545180.68175253191</v>
      </c>
      <c r="O47" s="7">
        <f>Table5[[#This Row],[Floor % w/ No Philadelphia]]*$O$70</f>
        <v>545180.68175253191</v>
      </c>
      <c r="P47" s="7">
        <f>Table5[[#This Row],[Floor % w/ No Philadelphia]]*$P$70</f>
        <v>545180.68175253191</v>
      </c>
      <c r="Q47" s="7">
        <f>Table5[[#This Row],[Floor % w/ No Philadelphia]]*$Q$70</f>
        <v>545180.68175253191</v>
      </c>
      <c r="R47" s="7">
        <f>SUM(Table5[[#This Row],[Payment 1]:[Payment 15]])</f>
        <v>11832543.009147294</v>
      </c>
    </row>
    <row r="48" spans="1:18" x14ac:dyDescent="0.3">
      <c r="A48" t="s">
        <v>72</v>
      </c>
      <c r="B48">
        <v>1.6204489772364977E-3</v>
      </c>
      <c r="C48" s="7">
        <f>Table5[[#This Row],[Floor % w/ No Philadelphia]]*$C$70</f>
        <v>-492.60288278865124</v>
      </c>
      <c r="D48" s="7">
        <f>Table5[[#This Row],[Floor % w/ No Philadelphia]]*$D$70</f>
        <v>24801.21520942367</v>
      </c>
      <c r="E48" s="7">
        <f>Table5[[#This Row],[Floor % w/ No Philadelphia]]*$E$70</f>
        <v>18402.579941710479</v>
      </c>
      <c r="F48" s="7">
        <f>Table5[[#This Row],[Floor % w/ No Philadelphia]]*$F$70</f>
        <v>18402.579941710479</v>
      </c>
      <c r="G48" s="7">
        <f>Table5[[#This Row],[Floor % w/ No Philadelphia]]*$G$70</f>
        <v>18402.579941710479</v>
      </c>
      <c r="H48" s="7">
        <f>Table5[[#This Row],[Floor % w/ No Philadelphia]]*$H$70</f>
        <v>23338.296360215525</v>
      </c>
      <c r="I48" s="7">
        <f>Table5[[#This Row],[Floor % w/ No Philadelphia]]*$I$70</f>
        <v>22747.78577537349</v>
      </c>
      <c r="J48" s="7">
        <f>Table5[[#This Row],[Floor % w/ No Philadelphia]]*$J$70</f>
        <v>24737.655669155563</v>
      </c>
      <c r="K48" s="7">
        <f>Table5[[#This Row],[Floor % w/ No Philadelphia]]*$K$70</f>
        <v>24728.283910808826</v>
      </c>
      <c r="L48" s="7">
        <f>Table5[[#This Row],[Floor % w/ No Philadelphia]]*$L$70</f>
        <v>24728.283931626862</v>
      </c>
      <c r="M48" s="7">
        <f>Table5[[#This Row],[Floor % w/ No Philadelphia]]*$M$70</f>
        <v>11961.083658796217</v>
      </c>
      <c r="N48" s="7">
        <f>Table5[[#This Row],[Floor % w/ No Philadelphia]]*$N$70</f>
        <v>11961.083658796217</v>
      </c>
      <c r="O48" s="7">
        <f>Table5[[#This Row],[Floor % w/ No Philadelphia]]*$O$70</f>
        <v>11961.083658796217</v>
      </c>
      <c r="P48" s="7">
        <f>Table5[[#This Row],[Floor % w/ No Philadelphia]]*$P$70</f>
        <v>11961.083658796217</v>
      </c>
      <c r="Q48" s="7">
        <f>Table5[[#This Row],[Floor % w/ No Philadelphia]]*$Q$70</f>
        <v>11961.083658796217</v>
      </c>
      <c r="R48" s="7">
        <f>SUM(Table5[[#This Row],[Payment 1]:[Payment 15]])</f>
        <v>259602.07609292775</v>
      </c>
    </row>
    <row r="49" spans="1:18" x14ac:dyDescent="0.3">
      <c r="A49" t="s">
        <v>73</v>
      </c>
      <c r="B49">
        <v>2.7136520351927821E-2</v>
      </c>
      <c r="C49" s="7">
        <f>Table5[[#This Row],[Floor % w/ No Philadelphia]]*$C$70</f>
        <v>-8249.2743319875681</v>
      </c>
      <c r="D49" s="7">
        <f>Table5[[#This Row],[Floor % w/ No Philadelphia]]*$D$70</f>
        <v>415328.52359895257</v>
      </c>
      <c r="E49" s="7">
        <f>Table5[[#This Row],[Floor % w/ No Philadelphia]]*$E$70</f>
        <v>308175.07501399249</v>
      </c>
      <c r="F49" s="7">
        <f>Table5[[#This Row],[Floor % w/ No Philadelphia]]*$F$70</f>
        <v>308175.07501399249</v>
      </c>
      <c r="G49" s="7">
        <f>Table5[[#This Row],[Floor % w/ No Philadelphia]]*$G$70</f>
        <v>308175.07501399249</v>
      </c>
      <c r="H49" s="7">
        <f>Table5[[#This Row],[Floor % w/ No Philadelphia]]*$H$70</f>
        <v>390830.04960660433</v>
      </c>
      <c r="I49" s="7">
        <f>Table5[[#This Row],[Floor % w/ No Philadelphia]]*$I$70</f>
        <v>380941.18378688401</v>
      </c>
      <c r="J49" s="7">
        <f>Table5[[#This Row],[Floor % w/ No Philadelphia]]*$J$70</f>
        <v>414264.13664060098</v>
      </c>
      <c r="K49" s="7">
        <f>Table5[[#This Row],[Floor % w/ No Philadelphia]]*$K$70</f>
        <v>414107.19438898918</v>
      </c>
      <c r="L49" s="7">
        <f>Table5[[#This Row],[Floor % w/ No Philadelphia]]*$L$70</f>
        <v>414107.19473761419</v>
      </c>
      <c r="M49" s="7">
        <f>Table5[[#This Row],[Floor % w/ No Philadelphia]]*$M$70</f>
        <v>200303.86312537591</v>
      </c>
      <c r="N49" s="7">
        <f>Table5[[#This Row],[Floor % w/ No Philadelphia]]*$N$70</f>
        <v>200303.86312537591</v>
      </c>
      <c r="O49" s="7">
        <f>Table5[[#This Row],[Floor % w/ No Philadelphia]]*$O$70</f>
        <v>200303.86312537591</v>
      </c>
      <c r="P49" s="7">
        <f>Table5[[#This Row],[Floor % w/ No Philadelphia]]*$P$70</f>
        <v>200303.86312537591</v>
      </c>
      <c r="Q49" s="7">
        <f>Table5[[#This Row],[Floor % w/ No Philadelphia]]*$Q$70</f>
        <v>200303.86312537591</v>
      </c>
      <c r="R49" s="7">
        <f>SUM(Table5[[#This Row],[Payment 1]:[Payment 15]])</f>
        <v>4347373.5490965145</v>
      </c>
    </row>
    <row r="50" spans="1:18" x14ac:dyDescent="0.3">
      <c r="A50" t="s">
        <v>74</v>
      </c>
      <c r="B50">
        <v>8.0749559209596904E-3</v>
      </c>
      <c r="C50" s="7">
        <f>Table5[[#This Row],[Floor % w/ No Philadelphia]]*$C$70</f>
        <v>-2454.7187976505452</v>
      </c>
      <c r="D50" s="7">
        <f>Table5[[#This Row],[Floor % w/ No Philadelphia]]*$D$70</f>
        <v>123588.41433185269</v>
      </c>
      <c r="E50" s="7">
        <f>Table5[[#This Row],[Floor % w/ No Philadelphia]]*$E$70</f>
        <v>91702.993397959683</v>
      </c>
      <c r="F50" s="7">
        <f>Table5[[#This Row],[Floor % w/ No Philadelphia]]*$F$70</f>
        <v>91702.993397959683</v>
      </c>
      <c r="G50" s="7">
        <f>Table5[[#This Row],[Floor % w/ No Philadelphia]]*$G$70</f>
        <v>91702.993397959683</v>
      </c>
      <c r="H50" s="7">
        <f>Table5[[#This Row],[Floor % w/ No Philadelphia]]*$H$70</f>
        <v>116298.45618491821</v>
      </c>
      <c r="I50" s="7">
        <f>Table5[[#This Row],[Floor % w/ No Philadelphia]]*$I$70</f>
        <v>113355.84767922401</v>
      </c>
      <c r="J50" s="7">
        <f>Table5[[#This Row],[Floor % w/ No Philadelphia]]*$J$70</f>
        <v>123271.68699687871</v>
      </c>
      <c r="K50" s="7">
        <f>Table5[[#This Row],[Floor % w/ No Philadelphia]]*$K$70</f>
        <v>123224.98602905136</v>
      </c>
      <c r="L50" s="7">
        <f>Table5[[#This Row],[Floor % w/ No Philadelphia]]*$L$70</f>
        <v>123224.98613279096</v>
      </c>
      <c r="M50" s="7">
        <f>Table5[[#This Row],[Floor % w/ No Philadelphia]]*$M$70</f>
        <v>59603.989183544967</v>
      </c>
      <c r="N50" s="7">
        <f>Table5[[#This Row],[Floor % w/ No Philadelphia]]*$N$70</f>
        <v>59603.989183544967</v>
      </c>
      <c r="O50" s="7">
        <f>Table5[[#This Row],[Floor % w/ No Philadelphia]]*$O$70</f>
        <v>59603.989183544967</v>
      </c>
      <c r="P50" s="7">
        <f>Table5[[#This Row],[Floor % w/ No Philadelphia]]*$P$70</f>
        <v>59603.989183544967</v>
      </c>
      <c r="Q50" s="7">
        <f>Table5[[#This Row],[Floor % w/ No Philadelphia]]*$Q$70</f>
        <v>59603.989183544967</v>
      </c>
      <c r="R50" s="7">
        <f>SUM(Table5[[#This Row],[Payment 1]:[Payment 15]])</f>
        <v>1293638.5846686689</v>
      </c>
    </row>
    <row r="51" spans="1:18" x14ac:dyDescent="0.3">
      <c r="A51" t="s">
        <v>75</v>
      </c>
      <c r="B51">
        <v>4.1130781719521236E-3</v>
      </c>
      <c r="C51" s="7">
        <f>Table5[[#This Row],[Floor % w/ No Philadelphia]]*$C$70</f>
        <v>-1250.3412283267398</v>
      </c>
      <c r="D51" s="7">
        <f>Table5[[#This Row],[Floor % w/ No Philadelphia]]*$D$70</f>
        <v>62951.279767989683</v>
      </c>
      <c r="E51" s="7">
        <f>Table5[[#This Row],[Floor % w/ No Philadelphia]]*$E$70</f>
        <v>46710.048220670717</v>
      </c>
      <c r="F51" s="7">
        <f>Table5[[#This Row],[Floor % w/ No Philadelphia]]*$F$70</f>
        <v>46710.048220670717</v>
      </c>
      <c r="G51" s="7">
        <f>Table5[[#This Row],[Floor % w/ No Philadelphia]]*$G$70</f>
        <v>46710.048220670717</v>
      </c>
      <c r="H51" s="7">
        <f>Table5[[#This Row],[Floor % w/ No Philadelphia]]*$H$70</f>
        <v>59238.049872731361</v>
      </c>
      <c r="I51" s="7">
        <f>Table5[[#This Row],[Floor % w/ No Philadelphia]]*$I$70</f>
        <v>57739.196017448267</v>
      </c>
      <c r="J51" s="7">
        <f>Table5[[#This Row],[Floor % w/ No Philadelphia]]*$J$70</f>
        <v>62789.950802148443</v>
      </c>
      <c r="K51" s="7">
        <f>Table5[[#This Row],[Floor % w/ No Philadelphia]]*$K$70</f>
        <v>62766.163089464942</v>
      </c>
      <c r="L51" s="7">
        <f>Table5[[#This Row],[Floor % w/ No Philadelphia]]*$L$70</f>
        <v>62766.163142305988</v>
      </c>
      <c r="M51" s="7">
        <f>Table5[[#This Row],[Floor % w/ No Philadelphia]]*$M$70</f>
        <v>30360.025400977425</v>
      </c>
      <c r="N51" s="7">
        <f>Table5[[#This Row],[Floor % w/ No Philadelphia]]*$N$70</f>
        <v>30360.025400977425</v>
      </c>
      <c r="O51" s="7">
        <f>Table5[[#This Row],[Floor % w/ No Philadelphia]]*$O$70</f>
        <v>30360.025400977425</v>
      </c>
      <c r="P51" s="7">
        <f>Table5[[#This Row],[Floor % w/ No Philadelphia]]*$P$70</f>
        <v>30360.025400977425</v>
      </c>
      <c r="Q51" s="7">
        <f>Table5[[#This Row],[Floor % w/ No Philadelphia]]*$Q$70</f>
        <v>30360.025400977425</v>
      </c>
      <c r="R51" s="7">
        <f>SUM(Table5[[#This Row],[Payment 1]:[Payment 15]])</f>
        <v>658930.73313066142</v>
      </c>
    </row>
    <row r="52" spans="1:18" x14ac:dyDescent="0.3">
      <c r="A52" t="s">
        <v>76</v>
      </c>
      <c r="B52">
        <v>0</v>
      </c>
      <c r="C52" s="7">
        <f>Table5[[#This Row],[Floor % w/ No Philadelphia]]*$C$70</f>
        <v>0</v>
      </c>
      <c r="D52" s="7">
        <f>Table5[[#This Row],[Floor % w/ No Philadelphia]]*$D$70</f>
        <v>0</v>
      </c>
      <c r="E52" s="7">
        <f>Table5[[#This Row],[Floor % w/ No Philadelphia]]*$E$70</f>
        <v>0</v>
      </c>
      <c r="F52" s="7">
        <f>Table5[[#This Row],[Floor % w/ No Philadelphia]]*$F$70</f>
        <v>0</v>
      </c>
      <c r="G52" s="7">
        <f>Table5[[#This Row],[Floor % w/ No Philadelphia]]*$G$70</f>
        <v>0</v>
      </c>
      <c r="H52" s="7">
        <f>Table5[[#This Row],[Floor % w/ No Philadelphia]]*$H$70</f>
        <v>0</v>
      </c>
      <c r="I52" s="7">
        <f>Table5[[#This Row],[Floor % w/ No Philadelphia]]*$I$70</f>
        <v>0</v>
      </c>
      <c r="J52" s="7">
        <f>Table5[[#This Row],[Floor % w/ No Philadelphia]]*$J$70</f>
        <v>0</v>
      </c>
      <c r="K52" s="7">
        <f>Table5[[#This Row],[Floor % w/ No Philadelphia]]*$K$70</f>
        <v>0</v>
      </c>
      <c r="L52" s="7">
        <f>Table5[[#This Row],[Floor % w/ No Philadelphia]]*$L$70</f>
        <v>0</v>
      </c>
      <c r="M52" s="7">
        <f>Table5[[#This Row],[Floor % w/ No Philadelphia]]*$M$70</f>
        <v>0</v>
      </c>
      <c r="N52" s="7">
        <f>Table5[[#This Row],[Floor % w/ No Philadelphia]]*$N$70</f>
        <v>0</v>
      </c>
      <c r="O52" s="7">
        <f>Table5[[#This Row],[Floor % w/ No Philadelphia]]*$O$70</f>
        <v>0</v>
      </c>
      <c r="P52" s="7">
        <f>Table5[[#This Row],[Floor % w/ No Philadelphia]]*$P$70</f>
        <v>0</v>
      </c>
      <c r="Q52" s="7">
        <f>Table5[[#This Row],[Floor % w/ No Philadelphia]]*$Q$70</f>
        <v>0</v>
      </c>
      <c r="R52" s="7">
        <f>SUM(Table5[[#This Row],[Payment 1]:[Payment 15]])</f>
        <v>0</v>
      </c>
    </row>
    <row r="53" spans="1:18" x14ac:dyDescent="0.3">
      <c r="A53" t="s">
        <v>77</v>
      </c>
      <c r="B53">
        <v>4.9608138766095277E-3</v>
      </c>
      <c r="C53" s="7">
        <f>Table5[[#This Row],[Floor % w/ No Philadelphia]]*$C$70</f>
        <v>-1508.0457644296123</v>
      </c>
      <c r="D53" s="7">
        <f>Table5[[#This Row],[Floor % w/ No Philadelphia]]*$D$70</f>
        <v>75926.002173490153</v>
      </c>
      <c r="E53" s="7">
        <f>Table5[[#This Row],[Floor % w/ No Philadelphia]]*$E$70</f>
        <v>56337.333185239717</v>
      </c>
      <c r="F53" s="7">
        <f>Table5[[#This Row],[Floor % w/ No Philadelphia]]*$F$70</f>
        <v>56337.333185239717</v>
      </c>
      <c r="G53" s="7">
        <f>Table5[[#This Row],[Floor % w/ No Philadelphia]]*$G$70</f>
        <v>56337.333185239717</v>
      </c>
      <c r="H53" s="7">
        <f>Table5[[#This Row],[Floor % w/ No Philadelphia]]*$H$70</f>
        <v>71447.44824834165</v>
      </c>
      <c r="I53" s="7">
        <f>Table5[[#This Row],[Floor % w/ No Philadelphia]]*$I$70</f>
        <v>69639.669574208383</v>
      </c>
      <c r="J53" s="7">
        <f>Table5[[#This Row],[Floor % w/ No Philadelphia]]*$J$70</f>
        <v>75731.422119577765</v>
      </c>
      <c r="K53" s="7">
        <f>Table5[[#This Row],[Floor % w/ No Philadelphia]]*$K$70</f>
        <v>75702.731584110239</v>
      </c>
      <c r="L53" s="7">
        <f>Table5[[#This Row],[Floor % w/ No Philadelphia]]*$L$70</f>
        <v>75702.731647842214</v>
      </c>
      <c r="M53" s="7">
        <f>Table5[[#This Row],[Floor % w/ No Philadelphia]]*$M$70</f>
        <v>36617.450242115083</v>
      </c>
      <c r="N53" s="7">
        <f>Table5[[#This Row],[Floor % w/ No Philadelphia]]*$N$70</f>
        <v>36617.450242115083</v>
      </c>
      <c r="O53" s="7">
        <f>Table5[[#This Row],[Floor % w/ No Philadelphia]]*$O$70</f>
        <v>36617.450242115083</v>
      </c>
      <c r="P53" s="7">
        <f>Table5[[#This Row],[Floor % w/ No Philadelphia]]*$P$70</f>
        <v>36617.450242115083</v>
      </c>
      <c r="Q53" s="7">
        <f>Table5[[#This Row],[Floor % w/ No Philadelphia]]*$Q$70</f>
        <v>36617.450242115083</v>
      </c>
      <c r="R53" s="7">
        <f>SUM(Table5[[#This Row],[Payment 1]:[Payment 15]])</f>
        <v>794741.21034943534</v>
      </c>
    </row>
    <row r="54" spans="1:18" x14ac:dyDescent="0.3">
      <c r="A54" t="s">
        <v>78</v>
      </c>
      <c r="B54">
        <v>1.4731779718619976E-3</v>
      </c>
      <c r="C54" s="7">
        <f>Table5[[#This Row],[Floor % w/ No Philadelphia]]*$C$70</f>
        <v>-447.8337337331954</v>
      </c>
      <c r="D54" s="7">
        <f>Table5[[#This Row],[Floor % w/ No Philadelphia]]*$D$70</f>
        <v>22547.210331942049</v>
      </c>
      <c r="E54" s="7">
        <f>Table5[[#This Row],[Floor % w/ No Philadelphia]]*$E$70</f>
        <v>16730.101210462668</v>
      </c>
      <c r="F54" s="7">
        <f>Table5[[#This Row],[Floor % w/ No Philadelphia]]*$F$70</f>
        <v>16730.101210462668</v>
      </c>
      <c r="G54" s="7">
        <f>Table5[[#This Row],[Floor % w/ No Philadelphia]]*$G$70</f>
        <v>16730.101210462668</v>
      </c>
      <c r="H54" s="7">
        <f>Table5[[#This Row],[Floor % w/ No Philadelphia]]*$H$70</f>
        <v>21217.245702663502</v>
      </c>
      <c r="I54" s="7">
        <f>Table5[[#This Row],[Floor % w/ No Philadelphia]]*$I$70</f>
        <v>20680.402396912399</v>
      </c>
      <c r="J54" s="7">
        <f>Table5[[#This Row],[Floor % w/ No Philadelphia]]*$J$70</f>
        <v>22489.427263212339</v>
      </c>
      <c r="K54" s="7">
        <f>Table5[[#This Row],[Floor % w/ No Philadelphia]]*$K$70</f>
        <v>22480.907236881383</v>
      </c>
      <c r="L54" s="7">
        <f>Table5[[#This Row],[Floor % w/ No Philadelphia]]*$L$70</f>
        <v>22480.907255807415</v>
      </c>
      <c r="M54" s="7">
        <f>Table5[[#This Row],[Floor % w/ No Philadelphia]]*$M$70</f>
        <v>10874.026404575532</v>
      </c>
      <c r="N54" s="7">
        <f>Table5[[#This Row],[Floor % w/ No Philadelphia]]*$N$70</f>
        <v>10874.026404575532</v>
      </c>
      <c r="O54" s="7">
        <f>Table5[[#This Row],[Floor % w/ No Philadelphia]]*$O$70</f>
        <v>10874.026404575532</v>
      </c>
      <c r="P54" s="7">
        <f>Table5[[#This Row],[Floor % w/ No Philadelphia]]*$P$70</f>
        <v>10874.026404575532</v>
      </c>
      <c r="Q54" s="7">
        <f>Table5[[#This Row],[Floor % w/ No Philadelphia]]*$Q$70</f>
        <v>10874.026404575532</v>
      </c>
      <c r="R54" s="7">
        <f>SUM(Table5[[#This Row],[Payment 1]:[Payment 15]])</f>
        <v>236008.70210795157</v>
      </c>
    </row>
    <row r="55" spans="1:18" x14ac:dyDescent="0.3">
      <c r="A55" t="s">
        <v>79</v>
      </c>
      <c r="B55">
        <v>1.2565279592604173E-2</v>
      </c>
      <c r="C55" s="7">
        <f>Table5[[#This Row],[Floor % w/ No Philadelphia]]*$C$70</f>
        <v>-3819.7394902973638</v>
      </c>
      <c r="D55" s="7">
        <f>Table5[[#This Row],[Floor % w/ No Philadelphia]]*$D$70</f>
        <v>192313.49318644655</v>
      </c>
      <c r="E55" s="7">
        <f>Table5[[#This Row],[Floor % w/ No Philadelphia]]*$E$70</f>
        <v>142697.21875920196</v>
      </c>
      <c r="F55" s="7">
        <f>Table5[[#This Row],[Floor % w/ No Philadelphia]]*$F$70</f>
        <v>142697.21875920196</v>
      </c>
      <c r="G55" s="7">
        <f>Table5[[#This Row],[Floor % w/ No Philadelphia]]*$G$70</f>
        <v>142697.21875920196</v>
      </c>
      <c r="H55" s="7">
        <f>Table5[[#This Row],[Floor % w/ No Philadelphia]]*$H$70</f>
        <v>180969.73314227682</v>
      </c>
      <c r="I55" s="7">
        <f>Table5[[#This Row],[Floor % w/ No Philadelphia]]*$I$70</f>
        <v>176390.79810318272</v>
      </c>
      <c r="J55" s="7">
        <f>Table5[[#This Row],[Floor % w/ No Philadelphia]]*$J$70</f>
        <v>191820.64002941092</v>
      </c>
      <c r="K55" s="7">
        <f>Table5[[#This Row],[Floor % w/ No Philadelphia]]*$K$70</f>
        <v>191747.96957476824</v>
      </c>
      <c r="L55" s="7">
        <f>Table5[[#This Row],[Floor % w/ No Philadelphia]]*$L$70</f>
        <v>191747.96973619537</v>
      </c>
      <c r="M55" s="7">
        <f>Table5[[#This Row],[Floor % w/ No Philadelphia]]*$M$70</f>
        <v>92748.591603059482</v>
      </c>
      <c r="N55" s="7">
        <f>Table5[[#This Row],[Floor % w/ No Philadelphia]]*$N$70</f>
        <v>92748.591603059482</v>
      </c>
      <c r="O55" s="7">
        <f>Table5[[#This Row],[Floor % w/ No Philadelphia]]*$O$70</f>
        <v>92748.591603059482</v>
      </c>
      <c r="P55" s="7">
        <f>Table5[[#This Row],[Floor % w/ No Philadelphia]]*$P$70</f>
        <v>92748.591603059482</v>
      </c>
      <c r="Q55" s="7">
        <f>Table5[[#This Row],[Floor % w/ No Philadelphia]]*$Q$70</f>
        <v>92748.591603059482</v>
      </c>
      <c r="R55" s="7">
        <f>SUM(Table5[[#This Row],[Payment 1]:[Payment 15]])</f>
        <v>2013005.4785748869</v>
      </c>
    </row>
    <row r="56" spans="1:18" x14ac:dyDescent="0.3">
      <c r="A56" t="s">
        <v>80</v>
      </c>
      <c r="B56">
        <v>3.5886322605042172E-3</v>
      </c>
      <c r="C56" s="7">
        <f>Table5[[#This Row],[Floor % w/ No Philadelphia]]*$C$70</f>
        <v>-1090.9140748186192</v>
      </c>
      <c r="D56" s="7">
        <f>Table5[[#This Row],[Floor % w/ No Philadelphia]]*$D$70</f>
        <v>54924.556249854766</v>
      </c>
      <c r="E56" s="7">
        <f>Table5[[#This Row],[Floor % w/ No Philadelphia]]*$E$70</f>
        <v>40754.194043156087</v>
      </c>
      <c r="F56" s="7">
        <f>Table5[[#This Row],[Floor % w/ No Philadelphia]]*$F$70</f>
        <v>40754.194043156087</v>
      </c>
      <c r="G56" s="7">
        <f>Table5[[#This Row],[Floor % w/ No Philadelphia]]*$G$70</f>
        <v>40754.194043156087</v>
      </c>
      <c r="H56" s="7">
        <f>Table5[[#This Row],[Floor % w/ No Philadelphia]]*$H$70</f>
        <v>51684.788845563417</v>
      </c>
      <c r="I56" s="7">
        <f>Table5[[#This Row],[Floor % w/ No Philadelphia]]*$I$70</f>
        <v>50377.049222346592</v>
      </c>
      <c r="J56" s="7">
        <f>Table5[[#This Row],[Floor % w/ No Philadelphia]]*$J$70</f>
        <v>54783.797842849606</v>
      </c>
      <c r="K56" s="7">
        <f>Table5[[#This Row],[Floor % w/ No Philadelphia]]*$K$70</f>
        <v>54763.04322804026</v>
      </c>
      <c r="L56" s="7">
        <f>Table5[[#This Row],[Floor % w/ No Philadelphia]]*$L$70</f>
        <v>54763.043274143696</v>
      </c>
      <c r="M56" s="7">
        <f>Table5[[#This Row],[Floor % w/ No Philadelphia]]*$M$70</f>
        <v>26488.912203670916</v>
      </c>
      <c r="N56" s="7">
        <f>Table5[[#This Row],[Floor % w/ No Philadelphia]]*$N$70</f>
        <v>26488.912203670916</v>
      </c>
      <c r="O56" s="7">
        <f>Table5[[#This Row],[Floor % w/ No Philadelphia]]*$O$70</f>
        <v>26488.912203670916</v>
      </c>
      <c r="P56" s="7">
        <f>Table5[[#This Row],[Floor % w/ No Philadelphia]]*$P$70</f>
        <v>26488.912203670916</v>
      </c>
      <c r="Q56" s="7">
        <f>Table5[[#This Row],[Floor % w/ No Philadelphia]]*$Q$70</f>
        <v>26488.912203670916</v>
      </c>
      <c r="R56" s="7">
        <f>SUM(Table5[[#This Row],[Payment 1]:[Payment 15]])</f>
        <v>574912.50773580268</v>
      </c>
    </row>
    <row r="57" spans="1:18" x14ac:dyDescent="0.3">
      <c r="A57" t="s">
        <v>81</v>
      </c>
      <c r="B57">
        <v>6.5286404844261681E-3</v>
      </c>
      <c r="C57" s="7">
        <f>Table5[[#This Row],[Floor % w/ No Philadelphia]]*$C$70</f>
        <v>-1984.6518887645675</v>
      </c>
      <c r="D57" s="7">
        <f>Table5[[#This Row],[Floor % w/ No Philadelphia]]*$D$70</f>
        <v>99921.82410787385</v>
      </c>
      <c r="E57" s="7">
        <f>Table5[[#This Row],[Floor % w/ No Philadelphia]]*$E$70</f>
        <v>74142.308775579237</v>
      </c>
      <c r="F57" s="7">
        <f>Table5[[#This Row],[Floor % w/ No Philadelphia]]*$F$70</f>
        <v>74142.308775579237</v>
      </c>
      <c r="G57" s="7">
        <f>Table5[[#This Row],[Floor % w/ No Philadelphia]]*$G$70</f>
        <v>74142.308775579237</v>
      </c>
      <c r="H57" s="7">
        <f>Table5[[#This Row],[Floor % w/ No Philadelphia]]*$H$70</f>
        <v>94027.858078373538</v>
      </c>
      <c r="I57" s="7">
        <f>Table5[[#This Row],[Floor % w/ No Philadelphia]]*$I$70</f>
        <v>91648.745027090321</v>
      </c>
      <c r="J57" s="7">
        <f>Table5[[#This Row],[Floor % w/ No Philadelphia]]*$J$70</f>
        <v>99665.748542647765</v>
      </c>
      <c r="K57" s="7">
        <f>Table5[[#This Row],[Floor % w/ No Philadelphia]]*$K$70</f>
        <v>99627.990586789689</v>
      </c>
      <c r="L57" s="7">
        <f>Table5[[#This Row],[Floor % w/ No Philadelphia]]*$L$70</f>
        <v>99627.990670663639</v>
      </c>
      <c r="M57" s="7">
        <f>Table5[[#This Row],[Floor % w/ No Philadelphia]]*$M$70</f>
        <v>48190.110339418854</v>
      </c>
      <c r="N57" s="7">
        <f>Table5[[#This Row],[Floor % w/ No Philadelphia]]*$N$70</f>
        <v>48190.110339418854</v>
      </c>
      <c r="O57" s="7">
        <f>Table5[[#This Row],[Floor % w/ No Philadelphia]]*$O$70</f>
        <v>48190.110339418854</v>
      </c>
      <c r="P57" s="7">
        <f>Table5[[#This Row],[Floor % w/ No Philadelphia]]*$P$70</f>
        <v>48190.110339418854</v>
      </c>
      <c r="Q57" s="7">
        <f>Table5[[#This Row],[Floor % w/ No Philadelphia]]*$Q$70</f>
        <v>48190.110339418854</v>
      </c>
      <c r="R57" s="7">
        <f>SUM(Table5[[#This Row],[Payment 1]:[Payment 15]])</f>
        <v>1045912.9831485063</v>
      </c>
    </row>
    <row r="58" spans="1:18" x14ac:dyDescent="0.3">
      <c r="A58" t="s">
        <v>82</v>
      </c>
      <c r="B58">
        <v>1.4285890000000001E-3</v>
      </c>
      <c r="C58" s="7">
        <f>Table5[[#This Row],[Floor % w/ No Philadelphia]]*$C$70</f>
        <v>-434.2790606837172</v>
      </c>
      <c r="D58" s="7">
        <f>Table5[[#This Row],[Floor % w/ No Philadelphia]]*$D$70</f>
        <v>21864.769414238945</v>
      </c>
      <c r="E58" s="7">
        <f>Table5[[#This Row],[Floor % w/ No Philadelphia]]*$E$70</f>
        <v>16223.727896192413</v>
      </c>
      <c r="F58" s="7">
        <f>Table5[[#This Row],[Floor % w/ No Philadelphia]]*$F$70</f>
        <v>16223.727896192413</v>
      </c>
      <c r="G58" s="7">
        <f>Table5[[#This Row],[Floor % w/ No Philadelphia]]*$G$70</f>
        <v>16223.727896192413</v>
      </c>
      <c r="H58" s="7">
        <f>Table5[[#This Row],[Floor % w/ No Philadelphia]]*$H$70</f>
        <v>20575.059089983297</v>
      </c>
      <c r="I58" s="7">
        <f>Table5[[#This Row],[Floor % w/ No Philadelphia]]*$I$70</f>
        <v>20054.46452777279</v>
      </c>
      <c r="J58" s="7">
        <f>Table5[[#This Row],[Floor % w/ No Philadelphia]]*$J$70</f>
        <v>21808.735277189517</v>
      </c>
      <c r="K58" s="7">
        <f>Table5[[#This Row],[Floor % w/ No Philadelphia]]*$K$70</f>
        <v>21800.473128196936</v>
      </c>
      <c r="L58" s="7">
        <f>Table5[[#This Row],[Floor % w/ No Philadelphia]]*$L$70</f>
        <v>21800.473146550132</v>
      </c>
      <c r="M58" s="7">
        <f>Table5[[#This Row],[Floor % w/ No Philadelphia]]*$M$70</f>
        <v>10544.900075889391</v>
      </c>
      <c r="N58" s="7">
        <f>Table5[[#This Row],[Floor % w/ No Philadelphia]]*$N$70</f>
        <v>10544.900075889391</v>
      </c>
      <c r="O58" s="7">
        <f>Table5[[#This Row],[Floor % w/ No Philadelphia]]*$O$70</f>
        <v>10544.900075889391</v>
      </c>
      <c r="P58" s="7">
        <f>Table5[[#This Row],[Floor % w/ No Philadelphia]]*$P$70</f>
        <v>10544.900075889391</v>
      </c>
      <c r="Q58" s="7">
        <f>Table5[[#This Row],[Floor % w/ No Philadelphia]]*$Q$70</f>
        <v>10544.900075889391</v>
      </c>
      <c r="R58" s="7">
        <f>SUM(Table5[[#This Row],[Payment 1]:[Payment 15]])</f>
        <v>228865.37959127213</v>
      </c>
    </row>
    <row r="59" spans="1:18" x14ac:dyDescent="0.3">
      <c r="A59" t="s">
        <v>83</v>
      </c>
      <c r="B59">
        <v>3.5847211384527414E-3</v>
      </c>
      <c r="C59" s="7">
        <f>Table5[[#This Row],[Floor % w/ No Philadelphia]]*$C$70</f>
        <v>-1089.7251265551686</v>
      </c>
      <c r="D59" s="7">
        <f>Table5[[#This Row],[Floor % w/ No Philadelphia]]*$D$70</f>
        <v>54864.695938872064</v>
      </c>
      <c r="E59" s="7">
        <f>Table5[[#This Row],[Floor % w/ No Philadelphia]]*$E$70</f>
        <v>40709.777503527162</v>
      </c>
      <c r="F59" s="7">
        <f>Table5[[#This Row],[Floor % w/ No Philadelphia]]*$F$70</f>
        <v>40709.777503527162</v>
      </c>
      <c r="G59" s="7">
        <f>Table5[[#This Row],[Floor % w/ No Philadelphia]]*$G$70</f>
        <v>40709.777503527162</v>
      </c>
      <c r="H59" s="7">
        <f>Table5[[#This Row],[Floor % w/ No Philadelphia]]*$H$70</f>
        <v>51628.459441293016</v>
      </c>
      <c r="I59" s="7">
        <f>Table5[[#This Row],[Floor % w/ No Philadelphia]]*$I$70</f>
        <v>50322.145076756009</v>
      </c>
      <c r="J59" s="7">
        <f>Table5[[#This Row],[Floor % w/ No Philadelphia]]*$J$70</f>
        <v>54724.090939424328</v>
      </c>
      <c r="K59" s="7">
        <f>Table5[[#This Row],[Floor % w/ No Philadelphia]]*$K$70</f>
        <v>54703.358944327942</v>
      </c>
      <c r="L59" s="7">
        <f>Table5[[#This Row],[Floor % w/ No Philadelphia]]*$L$70</f>
        <v>54703.358990381137</v>
      </c>
      <c r="M59" s="7">
        <f>Table5[[#This Row],[Floor % w/ No Philadelphia]]*$M$70</f>
        <v>26460.042884911345</v>
      </c>
      <c r="N59" s="7">
        <f>Table5[[#This Row],[Floor % w/ No Philadelphia]]*$N$70</f>
        <v>26460.042884911345</v>
      </c>
      <c r="O59" s="7">
        <f>Table5[[#This Row],[Floor % w/ No Philadelphia]]*$O$70</f>
        <v>26460.042884911345</v>
      </c>
      <c r="P59" s="7">
        <f>Table5[[#This Row],[Floor % w/ No Philadelphia]]*$P$70</f>
        <v>26460.042884911345</v>
      </c>
      <c r="Q59" s="7">
        <f>Table5[[#This Row],[Floor % w/ No Philadelphia]]*$Q$70</f>
        <v>26460.042884911345</v>
      </c>
      <c r="R59" s="7">
        <f>SUM(Table5[[#This Row],[Payment 1]:[Payment 15]])</f>
        <v>574285.93113963748</v>
      </c>
    </row>
    <row r="60" spans="1:18" x14ac:dyDescent="0.3">
      <c r="A60" t="s">
        <v>84</v>
      </c>
      <c r="B60">
        <v>3.6080989816240634E-3</v>
      </c>
      <c r="C60" s="7">
        <f>Table5[[#This Row],[Floor % w/ No Philadelphia]]*$C$70</f>
        <v>-1096.831794584429</v>
      </c>
      <c r="D60" s="7">
        <f>Table5[[#This Row],[Floor % w/ No Philadelphia]]*$D$70</f>
        <v>55222.497343155032</v>
      </c>
      <c r="E60" s="7">
        <f>Table5[[#This Row],[Floor % w/ No Philadelphia]]*$E$70</f>
        <v>40975.267274490951</v>
      </c>
      <c r="F60" s="7">
        <f>Table5[[#This Row],[Floor % w/ No Philadelphia]]*$F$70</f>
        <v>40975.267274490951</v>
      </c>
      <c r="G60" s="7">
        <f>Table5[[#This Row],[Floor % w/ No Philadelphia]]*$G$70</f>
        <v>40975.267274490951</v>
      </c>
      <c r="H60" s="7">
        <f>Table5[[#This Row],[Floor % w/ No Philadelphia]]*$H$70</f>
        <v>51965.155653182032</v>
      </c>
      <c r="I60" s="7">
        <f>Table5[[#This Row],[Floor % w/ No Philadelphia]]*$I$70</f>
        <v>50650.322128808846</v>
      </c>
      <c r="J60" s="7">
        <f>Table5[[#This Row],[Floor % w/ No Philadelphia]]*$J$70</f>
        <v>55080.975384898164</v>
      </c>
      <c r="K60" s="7">
        <f>Table5[[#This Row],[Floor % w/ No Philadelphia]]*$K$70</f>
        <v>55060.108185608398</v>
      </c>
      <c r="L60" s="7">
        <f>Table5[[#This Row],[Floor % w/ No Philadelphia]]*$L$70</f>
        <v>55060.108231961931</v>
      </c>
      <c r="M60" s="7">
        <f>Table5[[#This Row],[Floor % w/ No Philadelphia]]*$M$70</f>
        <v>26632.602676587889</v>
      </c>
      <c r="N60" s="7">
        <f>Table5[[#This Row],[Floor % w/ No Philadelphia]]*$N$70</f>
        <v>26632.602676587889</v>
      </c>
      <c r="O60" s="7">
        <f>Table5[[#This Row],[Floor % w/ No Philadelphia]]*$O$70</f>
        <v>26632.602676587889</v>
      </c>
      <c r="P60" s="7">
        <f>Table5[[#This Row],[Floor % w/ No Philadelphia]]*$P$70</f>
        <v>26632.602676587889</v>
      </c>
      <c r="Q60" s="7">
        <f>Table5[[#This Row],[Floor % w/ No Philadelphia]]*$Q$70</f>
        <v>26632.602676587889</v>
      </c>
      <c r="R60" s="7">
        <f>SUM(Table5[[#This Row],[Payment 1]:[Payment 15]])</f>
        <v>578031.15033944231</v>
      </c>
    </row>
    <row r="61" spans="1:18" x14ac:dyDescent="0.3">
      <c r="A61" t="s">
        <v>85</v>
      </c>
      <c r="B61">
        <v>3.9931667254193733E-3</v>
      </c>
      <c r="C61" s="7">
        <f>Table5[[#This Row],[Floor % w/ No Philadelphia]]*$C$70</f>
        <v>-1213.8891554314084</v>
      </c>
      <c r="D61" s="7">
        <f>Table5[[#This Row],[Floor % w/ No Philadelphia]]*$D$70</f>
        <v>61116.017051724593</v>
      </c>
      <c r="E61" s="7">
        <f>Table5[[#This Row],[Floor % w/ No Philadelphia]]*$E$70</f>
        <v>45348.277494320333</v>
      </c>
      <c r="F61" s="7">
        <f>Table5[[#This Row],[Floor % w/ No Philadelphia]]*$F$70</f>
        <v>45348.277494320333</v>
      </c>
      <c r="G61" s="7">
        <f>Table5[[#This Row],[Floor % w/ No Philadelphia]]*$G$70</f>
        <v>45348.277494320333</v>
      </c>
      <c r="H61" s="7">
        <f>Table5[[#This Row],[Floor % w/ No Philadelphia]]*$H$70</f>
        <v>57511.041546350076</v>
      </c>
      <c r="I61" s="7">
        <f>Table5[[#This Row],[Floor % w/ No Philadelphia]]*$I$70</f>
        <v>56055.884826500442</v>
      </c>
      <c r="J61" s="7">
        <f>Table5[[#This Row],[Floor % w/ No Philadelphia]]*$J$70</f>
        <v>60959.391422132489</v>
      </c>
      <c r="K61" s="7">
        <f>Table5[[#This Row],[Floor % w/ No Philadelphia]]*$K$70</f>
        <v>60936.29720928496</v>
      </c>
      <c r="L61" s="7">
        <f>Table5[[#This Row],[Floor % w/ No Philadelphia]]*$L$70</f>
        <v>60936.297260585488</v>
      </c>
      <c r="M61" s="7">
        <f>Table5[[#This Row],[Floor % w/ No Philadelphia]]*$M$70</f>
        <v>29474.918332644123</v>
      </c>
      <c r="N61" s="7">
        <f>Table5[[#This Row],[Floor % w/ No Philadelphia]]*$N$70</f>
        <v>29474.918332644123</v>
      </c>
      <c r="O61" s="7">
        <f>Table5[[#This Row],[Floor % w/ No Philadelphia]]*$O$70</f>
        <v>29474.918332644123</v>
      </c>
      <c r="P61" s="7">
        <f>Table5[[#This Row],[Floor % w/ No Philadelphia]]*$P$70</f>
        <v>29474.918332644123</v>
      </c>
      <c r="Q61" s="7">
        <f>Table5[[#This Row],[Floor % w/ No Philadelphia]]*$Q$70</f>
        <v>29474.918332644123</v>
      </c>
      <c r="R61" s="7">
        <f>SUM(Table5[[#This Row],[Payment 1]:[Payment 15]])</f>
        <v>639720.46430732834</v>
      </c>
    </row>
    <row r="62" spans="1:18" x14ac:dyDescent="0.3">
      <c r="A62" t="s">
        <v>86</v>
      </c>
      <c r="B62">
        <v>4.5038348205495814E-3</v>
      </c>
      <c r="C62" s="7">
        <f>Table5[[#This Row],[Floor % w/ No Philadelphia]]*$C$70</f>
        <v>-1369.127968466011</v>
      </c>
      <c r="D62" s="7">
        <f>Table5[[#This Row],[Floor % w/ No Philadelphia]]*$D$70</f>
        <v>68931.869019806836</v>
      </c>
      <c r="E62" s="7">
        <f>Table5[[#This Row],[Floor % w/ No Philadelphia]]*$E$70</f>
        <v>51147.664316324008</v>
      </c>
      <c r="F62" s="7">
        <f>Table5[[#This Row],[Floor % w/ No Philadelphia]]*$F$70</f>
        <v>51147.664316324008</v>
      </c>
      <c r="G62" s="7">
        <f>Table5[[#This Row],[Floor % w/ No Philadelphia]]*$G$70</f>
        <v>51147.664316324008</v>
      </c>
      <c r="H62" s="7">
        <f>Table5[[#This Row],[Floor % w/ No Philadelphia]]*$H$70</f>
        <v>64865.869444838194</v>
      </c>
      <c r="I62" s="7">
        <f>Table5[[#This Row],[Floor % w/ No Philadelphia]]*$I$70</f>
        <v>63224.619290544375</v>
      </c>
      <c r="J62" s="7">
        <f>Table5[[#This Row],[Floor % w/ No Philadelphia]]*$J$70</f>
        <v>68755.213244365019</v>
      </c>
      <c r="K62" s="7">
        <f>Table5[[#This Row],[Floor % w/ No Philadelphia]]*$K$70</f>
        <v>68729.165616723083</v>
      </c>
      <c r="L62" s="7">
        <f>Table5[[#This Row],[Floor % w/ No Philadelphia]]*$L$70</f>
        <v>68729.165674584205</v>
      </c>
      <c r="M62" s="7">
        <f>Table5[[#This Row],[Floor % w/ No Philadelphia]]*$M$70</f>
        <v>33244.332793411231</v>
      </c>
      <c r="N62" s="7">
        <f>Table5[[#This Row],[Floor % w/ No Philadelphia]]*$N$70</f>
        <v>33244.332793411231</v>
      </c>
      <c r="O62" s="7">
        <f>Table5[[#This Row],[Floor % w/ No Philadelphia]]*$O$70</f>
        <v>33244.332793411231</v>
      </c>
      <c r="P62" s="7">
        <f>Table5[[#This Row],[Floor % w/ No Philadelphia]]*$P$70</f>
        <v>33244.332793411231</v>
      </c>
      <c r="Q62" s="7">
        <f>Table5[[#This Row],[Floor % w/ No Philadelphia]]*$Q$70</f>
        <v>33244.332793411231</v>
      </c>
      <c r="R62" s="7">
        <f>SUM(Table5[[#This Row],[Payment 1]:[Payment 15]])</f>
        <v>721531.4312384238</v>
      </c>
    </row>
    <row r="63" spans="1:18" x14ac:dyDescent="0.3">
      <c r="A63" t="s">
        <v>87</v>
      </c>
      <c r="B63">
        <v>3.4836541890771022E-3</v>
      </c>
      <c r="C63" s="7">
        <f>Table5[[#This Row],[Floor % w/ No Philadelphia]]*$C$70</f>
        <v>-1059.0016225655527</v>
      </c>
      <c r="D63" s="7">
        <f>Table5[[#This Row],[Floor % w/ No Philadelphia]]*$D$70</f>
        <v>53317.851084614536</v>
      </c>
      <c r="E63" s="7">
        <f>Table5[[#This Row],[Floor % w/ No Philadelphia]]*$E$70</f>
        <v>39562.013740843409</v>
      </c>
      <c r="F63" s="7">
        <f>Table5[[#This Row],[Floor % w/ No Philadelphia]]*$F$70</f>
        <v>39562.013740843409</v>
      </c>
      <c r="G63" s="7">
        <f>Table5[[#This Row],[Floor % w/ No Philadelphia]]*$G$70</f>
        <v>39562.013740843409</v>
      </c>
      <c r="H63" s="7">
        <f>Table5[[#This Row],[Floor % w/ No Philadelphia]]*$H$70</f>
        <v>50172.856426396407</v>
      </c>
      <c r="I63" s="7">
        <f>Table5[[#This Row],[Floor % w/ No Philadelphia]]*$I$70</f>
        <v>48903.372041835559</v>
      </c>
      <c r="J63" s="7">
        <f>Table5[[#This Row],[Floor % w/ No Philadelphia]]*$J$70</f>
        <v>53181.210275911988</v>
      </c>
      <c r="K63" s="7">
        <f>Table5[[#This Row],[Floor % w/ No Philadelphia]]*$K$70</f>
        <v>53161.062794761856</v>
      </c>
      <c r="L63" s="7">
        <f>Table5[[#This Row],[Floor % w/ No Philadelphia]]*$L$70</f>
        <v>53161.062839516635</v>
      </c>
      <c r="M63" s="7">
        <f>Table5[[#This Row],[Floor % w/ No Philadelphia]]*$M$70</f>
        <v>25714.033443328713</v>
      </c>
      <c r="N63" s="7">
        <f>Table5[[#This Row],[Floor % w/ No Philadelphia]]*$N$70</f>
        <v>25714.033443328713</v>
      </c>
      <c r="O63" s="7">
        <f>Table5[[#This Row],[Floor % w/ No Philadelphia]]*$O$70</f>
        <v>25714.033443328713</v>
      </c>
      <c r="P63" s="7">
        <f>Table5[[#This Row],[Floor % w/ No Philadelphia]]*$P$70</f>
        <v>25714.033443328713</v>
      </c>
      <c r="Q63" s="7">
        <f>Table5[[#This Row],[Floor % w/ No Philadelphia]]*$Q$70</f>
        <v>25714.033443328713</v>
      </c>
      <c r="R63" s="7">
        <f>SUM(Table5[[#This Row],[Payment 1]:[Payment 15]])</f>
        <v>558094.62227964518</v>
      </c>
    </row>
    <row r="64" spans="1:18" x14ac:dyDescent="0.3">
      <c r="A64" t="s">
        <v>88</v>
      </c>
      <c r="B64">
        <v>1.8388051435876473E-2</v>
      </c>
      <c r="C64" s="7">
        <f>Table5[[#This Row],[Floor % w/ No Philadelphia]]*$C$70</f>
        <v>-5589.8132390605779</v>
      </c>
      <c r="D64" s="7">
        <f>Table5[[#This Row],[Floor % w/ No Philadelphia]]*$D$70</f>
        <v>281431.89162355609</v>
      </c>
      <c r="E64" s="7">
        <f>Table5[[#This Row],[Floor % w/ No Philadelphia]]*$E$70</f>
        <v>208823.35159857039</v>
      </c>
      <c r="F64" s="7">
        <f>Table5[[#This Row],[Floor % w/ No Philadelphia]]*$F$70</f>
        <v>208823.35159857039</v>
      </c>
      <c r="G64" s="7">
        <f>Table5[[#This Row],[Floor % w/ No Philadelphia]]*$G$70</f>
        <v>208823.35159857039</v>
      </c>
      <c r="H64" s="7">
        <f>Table5[[#This Row],[Floor % w/ No Philadelphia]]*$H$70</f>
        <v>264831.41396357567</v>
      </c>
      <c r="I64" s="7">
        <f>Table5[[#This Row],[Floor % w/ No Philadelphia]]*$I$70</f>
        <v>258130.59267266246</v>
      </c>
      <c r="J64" s="7">
        <f>Table5[[#This Row],[Floor % w/ No Philadelphia]]*$J$70</f>
        <v>280710.64947887359</v>
      </c>
      <c r="K64" s="7">
        <f>Table5[[#This Row],[Floor % w/ No Philadelphia]]*$K$70</f>
        <v>280604.30341247766</v>
      </c>
      <c r="L64" s="7">
        <f>Table5[[#This Row],[Floor % w/ No Philadelphia]]*$L$70</f>
        <v>280604.30364871043</v>
      </c>
      <c r="M64" s="7">
        <f>Table5[[#This Row],[Floor % w/ No Philadelphia]]*$M$70</f>
        <v>135728.44602725614</v>
      </c>
      <c r="N64" s="7">
        <f>Table5[[#This Row],[Floor % w/ No Philadelphia]]*$N$70</f>
        <v>135728.44602725614</v>
      </c>
      <c r="O64" s="7">
        <f>Table5[[#This Row],[Floor % w/ No Philadelphia]]*$O$70</f>
        <v>135728.44602725614</v>
      </c>
      <c r="P64" s="7">
        <f>Table5[[#This Row],[Floor % w/ No Philadelphia]]*$P$70</f>
        <v>135728.44602725614</v>
      </c>
      <c r="Q64" s="7">
        <f>Table5[[#This Row],[Floor % w/ No Philadelphia]]*$Q$70</f>
        <v>135728.44602725614</v>
      </c>
      <c r="R64" s="7">
        <f>SUM(Table5[[#This Row],[Payment 1]:[Payment 15]])</f>
        <v>2945835.6264927872</v>
      </c>
    </row>
    <row r="65" spans="1:18" x14ac:dyDescent="0.3">
      <c r="A65" t="s">
        <v>89</v>
      </c>
      <c r="B65">
        <v>4.5654349928603262E-3</v>
      </c>
      <c r="C65" s="7">
        <f>Table5[[#This Row],[Floor % w/ No Philadelphia]]*$C$70</f>
        <v>-1387.8539036153545</v>
      </c>
      <c r="D65" s="7">
        <f>Table5[[#This Row],[Floor % w/ No Philadelphia]]*$D$70</f>
        <v>69874.668917784365</v>
      </c>
      <c r="E65" s="7">
        <f>Table5[[#This Row],[Floor % w/ No Philadelphia]]*$E$70</f>
        <v>51847.224815479531</v>
      </c>
      <c r="F65" s="7">
        <f>Table5[[#This Row],[Floor % w/ No Philadelphia]]*$F$70</f>
        <v>51847.224815479531</v>
      </c>
      <c r="G65" s="7">
        <f>Table5[[#This Row],[Floor % w/ No Philadelphia]]*$G$70</f>
        <v>51847.224815479531</v>
      </c>
      <c r="H65" s="7">
        <f>Table5[[#This Row],[Floor % w/ No Philadelphia]]*$H$70</f>
        <v>65753.057562097063</v>
      </c>
      <c r="I65" s="7">
        <f>Table5[[#This Row],[Floor % w/ No Philadelphia]]*$I$70</f>
        <v>64089.359583596139</v>
      </c>
      <c r="J65" s="7">
        <f>Table5[[#This Row],[Floor % w/ No Philadelphia]]*$J$70</f>
        <v>69695.59697331315</v>
      </c>
      <c r="K65" s="7">
        <f>Table5[[#This Row],[Floor % w/ No Philadelphia]]*$K$70</f>
        <v>69669.193085192106</v>
      </c>
      <c r="L65" s="7">
        <f>Table5[[#This Row],[Floor % w/ No Philadelphia]]*$L$70</f>
        <v>69669.193143844604</v>
      </c>
      <c r="M65" s="7">
        <f>Table5[[#This Row],[Floor % w/ No Philadelphia]]*$M$70</f>
        <v>33699.024563874518</v>
      </c>
      <c r="N65" s="7">
        <f>Table5[[#This Row],[Floor % w/ No Philadelphia]]*$N$70</f>
        <v>33699.024563874518</v>
      </c>
      <c r="O65" s="7">
        <f>Table5[[#This Row],[Floor % w/ No Philadelphia]]*$O$70</f>
        <v>33699.024563874518</v>
      </c>
      <c r="P65" s="7">
        <f>Table5[[#This Row],[Floor % w/ No Philadelphia]]*$P$70</f>
        <v>33699.024563874518</v>
      </c>
      <c r="Q65" s="7">
        <f>Table5[[#This Row],[Floor % w/ No Philadelphia]]*$Q$70</f>
        <v>33699.024563874518</v>
      </c>
      <c r="R65" s="7">
        <f>SUM(Table5[[#This Row],[Payment 1]:[Payment 15]])</f>
        <v>731400.01262802293</v>
      </c>
    </row>
    <row r="66" spans="1:18" x14ac:dyDescent="0.3">
      <c r="A66" t="s">
        <v>90</v>
      </c>
      <c r="B66">
        <v>3.1013331196315785E-2</v>
      </c>
      <c r="C66" s="7">
        <f>Table5[[#This Row],[Floor % w/ No Philadelphia]]*$C$70</f>
        <v>-9427.7922765813273</v>
      </c>
      <c r="D66" s="7">
        <f>Table5[[#This Row],[Floor % w/ No Philadelphia]]*$D$70</f>
        <v>474663.69639894174</v>
      </c>
      <c r="E66" s="7">
        <f>Table5[[#This Row],[Floor % w/ No Philadelphia]]*$E$70</f>
        <v>352201.96045435237</v>
      </c>
      <c r="F66" s="7">
        <f>Table5[[#This Row],[Floor % w/ No Philadelphia]]*$F$70</f>
        <v>352201.96045435237</v>
      </c>
      <c r="G66" s="7">
        <f>Table5[[#This Row],[Floor % w/ No Philadelphia]]*$G$70</f>
        <v>352201.96045435237</v>
      </c>
      <c r="H66" s="7">
        <f>Table5[[#This Row],[Floor % w/ No Philadelphia]]*$H$70</f>
        <v>446665.29137590982</v>
      </c>
      <c r="I66" s="7">
        <f>Table5[[#This Row],[Floor % w/ No Philadelphia]]*$I$70</f>
        <v>435363.67028206441</v>
      </c>
      <c r="J66" s="7">
        <f>Table5[[#This Row],[Floor % w/ No Philadelphia]]*$J$70</f>
        <v>473447.24768583139</v>
      </c>
      <c r="K66" s="7">
        <f>Table5[[#This Row],[Floor % w/ No Philadelphia]]*$K$70</f>
        <v>473267.8841578326</v>
      </c>
      <c r="L66" s="7">
        <f>Table5[[#This Row],[Floor % w/ No Philadelphia]]*$L$70</f>
        <v>473267.88455626334</v>
      </c>
      <c r="M66" s="7">
        <f>Table5[[#This Row],[Floor % w/ No Philadelphia]]*$M$70</f>
        <v>228919.91922492269</v>
      </c>
      <c r="N66" s="7">
        <f>Table5[[#This Row],[Floor % w/ No Philadelphia]]*$N$70</f>
        <v>228919.91922492269</v>
      </c>
      <c r="O66" s="7">
        <f>Table5[[#This Row],[Floor % w/ No Philadelphia]]*$O$70</f>
        <v>228919.91922492269</v>
      </c>
      <c r="P66" s="7">
        <f>Table5[[#This Row],[Floor % w/ No Philadelphia]]*$P$70</f>
        <v>228919.91922492269</v>
      </c>
      <c r="Q66" s="7">
        <f>Table5[[#This Row],[Floor % w/ No Philadelphia]]*$Q$70</f>
        <v>228919.91922492269</v>
      </c>
      <c r="R66" s="7">
        <f>SUM(Table5[[#This Row],[Payment 1]:[Payment 15]])</f>
        <v>4968453.3596679326</v>
      </c>
    </row>
    <row r="67" spans="1:18" x14ac:dyDescent="0.3">
      <c r="A67" t="s">
        <v>91</v>
      </c>
      <c r="B67">
        <v>2.381695551073764E-3</v>
      </c>
      <c r="C67" s="7">
        <f>Table5[[#This Row],[Floor % w/ No Philadelphia]]*$C$70</f>
        <v>-724.01544933840478</v>
      </c>
      <c r="D67" s="7">
        <f>Table5[[#This Row],[Floor % w/ No Philadelphia]]*$D$70</f>
        <v>36452.208465238495</v>
      </c>
      <c r="E67" s="7">
        <f>Table5[[#This Row],[Floor % w/ No Philadelphia]]*$E$70</f>
        <v>27047.653700394436</v>
      </c>
      <c r="F67" s="7">
        <f>Table5[[#This Row],[Floor % w/ No Philadelphia]]*$F$70</f>
        <v>27047.653700394436</v>
      </c>
      <c r="G67" s="7">
        <f>Table5[[#This Row],[Floor % w/ No Philadelphia]]*$G$70</f>
        <v>27047.653700394436</v>
      </c>
      <c r="H67" s="7">
        <f>Table5[[#This Row],[Floor % w/ No Philadelphia]]*$H$70</f>
        <v>34302.046773209804</v>
      </c>
      <c r="I67" s="7">
        <f>Table5[[#This Row],[Floor % w/ No Philadelphia]]*$I$70</f>
        <v>33434.129021687178</v>
      </c>
      <c r="J67" s="7">
        <f>Table5[[#This Row],[Floor % w/ No Philadelphia]]*$J$70</f>
        <v>36358.790235839508</v>
      </c>
      <c r="K67" s="7">
        <f>Table5[[#This Row],[Floor % w/ No Philadelphia]]*$K$70</f>
        <v>36345.015858815779</v>
      </c>
      <c r="L67" s="7">
        <f>Table5[[#This Row],[Floor % w/ No Philadelphia]]*$L$70</f>
        <v>36345.015889413611</v>
      </c>
      <c r="M67" s="7">
        <f>Table5[[#This Row],[Floor % w/ No Philadelphia]]*$M$70</f>
        <v>17580.102882818752</v>
      </c>
      <c r="N67" s="7">
        <f>Table5[[#This Row],[Floor % w/ No Philadelphia]]*$N$70</f>
        <v>17580.102882818752</v>
      </c>
      <c r="O67" s="7">
        <f>Table5[[#This Row],[Floor % w/ No Philadelphia]]*$O$70</f>
        <v>17580.102882818752</v>
      </c>
      <c r="P67" s="7">
        <f>Table5[[#This Row],[Floor % w/ No Philadelphia]]*$P$70</f>
        <v>17580.102882818752</v>
      </c>
      <c r="Q67" s="7">
        <f>Table5[[#This Row],[Floor % w/ No Philadelphia]]*$Q$70</f>
        <v>17580.102882818752</v>
      </c>
      <c r="R67" s="7">
        <f>SUM(Table5[[#This Row],[Payment 1]:[Payment 15]])</f>
        <v>381556.66631014296</v>
      </c>
    </row>
    <row r="68" spans="1:18" x14ac:dyDescent="0.3">
      <c r="A68" t="s">
        <v>92</v>
      </c>
      <c r="B68">
        <v>3.9916378322537971E-2</v>
      </c>
      <c r="C68" s="7">
        <f>Table5[[#This Row],[Floor % w/ No Philadelphia]]*$C$70</f>
        <v>-12134.243847466054</v>
      </c>
      <c r="D68" s="7">
        <f>Table5[[#This Row],[Floor % w/ No Philadelphia]]*$D$70</f>
        <v>610926.17111976829</v>
      </c>
      <c r="E68" s="7">
        <f>Table5[[#This Row],[Floor % w/ No Philadelphia]]*$E$70</f>
        <v>453309.14665192674</v>
      </c>
      <c r="F68" s="7">
        <f>Table5[[#This Row],[Floor % w/ No Philadelphia]]*$F$70</f>
        <v>453309.14665192674</v>
      </c>
      <c r="G68" s="7">
        <f>Table5[[#This Row],[Floor % w/ No Philadelphia]]*$G$70</f>
        <v>453309.14665192674</v>
      </c>
      <c r="H68" s="7">
        <f>Table5[[#This Row],[Floor % w/ No Philadelphia]]*$H$70</f>
        <v>574890.21870135295</v>
      </c>
      <c r="I68" s="7">
        <f>Table5[[#This Row],[Floor % w/ No Philadelphia]]*$I$70</f>
        <v>560344.222968605</v>
      </c>
      <c r="J68" s="7">
        <f>Table5[[#This Row],[Floor % w/ No Philadelphia]]*$J$70</f>
        <v>609360.51450793527</v>
      </c>
      <c r="K68" s="7">
        <f>Table5[[#This Row],[Floor % w/ No Philadelphia]]*$K$70</f>
        <v>609129.66080197424</v>
      </c>
      <c r="L68" s="7">
        <f>Table5[[#This Row],[Floor % w/ No Philadelphia]]*$L$70</f>
        <v>609129.66131478315</v>
      </c>
      <c r="M68" s="7">
        <f>Table5[[#This Row],[Floor % w/ No Philadelphia]]*$M$70</f>
        <v>294636.33053492662</v>
      </c>
      <c r="N68" s="7">
        <f>Table5[[#This Row],[Floor % w/ No Philadelphia]]*$N$70</f>
        <v>294636.33053492662</v>
      </c>
      <c r="O68" s="7">
        <f>Table5[[#This Row],[Floor % w/ No Philadelphia]]*$O$70</f>
        <v>294636.33053492662</v>
      </c>
      <c r="P68" s="7">
        <f>Table5[[#This Row],[Floor % w/ No Philadelphia]]*$P$70</f>
        <v>294636.33053492662</v>
      </c>
      <c r="Q68" s="7">
        <f>Table5[[#This Row],[Floor % w/ No Philadelphia]]*$Q$70</f>
        <v>294636.33053492662</v>
      </c>
      <c r="R68" s="7">
        <f>SUM(Table5[[#This Row],[Payment 1]:[Payment 15]])</f>
        <v>6394755.2981973654</v>
      </c>
    </row>
    <row r="70" spans="1:18" s="16" customFormat="1" x14ac:dyDescent="0.3">
      <c r="A70" s="16" t="s">
        <v>25</v>
      </c>
      <c r="C70" s="34">
        <f>'County Breakdown'!K2</f>
        <v>-303991.60338188044</v>
      </c>
      <c r="D70" s="34">
        <f>'County Breakdown'!K3</f>
        <v>15305150.33661812</v>
      </c>
      <c r="E70" s="34">
        <f>'County Breakdown'!K4</f>
        <v>11356469.842755623</v>
      </c>
      <c r="F70" s="34">
        <f>'County Breakdown'!K5</f>
        <v>11356469.842755623</v>
      </c>
      <c r="G70" s="34">
        <f>'County Breakdown'!K6</f>
        <v>11356469.842755623</v>
      </c>
      <c r="H70" s="34">
        <f>'County Breakdown'!K7</f>
        <v>14402364.213908477</v>
      </c>
      <c r="I70" s="34">
        <f>'County Breakdown'!K8</f>
        <v>14037952.502625169</v>
      </c>
      <c r="J70" s="34">
        <f>'County Breakdown'!K9</f>
        <v>15265926.923131507</v>
      </c>
      <c r="K70" s="34">
        <f>'County Breakdown'!K10</f>
        <v>15260143.489972927</v>
      </c>
      <c r="L70" s="34">
        <f>'County Breakdown'!K11</f>
        <v>15260143.502820006</v>
      </c>
      <c r="M70" s="34">
        <f>'County Breakdown'!K12</f>
        <v>7381339.2626496423</v>
      </c>
      <c r="N70" s="34">
        <f>'County Breakdown'!K13</f>
        <v>7381339.2626496423</v>
      </c>
      <c r="O70" s="34">
        <f>'County Breakdown'!K14</f>
        <v>7381339.2626496423</v>
      </c>
      <c r="P70" s="34">
        <f>'County Breakdown'!K15</f>
        <v>7381339.2626496423</v>
      </c>
      <c r="Q70" s="34">
        <f>'County Breakdown'!K16</f>
        <v>7381339.2626496423</v>
      </c>
      <c r="R70" s="34">
        <f>SUM(C70:Q70)</f>
        <v>160203795.20720947</v>
      </c>
    </row>
    <row r="72" spans="1:18" x14ac:dyDescent="0.3">
      <c r="A72" t="s">
        <v>231</v>
      </c>
    </row>
  </sheetData>
  <pageMargins left="0.7" right="0.7" top="0.75" bottom="0.75" header="0.3" footer="0.3"/>
  <pageSetup orientation="portrait" horizontalDpi="200" verticalDpi="200" r:id="rId1"/>
  <customProperties>
    <customPr name="OrphanNamesChecked" r:id="rId2"/>
  </customProperties>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9"/>
  <sheetViews>
    <sheetView topLeftCell="A70" workbookViewId="0">
      <selection activeCell="E16" sqref="E16"/>
    </sheetView>
  </sheetViews>
  <sheetFormatPr defaultRowHeight="14.4" x14ac:dyDescent="0.3"/>
  <cols>
    <col min="1" max="1" width="35.33203125" customWidth="1"/>
    <col min="2" max="2" width="20.33203125" customWidth="1"/>
    <col min="3" max="16" width="16.6640625" customWidth="1"/>
  </cols>
  <sheetData>
    <row r="1" spans="1:16" x14ac:dyDescent="0.3">
      <c r="A1" t="s">
        <v>117</v>
      </c>
      <c r="B1" t="s">
        <v>118</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119</v>
      </c>
      <c r="B2">
        <v>8.3142266292569583E-3</v>
      </c>
      <c r="C2" s="18">
        <f>Table7[[#This Row],[Teva Adjusted %]]*$C$92</f>
        <v>-520.14838495018466</v>
      </c>
      <c r="D2" s="18">
        <f>Table7[[#This Row],[Teva Adjusted %]]*$D$92</f>
        <v>11816.996633116127</v>
      </c>
      <c r="E2" s="18">
        <f>Table7[[#This Row],[Teva Adjusted %]]*$E$92</f>
        <v>9203.7555489825845</v>
      </c>
      <c r="F2" s="18">
        <f>Table7[[#This Row],[Teva Adjusted %]]*$F$92</f>
        <v>9203.7555489825845</v>
      </c>
      <c r="G2" s="18">
        <f>Table7[[#This Row],[Teva Adjusted %]]*$G$92</f>
        <v>9203.7555489825845</v>
      </c>
      <c r="H2" s="18">
        <f>Table7[[#This Row],[Teva Adjusted %]]*$H$92</f>
        <v>9723.9039339327701</v>
      </c>
      <c r="I2" s="18">
        <f>Table7[[#This Row],[Teva Adjusted %]]*$I$92</f>
        <v>9723.9039339327701</v>
      </c>
      <c r="J2" s="18">
        <f>Table7[[#This Row],[Teva Adjusted %]]*$J$92</f>
        <v>9723.9039339327701</v>
      </c>
      <c r="K2" s="18">
        <f>Table7[[#This Row],[Teva Adjusted %]]*$K$92</f>
        <v>9723.9039339327701</v>
      </c>
      <c r="L2" s="18">
        <f>Table7[[#This Row],[Teva Adjusted %]]*$L$92</f>
        <v>9723.9039339327701</v>
      </c>
      <c r="M2" s="18">
        <f>Table7[[#This Row],[Teva Adjusted %]]*$M$92</f>
        <v>9723.9039339327701</v>
      </c>
      <c r="N2" s="18">
        <f>Table7[[#This Row],[Teva Adjusted %]]*$N$92</f>
        <v>9723.9039339327701</v>
      </c>
      <c r="O2" s="18">
        <f>Table7[[#This Row],[Teva Adjusted %]]*$O$92</f>
        <v>9723.9039339327701</v>
      </c>
      <c r="P2" s="18">
        <f>SUM(Table7[[#This Row],[Payment 1]:[Payment 13]])</f>
        <v>116699.34636657586</v>
      </c>
    </row>
    <row r="3" spans="1:16" x14ac:dyDescent="0.3">
      <c r="A3" t="s">
        <v>120</v>
      </c>
      <c r="B3">
        <v>8.3142266292569585E-4</v>
      </c>
      <c r="C3" s="18">
        <f>Table7[[#This Row],[Teva Adjusted %]]*$C$92</f>
        <v>-52.014838495018473</v>
      </c>
      <c r="D3" s="18">
        <f>Table7[[#This Row],[Teva Adjusted %]]*$D$92</f>
        <v>1181.6996633116125</v>
      </c>
      <c r="E3" s="18">
        <f>Table7[[#This Row],[Teva Adjusted %]]*$E$92</f>
        <v>920.37555489825843</v>
      </c>
      <c r="F3" s="18">
        <f>Table7[[#This Row],[Teva Adjusted %]]*$F$92</f>
        <v>920.37555489825843</v>
      </c>
      <c r="G3" s="18">
        <f>Table7[[#This Row],[Teva Adjusted %]]*$G$92</f>
        <v>920.37555489825843</v>
      </c>
      <c r="H3" s="18">
        <f>Table7[[#This Row],[Teva Adjusted %]]*$H$92</f>
        <v>972.39039339327701</v>
      </c>
      <c r="I3" s="18">
        <f>Table7[[#This Row],[Teva Adjusted %]]*$I$92</f>
        <v>972.39039339327701</v>
      </c>
      <c r="J3" s="18">
        <f>Table7[[#This Row],[Teva Adjusted %]]*$J$92</f>
        <v>972.39039339327701</v>
      </c>
      <c r="K3" s="18">
        <f>Table7[[#This Row],[Teva Adjusted %]]*$K$92</f>
        <v>972.39039339327701</v>
      </c>
      <c r="L3" s="18">
        <f>Table7[[#This Row],[Teva Adjusted %]]*$L$92</f>
        <v>972.39039339327701</v>
      </c>
      <c r="M3" s="18">
        <f>Table7[[#This Row],[Teva Adjusted %]]*$M$92</f>
        <v>972.39039339327701</v>
      </c>
      <c r="N3" s="18">
        <f>Table7[[#This Row],[Teva Adjusted %]]*$N$92</f>
        <v>972.39039339327701</v>
      </c>
      <c r="O3" s="18">
        <f>Table7[[#This Row],[Teva Adjusted %]]*$O$92</f>
        <v>972.39039339327701</v>
      </c>
      <c r="P3" s="18">
        <f>SUM(Table7[[#This Row],[Payment 1]:[Payment 13]])</f>
        <v>11669.934636657588</v>
      </c>
    </row>
    <row r="4" spans="1:16" x14ac:dyDescent="0.3">
      <c r="A4" t="s">
        <v>121</v>
      </c>
      <c r="B4">
        <v>8.3567450572428037E-2</v>
      </c>
      <c r="C4" s="18">
        <f>Table7[[#This Row],[Teva Adjusted %]]*$C$92</f>
        <v>-5228.0839082128214</v>
      </c>
      <c r="D4" s="18">
        <f>Table7[[#This Row],[Teva Adjusted %]]*$D$92</f>
        <v>118774.28004879085</v>
      </c>
      <c r="E4" s="18">
        <f>Table7[[#This Row],[Teva Adjusted %]]*$E$92</f>
        <v>92508.229714812318</v>
      </c>
      <c r="F4" s="18">
        <f>Table7[[#This Row],[Teva Adjusted %]]*$F$92</f>
        <v>92508.229714812318</v>
      </c>
      <c r="G4" s="18">
        <f>Table7[[#This Row],[Teva Adjusted %]]*$G$92</f>
        <v>92508.229714812318</v>
      </c>
      <c r="H4" s="18">
        <f>Table7[[#This Row],[Teva Adjusted %]]*$H$92</f>
        <v>97736.31362302514</v>
      </c>
      <c r="I4" s="18">
        <f>Table7[[#This Row],[Teva Adjusted %]]*$I$92</f>
        <v>97736.31362302514</v>
      </c>
      <c r="J4" s="18">
        <f>Table7[[#This Row],[Teva Adjusted %]]*$J$92</f>
        <v>97736.31362302514</v>
      </c>
      <c r="K4" s="18">
        <f>Table7[[#This Row],[Teva Adjusted %]]*$K$92</f>
        <v>97736.31362302514</v>
      </c>
      <c r="L4" s="18">
        <f>Table7[[#This Row],[Teva Adjusted %]]*$L$92</f>
        <v>97736.31362302514</v>
      </c>
      <c r="M4" s="18">
        <f>Table7[[#This Row],[Teva Adjusted %]]*$M$92</f>
        <v>97736.31362302514</v>
      </c>
      <c r="N4" s="18">
        <f>Table7[[#This Row],[Teva Adjusted %]]*$N$92</f>
        <v>97736.31362302514</v>
      </c>
      <c r="O4" s="18">
        <f>Table7[[#This Row],[Teva Adjusted %]]*$O$92</f>
        <v>97736.31362302514</v>
      </c>
      <c r="P4" s="18">
        <f>SUM(Table7[[#This Row],[Payment 1]:[Payment 13]])</f>
        <v>1172961.3942692159</v>
      </c>
    </row>
    <row r="5" spans="1:16" x14ac:dyDescent="0.3">
      <c r="A5" t="s">
        <v>122</v>
      </c>
      <c r="B5">
        <v>8.4093481712353858E-3</v>
      </c>
      <c r="C5" s="18">
        <f>Table7[[#This Row],[Teva Adjusted %]]*$C$92</f>
        <v>-526.09930722357387</v>
      </c>
      <c r="D5" s="18">
        <f>Table7[[#This Row],[Teva Adjusted %]]*$D$92</f>
        <v>11952.192724276363</v>
      </c>
      <c r="E5" s="18">
        <f>Table7[[#This Row],[Teva Adjusted %]]*$E$92</f>
        <v>9309.0540281858121</v>
      </c>
      <c r="F5" s="18">
        <f>Table7[[#This Row],[Teva Adjusted %]]*$F$92</f>
        <v>9309.0540281858121</v>
      </c>
      <c r="G5" s="18">
        <f>Table7[[#This Row],[Teva Adjusted %]]*$G$92</f>
        <v>9309.0540281858121</v>
      </c>
      <c r="H5" s="18">
        <f>Table7[[#This Row],[Teva Adjusted %]]*$H$92</f>
        <v>9835.1533354093863</v>
      </c>
      <c r="I5" s="18">
        <f>Table7[[#This Row],[Teva Adjusted %]]*$I$92</f>
        <v>9835.1533354093863</v>
      </c>
      <c r="J5" s="18">
        <f>Table7[[#This Row],[Teva Adjusted %]]*$J$92</f>
        <v>9835.1533354093863</v>
      </c>
      <c r="K5" s="18">
        <f>Table7[[#This Row],[Teva Adjusted %]]*$K$92</f>
        <v>9835.1533354093863</v>
      </c>
      <c r="L5" s="18">
        <f>Table7[[#This Row],[Teva Adjusted %]]*$L$92</f>
        <v>9835.1533354093863</v>
      </c>
      <c r="M5" s="18">
        <f>Table7[[#This Row],[Teva Adjusted %]]*$M$92</f>
        <v>9835.1533354093863</v>
      </c>
      <c r="N5" s="18">
        <f>Table7[[#This Row],[Teva Adjusted %]]*$N$92</f>
        <v>9835.1533354093863</v>
      </c>
      <c r="O5" s="18">
        <f>Table7[[#This Row],[Teva Adjusted %]]*$O$92</f>
        <v>9835.1533354093863</v>
      </c>
      <c r="P5" s="18">
        <f>SUM(Table7[[#This Row],[Payment 1]:[Payment 13]])</f>
        <v>118034.4821848853</v>
      </c>
    </row>
    <row r="6" spans="1:16" x14ac:dyDescent="0.3">
      <c r="A6" t="s">
        <v>123</v>
      </c>
      <c r="B6">
        <v>4.3807862641332546E-3</v>
      </c>
      <c r="C6" s="18">
        <f>Table7[[#This Row],[Teva Adjusted %]]*$C$92</f>
        <v>-274.06745109430693</v>
      </c>
      <c r="D6" s="18">
        <f>Table7[[#This Row],[Teva Adjusted %]]*$D$92</f>
        <v>6226.4043117971296</v>
      </c>
      <c r="E6" s="18">
        <f>Table7[[#This Row],[Teva Adjusted %]]*$E$92</f>
        <v>4849.4812187993593</v>
      </c>
      <c r="F6" s="18">
        <f>Table7[[#This Row],[Teva Adjusted %]]*$F$92</f>
        <v>4849.4812187993593</v>
      </c>
      <c r="G6" s="18">
        <f>Table7[[#This Row],[Teva Adjusted %]]*$G$92</f>
        <v>4849.4812187993593</v>
      </c>
      <c r="H6" s="18">
        <f>Table7[[#This Row],[Teva Adjusted %]]*$H$92</f>
        <v>5123.5486698936675</v>
      </c>
      <c r="I6" s="18">
        <f>Table7[[#This Row],[Teva Adjusted %]]*$I$92</f>
        <v>5123.5486698936675</v>
      </c>
      <c r="J6" s="18">
        <f>Table7[[#This Row],[Teva Adjusted %]]*$J$92</f>
        <v>5123.5486698936675</v>
      </c>
      <c r="K6" s="18">
        <f>Table7[[#This Row],[Teva Adjusted %]]*$K$92</f>
        <v>5123.5486698936675</v>
      </c>
      <c r="L6" s="18">
        <f>Table7[[#This Row],[Teva Adjusted %]]*$L$92</f>
        <v>5123.5486698936675</v>
      </c>
      <c r="M6" s="18">
        <f>Table7[[#This Row],[Teva Adjusted %]]*$M$92</f>
        <v>5123.5486698936675</v>
      </c>
      <c r="N6" s="18">
        <f>Table7[[#This Row],[Teva Adjusted %]]*$N$92</f>
        <v>5123.5486698936675</v>
      </c>
      <c r="O6" s="18">
        <f>Table7[[#This Row],[Teva Adjusted %]]*$O$92</f>
        <v>5123.5486698936675</v>
      </c>
      <c r="P6" s="18">
        <f>SUM(Table7[[#This Row],[Payment 1]:[Payment 13]])</f>
        <v>61489.169876250227</v>
      </c>
    </row>
    <row r="7" spans="1:16" x14ac:dyDescent="0.3">
      <c r="A7" t="s">
        <v>124</v>
      </c>
      <c r="B7">
        <v>1.1240641285902181E-2</v>
      </c>
      <c r="C7" s="18">
        <f>Table7[[#This Row],[Teva Adjusted %]]*$C$92</f>
        <v>-703.22853482151413</v>
      </c>
      <c r="D7" s="18">
        <f>Table7[[#This Row],[Teva Adjusted %]]*$D$92</f>
        <v>15976.304971307147</v>
      </c>
      <c r="E7" s="18">
        <f>Table7[[#This Row],[Teva Adjusted %]]*$E$92</f>
        <v>12443.263724035725</v>
      </c>
      <c r="F7" s="18">
        <f>Table7[[#This Row],[Teva Adjusted %]]*$F$92</f>
        <v>12443.263724035725</v>
      </c>
      <c r="G7" s="18">
        <f>Table7[[#This Row],[Teva Adjusted %]]*$G$92</f>
        <v>12443.263724035725</v>
      </c>
      <c r="H7" s="18">
        <f>Table7[[#This Row],[Teva Adjusted %]]*$H$92</f>
        <v>13146.492258857241</v>
      </c>
      <c r="I7" s="18">
        <f>Table7[[#This Row],[Teva Adjusted %]]*$I$92</f>
        <v>13146.492258857241</v>
      </c>
      <c r="J7" s="18">
        <f>Table7[[#This Row],[Teva Adjusted %]]*$J$92</f>
        <v>13146.492258857241</v>
      </c>
      <c r="K7" s="18">
        <f>Table7[[#This Row],[Teva Adjusted %]]*$K$92</f>
        <v>13146.492258857241</v>
      </c>
      <c r="L7" s="18">
        <f>Table7[[#This Row],[Teva Adjusted %]]*$L$92</f>
        <v>13146.492258857241</v>
      </c>
      <c r="M7" s="18">
        <f>Table7[[#This Row],[Teva Adjusted %]]*$M$92</f>
        <v>13146.492258857241</v>
      </c>
      <c r="N7" s="18">
        <f>Table7[[#This Row],[Teva Adjusted %]]*$N$92</f>
        <v>13146.492258857241</v>
      </c>
      <c r="O7" s="18">
        <f>Table7[[#This Row],[Teva Adjusted %]]*$O$92</f>
        <v>13146.492258857241</v>
      </c>
      <c r="P7" s="18">
        <f>SUM(Table7[[#This Row],[Payment 1]:[Payment 13]])</f>
        <v>157774.80567945071</v>
      </c>
    </row>
    <row r="8" spans="1:16" x14ac:dyDescent="0.3">
      <c r="A8" t="s">
        <v>125</v>
      </c>
      <c r="B8">
        <v>3.179240795763566E-3</v>
      </c>
      <c r="C8" s="18">
        <f>Table7[[#This Row],[Teva Adjusted %]]*$C$92</f>
        <v>-198.89726838393241</v>
      </c>
      <c r="D8" s="18">
        <f>Table7[[#This Row],[Teva Adjusted %]]*$D$92</f>
        <v>4518.6497138773611</v>
      </c>
      <c r="E8" s="18">
        <f>Table7[[#This Row],[Teva Adjusted %]]*$E$92</f>
        <v>3519.3838730104203</v>
      </c>
      <c r="F8" s="18">
        <f>Table7[[#This Row],[Teva Adjusted %]]*$F$92</f>
        <v>3519.3838730104203</v>
      </c>
      <c r="G8" s="18">
        <f>Table7[[#This Row],[Teva Adjusted %]]*$G$92</f>
        <v>3519.3838730104203</v>
      </c>
      <c r="H8" s="18">
        <f>Table7[[#This Row],[Teva Adjusted %]]*$H$92</f>
        <v>3718.2811413943532</v>
      </c>
      <c r="I8" s="18">
        <f>Table7[[#This Row],[Teva Adjusted %]]*$I$92</f>
        <v>3718.2811413943532</v>
      </c>
      <c r="J8" s="18">
        <f>Table7[[#This Row],[Teva Adjusted %]]*$J$92</f>
        <v>3718.2811413943532</v>
      </c>
      <c r="K8" s="18">
        <f>Table7[[#This Row],[Teva Adjusted %]]*$K$92</f>
        <v>3718.2811413943532</v>
      </c>
      <c r="L8" s="18">
        <f>Table7[[#This Row],[Teva Adjusted %]]*$L$92</f>
        <v>3718.2811413943532</v>
      </c>
      <c r="M8" s="18">
        <f>Table7[[#This Row],[Teva Adjusted %]]*$M$92</f>
        <v>3718.2811413943532</v>
      </c>
      <c r="N8" s="18">
        <f>Table7[[#This Row],[Teva Adjusted %]]*$N$92</f>
        <v>3718.2811413943532</v>
      </c>
      <c r="O8" s="18">
        <f>Table7[[#This Row],[Teva Adjusted %]]*$O$92</f>
        <v>3718.2811413943532</v>
      </c>
      <c r="P8" s="18">
        <f>SUM(Table7[[#This Row],[Payment 1]:[Payment 13]])</f>
        <v>44624.153195679522</v>
      </c>
    </row>
    <row r="9" spans="1:16" x14ac:dyDescent="0.3">
      <c r="A9" t="s">
        <v>126</v>
      </c>
      <c r="B9">
        <v>4.1568621851328195E-3</v>
      </c>
      <c r="C9" s="18">
        <f>Table7[[#This Row],[Teva Adjusted %]]*$C$92</f>
        <v>-260.05848150071006</v>
      </c>
      <c r="D9" s="18">
        <f>Table7[[#This Row],[Teva Adjusted %]]*$D$92</f>
        <v>5908.1413866189341</v>
      </c>
      <c r="E9" s="18">
        <f>Table7[[#This Row],[Teva Adjusted %]]*$E$92</f>
        <v>4601.5997769585983</v>
      </c>
      <c r="F9" s="18">
        <f>Table7[[#This Row],[Teva Adjusted %]]*$F$92</f>
        <v>4601.5997769585983</v>
      </c>
      <c r="G9" s="18">
        <f>Table7[[#This Row],[Teva Adjusted %]]*$G$92</f>
        <v>4601.5997769585983</v>
      </c>
      <c r="H9" s="18">
        <f>Table7[[#This Row],[Teva Adjusted %]]*$H$92</f>
        <v>4861.6582584593089</v>
      </c>
      <c r="I9" s="18">
        <f>Table7[[#This Row],[Teva Adjusted %]]*$I$92</f>
        <v>4861.6582584593089</v>
      </c>
      <c r="J9" s="18">
        <f>Table7[[#This Row],[Teva Adjusted %]]*$J$92</f>
        <v>4861.6582584593089</v>
      </c>
      <c r="K9" s="18">
        <f>Table7[[#This Row],[Teva Adjusted %]]*$K$92</f>
        <v>4861.6582584593089</v>
      </c>
      <c r="L9" s="18">
        <f>Table7[[#This Row],[Teva Adjusted %]]*$L$92</f>
        <v>4861.6582584593089</v>
      </c>
      <c r="M9" s="18">
        <f>Table7[[#This Row],[Teva Adjusted %]]*$M$92</f>
        <v>4861.6582584593089</v>
      </c>
      <c r="N9" s="18">
        <f>Table7[[#This Row],[Teva Adjusted %]]*$N$92</f>
        <v>4861.6582584593089</v>
      </c>
      <c r="O9" s="18">
        <f>Table7[[#This Row],[Teva Adjusted %]]*$O$92</f>
        <v>4861.6582584593089</v>
      </c>
      <c r="P9" s="18">
        <f>SUM(Table7[[#This Row],[Payment 1]:[Payment 13]])</f>
        <v>58346.148303668509</v>
      </c>
    </row>
    <row r="10" spans="1:16" x14ac:dyDescent="0.3">
      <c r="A10" t="s">
        <v>127</v>
      </c>
      <c r="B10">
        <v>4.1571133146284791E-3</v>
      </c>
      <c r="C10" s="18">
        <f>Table7[[#This Row],[Teva Adjusted %]]*$C$92</f>
        <v>-260.07419247509233</v>
      </c>
      <c r="D10" s="18">
        <f>Table7[[#This Row],[Teva Adjusted %]]*$D$92</f>
        <v>5908.4983165580634</v>
      </c>
      <c r="E10" s="18">
        <f>Table7[[#This Row],[Teva Adjusted %]]*$E$92</f>
        <v>4601.8777744912923</v>
      </c>
      <c r="F10" s="18">
        <f>Table7[[#This Row],[Teva Adjusted %]]*$F$92</f>
        <v>4601.8777744912923</v>
      </c>
      <c r="G10" s="18">
        <f>Table7[[#This Row],[Teva Adjusted %]]*$G$92</f>
        <v>4601.8777744912923</v>
      </c>
      <c r="H10" s="18">
        <f>Table7[[#This Row],[Teva Adjusted %]]*$H$92</f>
        <v>4861.951966966385</v>
      </c>
      <c r="I10" s="18">
        <f>Table7[[#This Row],[Teva Adjusted %]]*$I$92</f>
        <v>4861.951966966385</v>
      </c>
      <c r="J10" s="18">
        <f>Table7[[#This Row],[Teva Adjusted %]]*$J$92</f>
        <v>4861.951966966385</v>
      </c>
      <c r="K10" s="18">
        <f>Table7[[#This Row],[Teva Adjusted %]]*$K$92</f>
        <v>4861.951966966385</v>
      </c>
      <c r="L10" s="18">
        <f>Table7[[#This Row],[Teva Adjusted %]]*$L$92</f>
        <v>4861.951966966385</v>
      </c>
      <c r="M10" s="18">
        <f>Table7[[#This Row],[Teva Adjusted %]]*$M$92</f>
        <v>4861.951966966385</v>
      </c>
      <c r="N10" s="18">
        <f>Table7[[#This Row],[Teva Adjusted %]]*$N$92</f>
        <v>4861.951966966385</v>
      </c>
      <c r="O10" s="18">
        <f>Table7[[#This Row],[Teva Adjusted %]]*$O$92</f>
        <v>4861.951966966385</v>
      </c>
      <c r="P10" s="18">
        <f>SUM(Table7[[#This Row],[Payment 1]:[Payment 13]])</f>
        <v>58349.67318328793</v>
      </c>
    </row>
    <row r="11" spans="1:16" x14ac:dyDescent="0.3">
      <c r="A11" t="s">
        <v>128</v>
      </c>
      <c r="B11">
        <v>4.1571133146284791E-3</v>
      </c>
      <c r="C11" s="18">
        <f>Table7[[#This Row],[Teva Adjusted %]]*$C$92</f>
        <v>-260.07419247509233</v>
      </c>
      <c r="D11" s="18">
        <f>Table7[[#This Row],[Teva Adjusted %]]*$D$92</f>
        <v>5908.4983165580634</v>
      </c>
      <c r="E11" s="18">
        <f>Table7[[#This Row],[Teva Adjusted %]]*$E$92</f>
        <v>4601.8777744912923</v>
      </c>
      <c r="F11" s="18">
        <f>Table7[[#This Row],[Teva Adjusted %]]*$F$92</f>
        <v>4601.8777744912923</v>
      </c>
      <c r="G11" s="18">
        <f>Table7[[#This Row],[Teva Adjusted %]]*$G$92</f>
        <v>4601.8777744912923</v>
      </c>
      <c r="H11" s="18">
        <f>Table7[[#This Row],[Teva Adjusted %]]*$H$92</f>
        <v>4861.951966966385</v>
      </c>
      <c r="I11" s="18">
        <f>Table7[[#This Row],[Teva Adjusted %]]*$I$92</f>
        <v>4861.951966966385</v>
      </c>
      <c r="J11" s="18">
        <f>Table7[[#This Row],[Teva Adjusted %]]*$J$92</f>
        <v>4861.951966966385</v>
      </c>
      <c r="K11" s="18">
        <f>Table7[[#This Row],[Teva Adjusted %]]*$K$92</f>
        <v>4861.951966966385</v>
      </c>
      <c r="L11" s="18">
        <f>Table7[[#This Row],[Teva Adjusted %]]*$L$92</f>
        <v>4861.951966966385</v>
      </c>
      <c r="M11" s="18">
        <f>Table7[[#This Row],[Teva Adjusted %]]*$M$92</f>
        <v>4861.951966966385</v>
      </c>
      <c r="N11" s="18">
        <f>Table7[[#This Row],[Teva Adjusted %]]*$N$92</f>
        <v>4861.951966966385</v>
      </c>
      <c r="O11" s="18">
        <f>Table7[[#This Row],[Teva Adjusted %]]*$O$92</f>
        <v>4861.951966966385</v>
      </c>
      <c r="P11" s="18">
        <f>SUM(Table7[[#This Row],[Payment 1]:[Payment 13]])</f>
        <v>58349.67318328793</v>
      </c>
    </row>
    <row r="12" spans="1:16" x14ac:dyDescent="0.3">
      <c r="A12" t="s">
        <v>129</v>
      </c>
      <c r="B12">
        <v>4.3203648519481767E-2</v>
      </c>
      <c r="C12" s="18">
        <f>Table7[[#This Row],[Teva Adjusted %]]*$C$92</f>
        <v>-2702.8741220844286</v>
      </c>
      <c r="D12" s="18">
        <f>Table7[[#This Row],[Teva Adjusted %]]*$D$92</f>
        <v>61405.274580382138</v>
      </c>
      <c r="E12" s="18">
        <f>Table7[[#This Row],[Teva Adjusted %]]*$E$92</f>
        <v>47825.953937583516</v>
      </c>
      <c r="F12" s="18">
        <f>Table7[[#This Row],[Teva Adjusted %]]*$F$92</f>
        <v>47825.953937583516</v>
      </c>
      <c r="G12" s="18">
        <f>Table7[[#This Row],[Teva Adjusted %]]*$G$92</f>
        <v>47825.953937583516</v>
      </c>
      <c r="H12" s="18">
        <f>Table7[[#This Row],[Teva Adjusted %]]*$H$92</f>
        <v>50528.828059667947</v>
      </c>
      <c r="I12" s="18">
        <f>Table7[[#This Row],[Teva Adjusted %]]*$I$92</f>
        <v>50528.828059667947</v>
      </c>
      <c r="J12" s="18">
        <f>Table7[[#This Row],[Teva Adjusted %]]*$J$92</f>
        <v>50528.828059667947</v>
      </c>
      <c r="K12" s="18">
        <f>Table7[[#This Row],[Teva Adjusted %]]*$K$92</f>
        <v>50528.828059667947</v>
      </c>
      <c r="L12" s="18">
        <f>Table7[[#This Row],[Teva Adjusted %]]*$L$92</f>
        <v>50528.828059667947</v>
      </c>
      <c r="M12" s="18">
        <f>Table7[[#This Row],[Teva Adjusted %]]*$M$92</f>
        <v>50528.828059667947</v>
      </c>
      <c r="N12" s="18">
        <f>Table7[[#This Row],[Teva Adjusted %]]*$N$92</f>
        <v>50528.828059667947</v>
      </c>
      <c r="O12" s="18">
        <f>Table7[[#This Row],[Teva Adjusted %]]*$O$92</f>
        <v>50528.828059667947</v>
      </c>
      <c r="P12" s="18">
        <f>SUM(Table7[[#This Row],[Payment 1]:[Payment 13]])</f>
        <v>606410.88674839179</v>
      </c>
    </row>
    <row r="13" spans="1:16" x14ac:dyDescent="0.3">
      <c r="A13" t="s">
        <v>130</v>
      </c>
      <c r="B13">
        <v>8.9190076611000008E-3</v>
      </c>
      <c r="C13" s="18">
        <f>Table7[[#This Row],[Teva Adjusted %]]*$C$92</f>
        <v>-557.98424040482223</v>
      </c>
      <c r="D13" s="18">
        <f>Table7[[#This Row],[Teva Adjusted %]]*$D$92</f>
        <v>12676.570918944853</v>
      </c>
      <c r="E13" s="18">
        <f>Table7[[#This Row],[Teva Adjusted %]]*$E$92</f>
        <v>9873.2413623903758</v>
      </c>
      <c r="F13" s="18">
        <f>Table7[[#This Row],[Teva Adjusted %]]*$F$92</f>
        <v>9873.2413623903758</v>
      </c>
      <c r="G13" s="18">
        <f>Table7[[#This Row],[Teva Adjusted %]]*$G$92</f>
        <v>9873.2413623903758</v>
      </c>
      <c r="H13" s="18">
        <f>Table7[[#This Row],[Teva Adjusted %]]*$H$92</f>
        <v>10431.225602795199</v>
      </c>
      <c r="I13" s="18">
        <f>Table7[[#This Row],[Teva Adjusted %]]*$I$92</f>
        <v>10431.225602795199</v>
      </c>
      <c r="J13" s="18">
        <f>Table7[[#This Row],[Teva Adjusted %]]*$J$92</f>
        <v>10431.225602795199</v>
      </c>
      <c r="K13" s="18">
        <f>Table7[[#This Row],[Teva Adjusted %]]*$K$92</f>
        <v>10431.225602795199</v>
      </c>
      <c r="L13" s="18">
        <f>Table7[[#This Row],[Teva Adjusted %]]*$L$92</f>
        <v>10431.225602795199</v>
      </c>
      <c r="M13" s="18">
        <f>Table7[[#This Row],[Teva Adjusted %]]*$M$92</f>
        <v>10431.225602795199</v>
      </c>
      <c r="N13" s="18">
        <f>Table7[[#This Row],[Teva Adjusted %]]*$N$92</f>
        <v>10431.225602795199</v>
      </c>
      <c r="O13" s="18">
        <f>Table7[[#This Row],[Teva Adjusted %]]*$O$92</f>
        <v>10431.225602795199</v>
      </c>
      <c r="P13" s="18">
        <f>SUM(Table7[[#This Row],[Payment 1]:[Payment 13]])</f>
        <v>125188.11558807273</v>
      </c>
    </row>
    <row r="14" spans="1:16" x14ac:dyDescent="0.3">
      <c r="A14" t="s">
        <v>131</v>
      </c>
      <c r="B14">
        <v>4.3267264074005321E-3</v>
      </c>
      <c r="C14" s="18">
        <f>Table7[[#This Row],[Teva Adjusted %]]*$C$92</f>
        <v>-270.68539904977695</v>
      </c>
      <c r="D14" s="18">
        <f>Table7[[#This Row],[Teva Adjusted %]]*$D$92</f>
        <v>6149.5691263393073</v>
      </c>
      <c r="E14" s="18">
        <f>Table7[[#This Row],[Teva Adjusted %]]*$E$92</f>
        <v>4789.6375642338044</v>
      </c>
      <c r="F14" s="18">
        <f>Table7[[#This Row],[Teva Adjusted %]]*$F$92</f>
        <v>4789.6375642338044</v>
      </c>
      <c r="G14" s="18">
        <f>Table7[[#This Row],[Teva Adjusted %]]*$G$92</f>
        <v>4789.6375642338044</v>
      </c>
      <c r="H14" s="18">
        <f>Table7[[#This Row],[Teva Adjusted %]]*$H$92</f>
        <v>5060.322963283581</v>
      </c>
      <c r="I14" s="18">
        <f>Table7[[#This Row],[Teva Adjusted %]]*$I$92</f>
        <v>5060.322963283581</v>
      </c>
      <c r="J14" s="18">
        <f>Table7[[#This Row],[Teva Adjusted %]]*$J$92</f>
        <v>5060.322963283581</v>
      </c>
      <c r="K14" s="18">
        <f>Table7[[#This Row],[Teva Adjusted %]]*$K$92</f>
        <v>5060.322963283581</v>
      </c>
      <c r="L14" s="18">
        <f>Table7[[#This Row],[Teva Adjusted %]]*$L$92</f>
        <v>5060.322963283581</v>
      </c>
      <c r="M14" s="18">
        <f>Table7[[#This Row],[Teva Adjusted %]]*$M$92</f>
        <v>5060.322963283581</v>
      </c>
      <c r="N14" s="18">
        <f>Table7[[#This Row],[Teva Adjusted %]]*$N$92</f>
        <v>5060.322963283581</v>
      </c>
      <c r="O14" s="18">
        <f>Table7[[#This Row],[Teva Adjusted %]]*$O$92</f>
        <v>5060.322963283581</v>
      </c>
      <c r="P14" s="18">
        <f>SUM(Table7[[#This Row],[Payment 1]:[Payment 13]])</f>
        <v>60730.380126259581</v>
      </c>
    </row>
    <row r="15" spans="1:16" x14ac:dyDescent="0.3">
      <c r="A15" t="s">
        <v>132</v>
      </c>
      <c r="B15">
        <v>3.5711112751674011E-2</v>
      </c>
      <c r="C15" s="18">
        <f>Table7[[#This Row],[Teva Adjusted %]]*$C$92</f>
        <v>-2234.1317419942925</v>
      </c>
      <c r="D15" s="18">
        <f>Table7[[#This Row],[Teva Adjusted %]]*$D$92</f>
        <v>50756.14581714572</v>
      </c>
      <c r="E15" s="18">
        <f>Table7[[#This Row],[Teva Adjusted %]]*$E$92</f>
        <v>39531.800948507</v>
      </c>
      <c r="F15" s="18">
        <f>Table7[[#This Row],[Teva Adjusted %]]*$F$92</f>
        <v>39531.800948507</v>
      </c>
      <c r="G15" s="18">
        <f>Table7[[#This Row],[Teva Adjusted %]]*$G$92</f>
        <v>39531.800948507</v>
      </c>
      <c r="H15" s="18">
        <f>Table7[[#This Row],[Teva Adjusted %]]*$H$92</f>
        <v>41765.9326905013</v>
      </c>
      <c r="I15" s="18">
        <f>Table7[[#This Row],[Teva Adjusted %]]*$I$92</f>
        <v>41765.9326905013</v>
      </c>
      <c r="J15" s="18">
        <f>Table7[[#This Row],[Teva Adjusted %]]*$J$92</f>
        <v>41765.9326905013</v>
      </c>
      <c r="K15" s="18">
        <f>Table7[[#This Row],[Teva Adjusted %]]*$K$92</f>
        <v>41765.9326905013</v>
      </c>
      <c r="L15" s="18">
        <f>Table7[[#This Row],[Teva Adjusted %]]*$L$92</f>
        <v>41765.9326905013</v>
      </c>
      <c r="M15" s="18">
        <f>Table7[[#This Row],[Teva Adjusted %]]*$M$92</f>
        <v>41765.9326905013</v>
      </c>
      <c r="N15" s="18">
        <f>Table7[[#This Row],[Teva Adjusted %]]*$N$92</f>
        <v>41765.9326905013</v>
      </c>
      <c r="O15" s="18">
        <f>Table7[[#This Row],[Teva Adjusted %]]*$O$92</f>
        <v>41765.9326905013</v>
      </c>
      <c r="P15" s="18">
        <f>SUM(Table7[[#This Row],[Payment 1]:[Payment 13]])</f>
        <v>501244.87844468292</v>
      </c>
    </row>
    <row r="16" spans="1:16" x14ac:dyDescent="0.3">
      <c r="A16" t="s">
        <v>133</v>
      </c>
      <c r="B16">
        <v>2.4885576323650286E-3</v>
      </c>
      <c r="C16" s="18">
        <f>Table7[[#This Row],[Teva Adjusted %]]*$C$92</f>
        <v>-155.6872684676635</v>
      </c>
      <c r="D16" s="18">
        <f>Table7[[#This Row],[Teva Adjusted %]]*$D$92</f>
        <v>3536.9828697586399</v>
      </c>
      <c r="E16" s="18">
        <f>Table7[[#This Row],[Teva Adjusted %]]*$E$92</f>
        <v>2754.8053642470327</v>
      </c>
      <c r="F16" s="18">
        <f>Table7[[#This Row],[Teva Adjusted %]]*$F$92</f>
        <v>2754.8053642470327</v>
      </c>
      <c r="G16" s="18">
        <f>Table7[[#This Row],[Teva Adjusted %]]*$G$92</f>
        <v>2754.8053642470327</v>
      </c>
      <c r="H16" s="18">
        <f>Table7[[#This Row],[Teva Adjusted %]]*$H$92</f>
        <v>2910.4926327146964</v>
      </c>
      <c r="I16" s="18">
        <f>Table7[[#This Row],[Teva Adjusted %]]*$I$92</f>
        <v>2910.4926327146964</v>
      </c>
      <c r="J16" s="18">
        <f>Table7[[#This Row],[Teva Adjusted %]]*$J$92</f>
        <v>2910.4926327146964</v>
      </c>
      <c r="K16" s="18">
        <f>Table7[[#This Row],[Teva Adjusted %]]*$K$92</f>
        <v>2910.4926327146964</v>
      </c>
      <c r="L16" s="18">
        <f>Table7[[#This Row],[Teva Adjusted %]]*$L$92</f>
        <v>2910.4926327146964</v>
      </c>
      <c r="M16" s="18">
        <f>Table7[[#This Row],[Teva Adjusted %]]*$M$92</f>
        <v>2910.4926327146964</v>
      </c>
      <c r="N16" s="18">
        <f>Table7[[#This Row],[Teva Adjusted %]]*$N$92</f>
        <v>2910.4926327146964</v>
      </c>
      <c r="O16" s="18">
        <f>Table7[[#This Row],[Teva Adjusted %]]*$O$92</f>
        <v>2910.4926327146964</v>
      </c>
      <c r="P16" s="18">
        <f>SUM(Table7[[#This Row],[Payment 1]:[Payment 13]])</f>
        <v>34929.652755749645</v>
      </c>
    </row>
    <row r="17" spans="1:16" x14ac:dyDescent="0.3">
      <c r="A17" t="s">
        <v>134</v>
      </c>
      <c r="B17">
        <v>5.3833994784939013E-3</v>
      </c>
      <c r="C17" s="18">
        <f>Table7[[#This Row],[Teva Adjusted %]]*$C$92</f>
        <v>-336.79218394489686</v>
      </c>
      <c r="D17" s="18">
        <f>Table7[[#This Row],[Teva Adjusted %]]*$D$92</f>
        <v>7651.4168242929964</v>
      </c>
      <c r="E17" s="18">
        <f>Table7[[#This Row],[Teva Adjusted %]]*$E$92</f>
        <v>5959.362792472527</v>
      </c>
      <c r="F17" s="18">
        <f>Table7[[#This Row],[Teva Adjusted %]]*$F$92</f>
        <v>5959.362792472527</v>
      </c>
      <c r="G17" s="18">
        <f>Table7[[#This Row],[Teva Adjusted %]]*$G$92</f>
        <v>5959.362792472527</v>
      </c>
      <c r="H17" s="18">
        <f>Table7[[#This Row],[Teva Adjusted %]]*$H$92</f>
        <v>6296.1549764174242</v>
      </c>
      <c r="I17" s="18">
        <f>Table7[[#This Row],[Teva Adjusted %]]*$I$92</f>
        <v>6296.1549764174242</v>
      </c>
      <c r="J17" s="18">
        <f>Table7[[#This Row],[Teva Adjusted %]]*$J$92</f>
        <v>6296.1549764174242</v>
      </c>
      <c r="K17" s="18">
        <f>Table7[[#This Row],[Teva Adjusted %]]*$K$92</f>
        <v>6296.1549764174242</v>
      </c>
      <c r="L17" s="18">
        <f>Table7[[#This Row],[Teva Adjusted %]]*$L$92</f>
        <v>6296.1549764174242</v>
      </c>
      <c r="M17" s="18">
        <f>Table7[[#This Row],[Teva Adjusted %]]*$M$92</f>
        <v>6296.1549764174242</v>
      </c>
      <c r="N17" s="18">
        <f>Table7[[#This Row],[Teva Adjusted %]]*$N$92</f>
        <v>6296.1549764174242</v>
      </c>
      <c r="O17" s="18">
        <f>Table7[[#This Row],[Teva Adjusted %]]*$O$92</f>
        <v>6296.1549764174242</v>
      </c>
      <c r="P17" s="18">
        <f>SUM(Table7[[#This Row],[Payment 1]:[Payment 13]])</f>
        <v>75561.952829105081</v>
      </c>
    </row>
    <row r="18" spans="1:16" x14ac:dyDescent="0.3">
      <c r="A18" t="s">
        <v>135</v>
      </c>
      <c r="B18">
        <v>2.5025236522131602E-3</v>
      </c>
      <c r="C18" s="18">
        <f>Table7[[#This Row],[Teva Adjusted %]]*$C$92</f>
        <v>-156.56100008361744</v>
      </c>
      <c r="D18" s="18">
        <f>Table7[[#This Row],[Teva Adjusted %]]*$D$92</f>
        <v>3556.8327507978047</v>
      </c>
      <c r="E18" s="18">
        <f>Table7[[#This Row],[Teva Adjusted %]]*$E$92</f>
        <v>2770.2655914462916</v>
      </c>
      <c r="F18" s="18">
        <f>Table7[[#This Row],[Teva Adjusted %]]*$F$92</f>
        <v>2770.2655914462916</v>
      </c>
      <c r="G18" s="18">
        <f>Table7[[#This Row],[Teva Adjusted %]]*$G$92</f>
        <v>2770.2655914462916</v>
      </c>
      <c r="H18" s="18">
        <f>Table7[[#This Row],[Teva Adjusted %]]*$H$92</f>
        <v>2926.8265915299094</v>
      </c>
      <c r="I18" s="18">
        <f>Table7[[#This Row],[Teva Adjusted %]]*$I$92</f>
        <v>2926.8265915299094</v>
      </c>
      <c r="J18" s="18">
        <f>Table7[[#This Row],[Teva Adjusted %]]*$J$92</f>
        <v>2926.8265915299094</v>
      </c>
      <c r="K18" s="18">
        <f>Table7[[#This Row],[Teva Adjusted %]]*$K$92</f>
        <v>2926.8265915299094</v>
      </c>
      <c r="L18" s="18">
        <f>Table7[[#This Row],[Teva Adjusted %]]*$L$92</f>
        <v>2926.8265915299094</v>
      </c>
      <c r="M18" s="18">
        <f>Table7[[#This Row],[Teva Adjusted %]]*$M$92</f>
        <v>2926.8265915299094</v>
      </c>
      <c r="N18" s="18">
        <f>Table7[[#This Row],[Teva Adjusted %]]*$N$92</f>
        <v>2926.8265915299094</v>
      </c>
      <c r="O18" s="18">
        <f>Table7[[#This Row],[Teva Adjusted %]]*$O$92</f>
        <v>2926.8265915299094</v>
      </c>
      <c r="P18" s="18">
        <f>SUM(Table7[[#This Row],[Payment 1]:[Payment 13]])</f>
        <v>35125.681257292337</v>
      </c>
    </row>
    <row r="19" spans="1:16" x14ac:dyDescent="0.3">
      <c r="A19" t="s">
        <v>136</v>
      </c>
      <c r="B19">
        <v>2.0785566573142396E-3</v>
      </c>
      <c r="C19" s="18">
        <f>Table7[[#This Row],[Teva Adjusted %]]*$C$92</f>
        <v>-130.03709623754617</v>
      </c>
      <c r="D19" s="18">
        <f>Table7[[#This Row],[Teva Adjusted %]]*$D$92</f>
        <v>2954.2491582790317</v>
      </c>
      <c r="E19" s="18">
        <f>Table7[[#This Row],[Teva Adjusted %]]*$E$92</f>
        <v>2300.9388872456461</v>
      </c>
      <c r="F19" s="18">
        <f>Table7[[#This Row],[Teva Adjusted %]]*$F$92</f>
        <v>2300.9388872456461</v>
      </c>
      <c r="G19" s="18">
        <f>Table7[[#This Row],[Teva Adjusted %]]*$G$92</f>
        <v>2300.9388872456461</v>
      </c>
      <c r="H19" s="18">
        <f>Table7[[#This Row],[Teva Adjusted %]]*$H$92</f>
        <v>2430.9759834831925</v>
      </c>
      <c r="I19" s="18">
        <f>Table7[[#This Row],[Teva Adjusted %]]*$I$92</f>
        <v>2430.9759834831925</v>
      </c>
      <c r="J19" s="18">
        <f>Table7[[#This Row],[Teva Adjusted %]]*$J$92</f>
        <v>2430.9759834831925</v>
      </c>
      <c r="K19" s="18">
        <f>Table7[[#This Row],[Teva Adjusted %]]*$K$92</f>
        <v>2430.9759834831925</v>
      </c>
      <c r="L19" s="18">
        <f>Table7[[#This Row],[Teva Adjusted %]]*$L$92</f>
        <v>2430.9759834831925</v>
      </c>
      <c r="M19" s="18">
        <f>Table7[[#This Row],[Teva Adjusted %]]*$M$92</f>
        <v>2430.9759834831925</v>
      </c>
      <c r="N19" s="18">
        <f>Table7[[#This Row],[Teva Adjusted %]]*$N$92</f>
        <v>2430.9759834831925</v>
      </c>
      <c r="O19" s="18">
        <f>Table7[[#This Row],[Teva Adjusted %]]*$O$92</f>
        <v>2430.9759834831925</v>
      </c>
      <c r="P19" s="18">
        <f>SUM(Table7[[#This Row],[Payment 1]:[Payment 13]])</f>
        <v>29174.836591643965</v>
      </c>
    </row>
    <row r="20" spans="1:16" x14ac:dyDescent="0.3">
      <c r="A20" t="s">
        <v>137</v>
      </c>
      <c r="B20">
        <v>4.3252563000480979E-3</v>
      </c>
      <c r="C20" s="18">
        <f>Table7[[#This Row],[Teva Adjusted %]]*$C$92</f>
        <v>-270.59342730072922</v>
      </c>
      <c r="D20" s="18">
        <f>Table7[[#This Row],[Teva Adjusted %]]*$D$92</f>
        <v>6147.4796651772913</v>
      </c>
      <c r="E20" s="18">
        <f>Table7[[#This Row],[Teva Adjusted %]]*$E$92</f>
        <v>4788.0101718970409</v>
      </c>
      <c r="F20" s="18">
        <f>Table7[[#This Row],[Teva Adjusted %]]*$F$92</f>
        <v>4788.0101718970409</v>
      </c>
      <c r="G20" s="18">
        <f>Table7[[#This Row],[Teva Adjusted %]]*$G$92</f>
        <v>4788.0101718970409</v>
      </c>
      <c r="H20" s="18">
        <f>Table7[[#This Row],[Teva Adjusted %]]*$H$92</f>
        <v>5058.6035991977706</v>
      </c>
      <c r="I20" s="18">
        <f>Table7[[#This Row],[Teva Adjusted %]]*$I$92</f>
        <v>5058.6035991977706</v>
      </c>
      <c r="J20" s="18">
        <f>Table7[[#This Row],[Teva Adjusted %]]*$J$92</f>
        <v>5058.6035991977706</v>
      </c>
      <c r="K20" s="18">
        <f>Table7[[#This Row],[Teva Adjusted %]]*$K$92</f>
        <v>5058.6035991977706</v>
      </c>
      <c r="L20" s="18">
        <f>Table7[[#This Row],[Teva Adjusted %]]*$L$92</f>
        <v>5058.6035991977706</v>
      </c>
      <c r="M20" s="18">
        <f>Table7[[#This Row],[Teva Adjusted %]]*$M$92</f>
        <v>5058.6035991977706</v>
      </c>
      <c r="N20" s="18">
        <f>Table7[[#This Row],[Teva Adjusted %]]*$N$92</f>
        <v>5058.6035991977706</v>
      </c>
      <c r="O20" s="18">
        <f>Table7[[#This Row],[Teva Adjusted %]]*$O$92</f>
        <v>5058.6035991977706</v>
      </c>
      <c r="P20" s="18">
        <f>SUM(Table7[[#This Row],[Payment 1]:[Payment 13]])</f>
        <v>60709.74554714984</v>
      </c>
    </row>
    <row r="21" spans="1:16" x14ac:dyDescent="0.3">
      <c r="A21" t="s">
        <v>138</v>
      </c>
      <c r="B21">
        <v>1.733851293767948E-2</v>
      </c>
      <c r="C21" s="18">
        <f>Table7[[#This Row],[Teva Adjusted %]]*$C$92</f>
        <v>-1084.7189888036351</v>
      </c>
      <c r="D21" s="18">
        <f>Table7[[#This Row],[Teva Adjusted %]]*$D$92</f>
        <v>24643.199920340605</v>
      </c>
      <c r="E21" s="18">
        <f>Table7[[#This Row],[Teva Adjusted %]]*$E$92</f>
        <v>19193.539192175645</v>
      </c>
      <c r="F21" s="18">
        <f>Table7[[#This Row],[Teva Adjusted %]]*$F$92</f>
        <v>19193.539192175645</v>
      </c>
      <c r="G21" s="18">
        <f>Table7[[#This Row],[Teva Adjusted %]]*$G$92</f>
        <v>19193.539192175645</v>
      </c>
      <c r="H21" s="18">
        <f>Table7[[#This Row],[Teva Adjusted %]]*$H$92</f>
        <v>20278.258180979283</v>
      </c>
      <c r="I21" s="18">
        <f>Table7[[#This Row],[Teva Adjusted %]]*$I$92</f>
        <v>20278.258180979283</v>
      </c>
      <c r="J21" s="18">
        <f>Table7[[#This Row],[Teva Adjusted %]]*$J$92</f>
        <v>20278.258180979283</v>
      </c>
      <c r="K21" s="18">
        <f>Table7[[#This Row],[Teva Adjusted %]]*$K$92</f>
        <v>20278.258180979283</v>
      </c>
      <c r="L21" s="18">
        <f>Table7[[#This Row],[Teva Adjusted %]]*$L$92</f>
        <v>20278.258180979283</v>
      </c>
      <c r="M21" s="18">
        <f>Table7[[#This Row],[Teva Adjusted %]]*$M$92</f>
        <v>20278.258180979283</v>
      </c>
      <c r="N21" s="18">
        <f>Table7[[#This Row],[Teva Adjusted %]]*$N$92</f>
        <v>20278.258180979283</v>
      </c>
      <c r="O21" s="18">
        <f>Table7[[#This Row],[Teva Adjusted %]]*$O$92</f>
        <v>20278.258180979283</v>
      </c>
      <c r="P21" s="18">
        <f>SUM(Table7[[#This Row],[Payment 1]:[Payment 13]])</f>
        <v>243365.16395589823</v>
      </c>
    </row>
    <row r="22" spans="1:16" x14ac:dyDescent="0.3">
      <c r="A22" t="s">
        <v>139</v>
      </c>
      <c r="B22">
        <v>1.913819162930578E-2</v>
      </c>
      <c r="C22" s="18">
        <f>Table7[[#This Row],[Teva Adjusted %]]*$C$92</f>
        <v>-1197.3091317743158</v>
      </c>
      <c r="D22" s="18">
        <f>Table7[[#This Row],[Teva Adjusted %]]*$D$92</f>
        <v>27201.080284679367</v>
      </c>
      <c r="E22" s="18">
        <f>Table7[[#This Row],[Teva Adjusted %]]*$E$92</f>
        <v>21185.763301890776</v>
      </c>
      <c r="F22" s="18">
        <f>Table7[[#This Row],[Teva Adjusted %]]*$F$92</f>
        <v>21185.763301890776</v>
      </c>
      <c r="G22" s="18">
        <f>Table7[[#This Row],[Teva Adjusted %]]*$G$92</f>
        <v>21185.763301890776</v>
      </c>
      <c r="H22" s="18">
        <f>Table7[[#This Row],[Teva Adjusted %]]*$H$92</f>
        <v>22383.072433665093</v>
      </c>
      <c r="I22" s="18">
        <f>Table7[[#This Row],[Teva Adjusted %]]*$I$92</f>
        <v>22383.072433665093</v>
      </c>
      <c r="J22" s="18">
        <f>Table7[[#This Row],[Teva Adjusted %]]*$J$92</f>
        <v>22383.072433665093</v>
      </c>
      <c r="K22" s="18">
        <f>Table7[[#This Row],[Teva Adjusted %]]*$K$92</f>
        <v>22383.072433665093</v>
      </c>
      <c r="L22" s="18">
        <f>Table7[[#This Row],[Teva Adjusted %]]*$L$92</f>
        <v>22383.072433665093</v>
      </c>
      <c r="M22" s="18">
        <f>Table7[[#This Row],[Teva Adjusted %]]*$M$92</f>
        <v>22383.072433665093</v>
      </c>
      <c r="N22" s="18">
        <f>Table7[[#This Row],[Teva Adjusted %]]*$N$92</f>
        <v>22383.072433665093</v>
      </c>
      <c r="O22" s="18">
        <f>Table7[[#This Row],[Teva Adjusted %]]*$O$92</f>
        <v>22383.072433665093</v>
      </c>
      <c r="P22" s="18">
        <f>SUM(Table7[[#This Row],[Payment 1]:[Payment 13]])</f>
        <v>268625.64052789815</v>
      </c>
    </row>
    <row r="23" spans="1:16" x14ac:dyDescent="0.3">
      <c r="A23" t="s">
        <v>140</v>
      </c>
      <c r="B23">
        <v>3.8545546550230105E-2</v>
      </c>
      <c r="C23" s="18">
        <f>Table7[[#This Row],[Teva Adjusted %]]*$C$92</f>
        <v>-2411.4574546924719</v>
      </c>
      <c r="D23" s="18">
        <f>Table7[[#This Row],[Teva Adjusted %]]*$D$92</f>
        <v>54784.721913022644</v>
      </c>
      <c r="E23" s="18">
        <f>Table7[[#This Row],[Teva Adjusted %]]*$E$92</f>
        <v>42669.487346167283</v>
      </c>
      <c r="F23" s="18">
        <f>Table7[[#This Row],[Teva Adjusted %]]*$F$92</f>
        <v>42669.487346167283</v>
      </c>
      <c r="G23" s="18">
        <f>Table7[[#This Row],[Teva Adjusted %]]*$G$92</f>
        <v>42669.487346167283</v>
      </c>
      <c r="H23" s="18">
        <f>Table7[[#This Row],[Teva Adjusted %]]*$H$92</f>
        <v>45080.944800859754</v>
      </c>
      <c r="I23" s="18">
        <f>Table7[[#This Row],[Teva Adjusted %]]*$I$92</f>
        <v>45080.944800859754</v>
      </c>
      <c r="J23" s="18">
        <f>Table7[[#This Row],[Teva Adjusted %]]*$J$92</f>
        <v>45080.944800859754</v>
      </c>
      <c r="K23" s="18">
        <f>Table7[[#This Row],[Teva Adjusted %]]*$K$92</f>
        <v>45080.944800859754</v>
      </c>
      <c r="L23" s="18">
        <f>Table7[[#This Row],[Teva Adjusted %]]*$L$92</f>
        <v>45080.944800859754</v>
      </c>
      <c r="M23" s="18">
        <f>Table7[[#This Row],[Teva Adjusted %]]*$M$92</f>
        <v>45080.944800859754</v>
      </c>
      <c r="N23" s="18">
        <f>Table7[[#This Row],[Teva Adjusted %]]*$N$92</f>
        <v>45080.944800859754</v>
      </c>
      <c r="O23" s="18">
        <f>Table7[[#This Row],[Teva Adjusted %]]*$O$92</f>
        <v>45080.944800859754</v>
      </c>
      <c r="P23" s="18">
        <f>SUM(Table7[[#This Row],[Payment 1]:[Payment 13]])</f>
        <v>541029.28490371024</v>
      </c>
    </row>
    <row r="24" spans="1:16" x14ac:dyDescent="0.3">
      <c r="A24" t="s">
        <v>141</v>
      </c>
      <c r="B24">
        <v>0</v>
      </c>
      <c r="C24" s="18">
        <f>Table7[[#This Row],[Teva Adjusted %]]*$C$92</f>
        <v>0</v>
      </c>
      <c r="D24" s="18">
        <f>Table7[[#This Row],[Teva Adjusted %]]*$D$92</f>
        <v>0</v>
      </c>
      <c r="E24" s="18">
        <f>Table7[[#This Row],[Teva Adjusted %]]*$E$92</f>
        <v>0</v>
      </c>
      <c r="F24" s="18">
        <f>Table7[[#This Row],[Teva Adjusted %]]*$F$92</f>
        <v>0</v>
      </c>
      <c r="G24" s="18">
        <f>Table7[[#This Row],[Teva Adjusted %]]*$G$92</f>
        <v>0</v>
      </c>
      <c r="H24" s="18">
        <f>Table7[[#This Row],[Teva Adjusted %]]*$H$92</f>
        <v>0</v>
      </c>
      <c r="I24" s="18">
        <f>Table7[[#This Row],[Teva Adjusted %]]*$I$92</f>
        <v>0</v>
      </c>
      <c r="J24" s="18">
        <f>Table7[[#This Row],[Teva Adjusted %]]*$J$92</f>
        <v>0</v>
      </c>
      <c r="K24" s="18">
        <f>Table7[[#This Row],[Teva Adjusted %]]*$K$92</f>
        <v>0</v>
      </c>
      <c r="L24" s="18">
        <f>Table7[[#This Row],[Teva Adjusted %]]*$L$92</f>
        <v>0</v>
      </c>
      <c r="M24" s="18">
        <f>Table7[[#This Row],[Teva Adjusted %]]*$M$92</f>
        <v>0</v>
      </c>
      <c r="N24" s="18">
        <f>Table7[[#This Row],[Teva Adjusted %]]*$N$92</f>
        <v>0</v>
      </c>
      <c r="O24" s="18">
        <f>Table7[[#This Row],[Teva Adjusted %]]*$O$92</f>
        <v>0</v>
      </c>
      <c r="P24" s="18">
        <f>SUM(Table7[[#This Row],[Payment 1]:[Payment 13]])</f>
        <v>0</v>
      </c>
    </row>
    <row r="25" spans="1:16" x14ac:dyDescent="0.3">
      <c r="A25" t="s">
        <v>142</v>
      </c>
      <c r="B25">
        <v>1.7733279812563826E-2</v>
      </c>
      <c r="C25" s="18">
        <f>Table7[[#This Row],[Teva Adjusted %]]*$C$92</f>
        <v>-1109.4160967319135</v>
      </c>
      <c r="D25" s="18">
        <f>Table7[[#This Row],[Teva Adjusted %]]*$D$92</f>
        <v>25204.281430310344</v>
      </c>
      <c r="E25" s="18">
        <f>Table7[[#This Row],[Teva Adjusted %]]*$E$92</f>
        <v>19630.541691299972</v>
      </c>
      <c r="F25" s="18">
        <f>Table7[[#This Row],[Teva Adjusted %]]*$F$92</f>
        <v>19630.541691299972</v>
      </c>
      <c r="G25" s="18">
        <f>Table7[[#This Row],[Teva Adjusted %]]*$G$92</f>
        <v>19630.541691299972</v>
      </c>
      <c r="H25" s="18">
        <f>Table7[[#This Row],[Teva Adjusted %]]*$H$92</f>
        <v>20739.957788031887</v>
      </c>
      <c r="I25" s="18">
        <f>Table7[[#This Row],[Teva Adjusted %]]*$I$92</f>
        <v>20739.957788031887</v>
      </c>
      <c r="J25" s="18">
        <f>Table7[[#This Row],[Teva Adjusted %]]*$J$92</f>
        <v>20739.957788031887</v>
      </c>
      <c r="K25" s="18">
        <f>Table7[[#This Row],[Teva Adjusted %]]*$K$92</f>
        <v>20739.957788031887</v>
      </c>
      <c r="L25" s="18">
        <f>Table7[[#This Row],[Teva Adjusted %]]*$L$92</f>
        <v>20739.957788031887</v>
      </c>
      <c r="M25" s="18">
        <f>Table7[[#This Row],[Teva Adjusted %]]*$M$92</f>
        <v>20739.957788031887</v>
      </c>
      <c r="N25" s="18">
        <f>Table7[[#This Row],[Teva Adjusted %]]*$N$92</f>
        <v>20739.957788031887</v>
      </c>
      <c r="O25" s="18">
        <f>Table7[[#This Row],[Teva Adjusted %]]*$O$92</f>
        <v>20739.957788031887</v>
      </c>
      <c r="P25" s="18">
        <f>SUM(Table7[[#This Row],[Payment 1]:[Payment 13]])</f>
        <v>248906.15271173348</v>
      </c>
    </row>
    <row r="26" spans="1:16" x14ac:dyDescent="0.3">
      <c r="A26" t="s">
        <v>143</v>
      </c>
      <c r="B26">
        <v>2.6734909638253531E-2</v>
      </c>
      <c r="C26" s="18">
        <f>Table7[[#This Row],[Teva Adjusted %]]*$C$92</f>
        <v>-1672.5692827751907</v>
      </c>
      <c r="D26" s="18">
        <f>Table7[[#This Row],[Teva Adjusted %]]*$D$92</f>
        <v>37998.283095891522</v>
      </c>
      <c r="E26" s="18">
        <f>Table7[[#This Row],[Teva Adjusted %]]*$E$92</f>
        <v>29595.244862433396</v>
      </c>
      <c r="F26" s="18">
        <f>Table7[[#This Row],[Teva Adjusted %]]*$F$92</f>
        <v>29595.244862433396</v>
      </c>
      <c r="G26" s="18">
        <f>Table7[[#This Row],[Teva Adjusted %]]*$G$92</f>
        <v>29595.244862433396</v>
      </c>
      <c r="H26" s="18">
        <f>Table7[[#This Row],[Teva Adjusted %]]*$H$92</f>
        <v>31267.814145208587</v>
      </c>
      <c r="I26" s="18">
        <f>Table7[[#This Row],[Teva Adjusted %]]*$I$92</f>
        <v>31267.814145208587</v>
      </c>
      <c r="J26" s="18">
        <f>Table7[[#This Row],[Teva Adjusted %]]*$J$92</f>
        <v>31267.814145208587</v>
      </c>
      <c r="K26" s="18">
        <f>Table7[[#This Row],[Teva Adjusted %]]*$K$92</f>
        <v>31267.814145208587</v>
      </c>
      <c r="L26" s="18">
        <f>Table7[[#This Row],[Teva Adjusted %]]*$L$92</f>
        <v>31267.814145208587</v>
      </c>
      <c r="M26" s="18">
        <f>Table7[[#This Row],[Teva Adjusted %]]*$M$92</f>
        <v>31267.814145208587</v>
      </c>
      <c r="N26" s="18">
        <f>Table7[[#This Row],[Teva Adjusted %]]*$N$92</f>
        <v>31267.814145208587</v>
      </c>
      <c r="O26" s="18">
        <f>Table7[[#This Row],[Teva Adjusted %]]*$O$92</f>
        <v>31267.814145208587</v>
      </c>
      <c r="P26" s="18">
        <f>SUM(Table7[[#This Row],[Payment 1]:[Payment 13]])</f>
        <v>375253.9615620852</v>
      </c>
    </row>
    <row r="27" spans="1:16" x14ac:dyDescent="0.3">
      <c r="A27" t="s">
        <v>144</v>
      </c>
      <c r="B27">
        <v>2.2098443192059843E-2</v>
      </c>
      <c r="C27" s="18">
        <f>Table7[[#This Row],[Teva Adjusted %]]*$C$92</f>
        <v>-1382.5061606831123</v>
      </c>
      <c r="D27" s="18">
        <f>Table7[[#This Row],[Teva Adjusted %]]*$D$92</f>
        <v>31408.480961868721</v>
      </c>
      <c r="E27" s="18">
        <f>Table7[[#This Row],[Teva Adjusted %]]*$E$92</f>
        <v>24462.728552177319</v>
      </c>
      <c r="F27" s="18">
        <f>Table7[[#This Row],[Teva Adjusted %]]*$F$92</f>
        <v>24462.728552177319</v>
      </c>
      <c r="G27" s="18">
        <f>Table7[[#This Row],[Teva Adjusted %]]*$G$92</f>
        <v>24462.728552177319</v>
      </c>
      <c r="H27" s="18">
        <f>Table7[[#This Row],[Teva Adjusted %]]*$H$92</f>
        <v>25845.234712860434</v>
      </c>
      <c r="I27" s="18">
        <f>Table7[[#This Row],[Teva Adjusted %]]*$I$92</f>
        <v>25845.234712860434</v>
      </c>
      <c r="J27" s="18">
        <f>Table7[[#This Row],[Teva Adjusted %]]*$J$92</f>
        <v>25845.234712860434</v>
      </c>
      <c r="K27" s="18">
        <f>Table7[[#This Row],[Teva Adjusted %]]*$K$92</f>
        <v>25845.234712860434</v>
      </c>
      <c r="L27" s="18">
        <f>Table7[[#This Row],[Teva Adjusted %]]*$L$92</f>
        <v>25845.234712860434</v>
      </c>
      <c r="M27" s="18">
        <f>Table7[[#This Row],[Teva Adjusted %]]*$M$92</f>
        <v>25845.234712860434</v>
      </c>
      <c r="N27" s="18">
        <f>Table7[[#This Row],[Teva Adjusted %]]*$N$92</f>
        <v>25845.234712860434</v>
      </c>
      <c r="O27" s="18">
        <f>Table7[[#This Row],[Teva Adjusted %]]*$O$92</f>
        <v>25845.234712860434</v>
      </c>
      <c r="P27" s="18">
        <f>SUM(Table7[[#This Row],[Payment 1]:[Payment 13]])</f>
        <v>310176.03816060105</v>
      </c>
    </row>
    <row r="28" spans="1:16" x14ac:dyDescent="0.3">
      <c r="A28" t="s">
        <v>145</v>
      </c>
      <c r="B28">
        <v>3.3313088948785392E-3</v>
      </c>
      <c r="C28" s="18">
        <f>Table7[[#This Row],[Teva Adjusted %]]*$C$92</f>
        <v>-208.41083827854652</v>
      </c>
      <c r="D28" s="18">
        <f>Table7[[#This Row],[Teva Adjusted %]]*$D$92</f>
        <v>4734.7838530313966</v>
      </c>
      <c r="E28" s="18">
        <f>Table7[[#This Row],[Teva Adjusted %]]*$E$92</f>
        <v>3687.7215517221866</v>
      </c>
      <c r="F28" s="18">
        <f>Table7[[#This Row],[Teva Adjusted %]]*$F$92</f>
        <v>3687.7215517221866</v>
      </c>
      <c r="G28" s="18">
        <f>Table7[[#This Row],[Teva Adjusted %]]*$G$92</f>
        <v>3687.7215517221866</v>
      </c>
      <c r="H28" s="18">
        <f>Table7[[#This Row],[Teva Adjusted %]]*$H$92</f>
        <v>3896.1323900007333</v>
      </c>
      <c r="I28" s="18">
        <f>Table7[[#This Row],[Teva Adjusted %]]*$I$92</f>
        <v>3896.1323900007333</v>
      </c>
      <c r="J28" s="18">
        <f>Table7[[#This Row],[Teva Adjusted %]]*$J$92</f>
        <v>3896.1323900007333</v>
      </c>
      <c r="K28" s="18">
        <f>Table7[[#This Row],[Teva Adjusted %]]*$K$92</f>
        <v>3896.1323900007333</v>
      </c>
      <c r="L28" s="18">
        <f>Table7[[#This Row],[Teva Adjusted %]]*$L$92</f>
        <v>3896.1323900007333</v>
      </c>
      <c r="M28" s="18">
        <f>Table7[[#This Row],[Teva Adjusted %]]*$M$92</f>
        <v>3896.1323900007333</v>
      </c>
      <c r="N28" s="18">
        <f>Table7[[#This Row],[Teva Adjusted %]]*$N$92</f>
        <v>3896.1323900007333</v>
      </c>
      <c r="O28" s="18">
        <f>Table7[[#This Row],[Teva Adjusted %]]*$O$92</f>
        <v>3896.1323900007333</v>
      </c>
      <c r="P28" s="18">
        <f>SUM(Table7[[#This Row],[Payment 1]:[Payment 13]])</f>
        <v>46758.596789925279</v>
      </c>
    </row>
    <row r="29" spans="1:16" x14ac:dyDescent="0.3">
      <c r="A29" t="s">
        <v>146</v>
      </c>
      <c r="B29">
        <v>1.1842930895485573E-2</v>
      </c>
      <c r="C29" s="18">
        <f>Table7[[#This Row],[Teva Adjusted %]]*$C$92</f>
        <v>-740.90852379302908</v>
      </c>
      <c r="D29" s="18">
        <f>Table7[[#This Row],[Teva Adjusted %]]*$D$92</f>
        <v>16832.338202776064</v>
      </c>
      <c r="E29" s="18">
        <f>Table7[[#This Row],[Teva Adjusted %]]*$E$92</f>
        <v>13109.99156096902</v>
      </c>
      <c r="F29" s="18">
        <f>Table7[[#This Row],[Teva Adjusted %]]*$F$92</f>
        <v>13109.99156096902</v>
      </c>
      <c r="G29" s="18">
        <f>Table7[[#This Row],[Teva Adjusted %]]*$G$92</f>
        <v>13109.99156096902</v>
      </c>
      <c r="H29" s="18">
        <f>Table7[[#This Row],[Teva Adjusted %]]*$H$92</f>
        <v>13850.90008476205</v>
      </c>
      <c r="I29" s="18">
        <f>Table7[[#This Row],[Teva Adjusted %]]*$I$92</f>
        <v>13850.90008476205</v>
      </c>
      <c r="J29" s="18">
        <f>Table7[[#This Row],[Teva Adjusted %]]*$J$92</f>
        <v>13850.90008476205</v>
      </c>
      <c r="K29" s="18">
        <f>Table7[[#This Row],[Teva Adjusted %]]*$K$92</f>
        <v>13850.90008476205</v>
      </c>
      <c r="L29" s="18">
        <f>Table7[[#This Row],[Teva Adjusted %]]*$L$92</f>
        <v>13850.90008476205</v>
      </c>
      <c r="M29" s="18">
        <f>Table7[[#This Row],[Teva Adjusted %]]*$M$92</f>
        <v>13850.90008476205</v>
      </c>
      <c r="N29" s="18">
        <f>Table7[[#This Row],[Teva Adjusted %]]*$N$92</f>
        <v>13850.90008476205</v>
      </c>
      <c r="O29" s="18">
        <f>Table7[[#This Row],[Teva Adjusted %]]*$O$92</f>
        <v>13850.90008476205</v>
      </c>
      <c r="P29" s="18">
        <f>SUM(Table7[[#This Row],[Payment 1]:[Payment 13]])</f>
        <v>166228.60503998649</v>
      </c>
    </row>
    <row r="30" spans="1:16" x14ac:dyDescent="0.3">
      <c r="A30" t="s">
        <v>147</v>
      </c>
      <c r="B30">
        <v>2.3852423100627941E-2</v>
      </c>
      <c r="C30" s="18">
        <f>Table7[[#This Row],[Teva Adjusted %]]*$C$92</f>
        <v>-1492.2373308037786</v>
      </c>
      <c r="D30" s="18">
        <f>Table7[[#This Row],[Teva Adjusted %]]*$D$92</f>
        <v>33901.409721011158</v>
      </c>
      <c r="E30" s="18">
        <f>Table7[[#This Row],[Teva Adjusted %]]*$E$92</f>
        <v>26404.364622029112</v>
      </c>
      <c r="F30" s="18">
        <f>Table7[[#This Row],[Teva Adjusted %]]*$F$92</f>
        <v>26404.364622029112</v>
      </c>
      <c r="G30" s="18">
        <f>Table7[[#This Row],[Teva Adjusted %]]*$G$92</f>
        <v>26404.364622029112</v>
      </c>
      <c r="H30" s="18">
        <f>Table7[[#This Row],[Teva Adjusted %]]*$H$92</f>
        <v>27896.601952832894</v>
      </c>
      <c r="I30" s="18">
        <f>Table7[[#This Row],[Teva Adjusted %]]*$I$92</f>
        <v>27896.601952832894</v>
      </c>
      <c r="J30" s="18">
        <f>Table7[[#This Row],[Teva Adjusted %]]*$J$92</f>
        <v>27896.601952832894</v>
      </c>
      <c r="K30" s="18">
        <f>Table7[[#This Row],[Teva Adjusted %]]*$K$92</f>
        <v>27896.601952832894</v>
      </c>
      <c r="L30" s="18">
        <f>Table7[[#This Row],[Teva Adjusted %]]*$L$92</f>
        <v>27896.601952832894</v>
      </c>
      <c r="M30" s="18">
        <f>Table7[[#This Row],[Teva Adjusted %]]*$M$92</f>
        <v>27896.601952832894</v>
      </c>
      <c r="N30" s="18">
        <f>Table7[[#This Row],[Teva Adjusted %]]*$N$92</f>
        <v>27896.601952832894</v>
      </c>
      <c r="O30" s="18">
        <f>Table7[[#This Row],[Teva Adjusted %]]*$O$92</f>
        <v>27896.601952832894</v>
      </c>
      <c r="P30" s="18">
        <f>SUM(Table7[[#This Row],[Payment 1]:[Payment 13]])</f>
        <v>334795.08187895786</v>
      </c>
    </row>
    <row r="31" spans="1:16" x14ac:dyDescent="0.3">
      <c r="A31" t="s">
        <v>148</v>
      </c>
      <c r="B31">
        <v>9.3460507824176791E-3</v>
      </c>
      <c r="C31" s="18">
        <f>Table7[[#This Row],[Teva Adjusted %]]*$C$92</f>
        <v>-584.7005905552785</v>
      </c>
      <c r="D31" s="18">
        <f>Table7[[#This Row],[Teva Adjusted %]]*$D$92</f>
        <v>13283.526604883065</v>
      </c>
      <c r="E31" s="18">
        <f>Table7[[#This Row],[Teva Adjusted %]]*$E$92</f>
        <v>10345.973304006175</v>
      </c>
      <c r="F31" s="18">
        <f>Table7[[#This Row],[Teva Adjusted %]]*$F$92</f>
        <v>10345.973304006175</v>
      </c>
      <c r="G31" s="18">
        <f>Table7[[#This Row],[Teva Adjusted %]]*$G$92</f>
        <v>10345.973304006175</v>
      </c>
      <c r="H31" s="18">
        <f>Table7[[#This Row],[Teva Adjusted %]]*$H$92</f>
        <v>10930.673894561454</v>
      </c>
      <c r="I31" s="18">
        <f>Table7[[#This Row],[Teva Adjusted %]]*$I$92</f>
        <v>10930.673894561454</v>
      </c>
      <c r="J31" s="18">
        <f>Table7[[#This Row],[Teva Adjusted %]]*$J$92</f>
        <v>10930.673894561454</v>
      </c>
      <c r="K31" s="18">
        <f>Table7[[#This Row],[Teva Adjusted %]]*$K$92</f>
        <v>10930.673894561454</v>
      </c>
      <c r="L31" s="18">
        <f>Table7[[#This Row],[Teva Adjusted %]]*$L$92</f>
        <v>10930.673894561454</v>
      </c>
      <c r="M31" s="18">
        <f>Table7[[#This Row],[Teva Adjusted %]]*$M$92</f>
        <v>10930.673894561454</v>
      </c>
      <c r="N31" s="18">
        <f>Table7[[#This Row],[Teva Adjusted %]]*$N$92</f>
        <v>10930.673894561454</v>
      </c>
      <c r="O31" s="18">
        <f>Table7[[#This Row],[Teva Adjusted %]]*$O$92</f>
        <v>10930.673894561454</v>
      </c>
      <c r="P31" s="18">
        <f>SUM(Table7[[#This Row],[Payment 1]:[Payment 13]])</f>
        <v>131182.13708283793</v>
      </c>
    </row>
    <row r="32" spans="1:16" x14ac:dyDescent="0.3">
      <c r="A32" t="s">
        <v>149</v>
      </c>
      <c r="B32">
        <v>1.5488258307130175E-2</v>
      </c>
      <c r="C32" s="18">
        <f>Table7[[#This Row],[Teva Adjusted %]]*$C$92</f>
        <v>-968.96475203070372</v>
      </c>
      <c r="D32" s="18">
        <f>Table7[[#This Row],[Teva Adjusted %]]*$D$92</f>
        <v>22013.436057196704</v>
      </c>
      <c r="E32" s="18">
        <f>Table7[[#This Row],[Teva Adjusted %]]*$E$92</f>
        <v>17145.328085802328</v>
      </c>
      <c r="F32" s="18">
        <f>Table7[[#This Row],[Teva Adjusted %]]*$F$92</f>
        <v>17145.328085802328</v>
      </c>
      <c r="G32" s="18">
        <f>Table7[[#This Row],[Teva Adjusted %]]*$G$92</f>
        <v>17145.328085802328</v>
      </c>
      <c r="H32" s="18">
        <f>Table7[[#This Row],[Teva Adjusted %]]*$H$92</f>
        <v>18114.292837833036</v>
      </c>
      <c r="I32" s="18">
        <f>Table7[[#This Row],[Teva Adjusted %]]*$I$92</f>
        <v>18114.292837833036</v>
      </c>
      <c r="J32" s="18">
        <f>Table7[[#This Row],[Teva Adjusted %]]*$J$92</f>
        <v>18114.292837833036</v>
      </c>
      <c r="K32" s="18">
        <f>Table7[[#This Row],[Teva Adjusted %]]*$K$92</f>
        <v>18114.292837833036</v>
      </c>
      <c r="L32" s="18">
        <f>Table7[[#This Row],[Teva Adjusted %]]*$L$92</f>
        <v>18114.292837833036</v>
      </c>
      <c r="M32" s="18">
        <f>Table7[[#This Row],[Teva Adjusted %]]*$M$92</f>
        <v>18114.292837833036</v>
      </c>
      <c r="N32" s="18">
        <f>Table7[[#This Row],[Teva Adjusted %]]*$N$92</f>
        <v>18114.292837833036</v>
      </c>
      <c r="O32" s="18">
        <f>Table7[[#This Row],[Teva Adjusted %]]*$O$92</f>
        <v>18114.292837833036</v>
      </c>
      <c r="P32" s="18">
        <f>SUM(Table7[[#This Row],[Payment 1]:[Payment 13]])</f>
        <v>217394.79826523724</v>
      </c>
    </row>
    <row r="33" spans="1:16" x14ac:dyDescent="0.3">
      <c r="A33" t="s">
        <v>150</v>
      </c>
      <c r="B33">
        <v>1.2940796528898662E-2</v>
      </c>
      <c r="C33" s="18">
        <f>Table7[[#This Row],[Teva Adjusted %]]*$C$92</f>
        <v>-809.59236674994941</v>
      </c>
      <c r="D33" s="18">
        <f>Table7[[#This Row],[Teva Adjusted %]]*$D$92</f>
        <v>18392.732821802201</v>
      </c>
      <c r="E33" s="18">
        <f>Table7[[#This Row],[Teva Adjusted %]]*$E$92</f>
        <v>14325.316493297216</v>
      </c>
      <c r="F33" s="18">
        <f>Table7[[#This Row],[Teva Adjusted %]]*$F$92</f>
        <v>14325.316493297216</v>
      </c>
      <c r="G33" s="18">
        <f>Table7[[#This Row],[Teva Adjusted %]]*$G$92</f>
        <v>14325.316493297216</v>
      </c>
      <c r="H33" s="18">
        <f>Table7[[#This Row],[Teva Adjusted %]]*$H$92</f>
        <v>15134.908860047168</v>
      </c>
      <c r="I33" s="18">
        <f>Table7[[#This Row],[Teva Adjusted %]]*$I$92</f>
        <v>15134.908860047168</v>
      </c>
      <c r="J33" s="18">
        <f>Table7[[#This Row],[Teva Adjusted %]]*$J$92</f>
        <v>15134.908860047168</v>
      </c>
      <c r="K33" s="18">
        <f>Table7[[#This Row],[Teva Adjusted %]]*$K$92</f>
        <v>15134.908860047168</v>
      </c>
      <c r="L33" s="18">
        <f>Table7[[#This Row],[Teva Adjusted %]]*$L$92</f>
        <v>15134.908860047168</v>
      </c>
      <c r="M33" s="18">
        <f>Table7[[#This Row],[Teva Adjusted %]]*$M$92</f>
        <v>15134.908860047168</v>
      </c>
      <c r="N33" s="18">
        <f>Table7[[#This Row],[Teva Adjusted %]]*$N$92</f>
        <v>15134.908860047168</v>
      </c>
      <c r="O33" s="18">
        <f>Table7[[#This Row],[Teva Adjusted %]]*$O$92</f>
        <v>15134.908860047168</v>
      </c>
      <c r="P33" s="18">
        <f>SUM(Table7[[#This Row],[Payment 1]:[Payment 13]])</f>
        <v>181638.36081532127</v>
      </c>
    </row>
    <row r="34" spans="1:16" x14ac:dyDescent="0.3">
      <c r="A34" t="s">
        <v>151</v>
      </c>
      <c r="B34">
        <v>6.6318403362373296E-2</v>
      </c>
      <c r="C34" s="18">
        <f>Table7[[#This Row],[Teva Adjusted %]]*$C$92</f>
        <v>-4148.9620068843642</v>
      </c>
      <c r="D34" s="18">
        <f>Table7[[#This Row],[Teva Adjusted %]]*$D$92</f>
        <v>94258.237619972148</v>
      </c>
      <c r="E34" s="18">
        <f>Table7[[#This Row],[Teva Adjusted %]]*$E$92</f>
        <v>73413.728078838525</v>
      </c>
      <c r="F34" s="18">
        <f>Table7[[#This Row],[Teva Adjusted %]]*$F$92</f>
        <v>73413.728078838525</v>
      </c>
      <c r="G34" s="18">
        <f>Table7[[#This Row],[Teva Adjusted %]]*$G$92</f>
        <v>73413.728078838525</v>
      </c>
      <c r="H34" s="18">
        <f>Table7[[#This Row],[Teva Adjusted %]]*$H$92</f>
        <v>77562.69008572289</v>
      </c>
      <c r="I34" s="18">
        <f>Table7[[#This Row],[Teva Adjusted %]]*$I$92</f>
        <v>77562.69008572289</v>
      </c>
      <c r="J34" s="18">
        <f>Table7[[#This Row],[Teva Adjusted %]]*$J$92</f>
        <v>77562.69008572289</v>
      </c>
      <c r="K34" s="18">
        <f>Table7[[#This Row],[Teva Adjusted %]]*$K$92</f>
        <v>77562.69008572289</v>
      </c>
      <c r="L34" s="18">
        <f>Table7[[#This Row],[Teva Adjusted %]]*$L$92</f>
        <v>77562.69008572289</v>
      </c>
      <c r="M34" s="18">
        <f>Table7[[#This Row],[Teva Adjusted %]]*$M$92</f>
        <v>77562.69008572289</v>
      </c>
      <c r="N34" s="18">
        <f>Table7[[#This Row],[Teva Adjusted %]]*$N$92</f>
        <v>77562.69008572289</v>
      </c>
      <c r="O34" s="18">
        <f>Table7[[#This Row],[Teva Adjusted %]]*$O$92</f>
        <v>77562.69008572289</v>
      </c>
      <c r="P34" s="18">
        <f>SUM(Table7[[#This Row],[Payment 1]:[Payment 13]])</f>
        <v>930851.98053538613</v>
      </c>
    </row>
    <row r="35" spans="1:16" x14ac:dyDescent="0.3">
      <c r="A35" t="s">
        <v>152</v>
      </c>
      <c r="B35">
        <v>1.4665624073189684E-2</v>
      </c>
      <c r="C35" s="18">
        <f>Table7[[#This Row],[Teva Adjusted %]]*$C$92</f>
        <v>-917.49972861130732</v>
      </c>
      <c r="D35" s="18">
        <f>Table7[[#This Row],[Teva Adjusted %]]*$D$92</f>
        <v>20844.227373546761</v>
      </c>
      <c r="E35" s="18">
        <f>Table7[[#This Row],[Teva Adjusted %]]*$E$92</f>
        <v>16234.681223138028</v>
      </c>
      <c r="F35" s="18">
        <f>Table7[[#This Row],[Teva Adjusted %]]*$F$92</f>
        <v>16234.681223138028</v>
      </c>
      <c r="G35" s="18">
        <f>Table7[[#This Row],[Teva Adjusted %]]*$G$92</f>
        <v>16234.681223138028</v>
      </c>
      <c r="H35" s="18">
        <f>Table7[[#This Row],[Teva Adjusted %]]*$H$92</f>
        <v>17152.180951749338</v>
      </c>
      <c r="I35" s="18">
        <f>Table7[[#This Row],[Teva Adjusted %]]*$I$92</f>
        <v>17152.180951749338</v>
      </c>
      <c r="J35" s="18">
        <f>Table7[[#This Row],[Teva Adjusted %]]*$J$92</f>
        <v>17152.180951749338</v>
      </c>
      <c r="K35" s="18">
        <f>Table7[[#This Row],[Teva Adjusted %]]*$K$92</f>
        <v>17152.180951749338</v>
      </c>
      <c r="L35" s="18">
        <f>Table7[[#This Row],[Teva Adjusted %]]*$L$92</f>
        <v>17152.180951749338</v>
      </c>
      <c r="M35" s="18">
        <f>Table7[[#This Row],[Teva Adjusted %]]*$M$92</f>
        <v>17152.180951749338</v>
      </c>
      <c r="N35" s="18">
        <f>Table7[[#This Row],[Teva Adjusted %]]*$N$92</f>
        <v>17152.180951749338</v>
      </c>
      <c r="O35" s="18">
        <f>Table7[[#This Row],[Teva Adjusted %]]*$O$92</f>
        <v>17152.180951749338</v>
      </c>
      <c r="P35" s="18">
        <f>SUM(Table7[[#This Row],[Payment 1]:[Payment 13]])</f>
        <v>205848.2189283442</v>
      </c>
    </row>
    <row r="36" spans="1:16" x14ac:dyDescent="0.3">
      <c r="A36" t="s">
        <v>153</v>
      </c>
      <c r="B36">
        <v>2.2855273268378349E-3</v>
      </c>
      <c r="C36" s="18">
        <f>Table7[[#This Row],[Teva Adjusted %]]*$C$92</f>
        <v>-142.98543939503571</v>
      </c>
      <c r="D36" s="18">
        <f>Table7[[#This Row],[Teva Adjusted %]]*$D$92</f>
        <v>3248.4162304523688</v>
      </c>
      <c r="E36" s="18">
        <f>Table7[[#This Row],[Teva Adjusted %]]*$E$92</f>
        <v>2530.0530951024834</v>
      </c>
      <c r="F36" s="18">
        <f>Table7[[#This Row],[Teva Adjusted %]]*$F$92</f>
        <v>2530.0530951024834</v>
      </c>
      <c r="G36" s="18">
        <f>Table7[[#This Row],[Teva Adjusted %]]*$G$92</f>
        <v>2530.0530951024834</v>
      </c>
      <c r="H36" s="18">
        <f>Table7[[#This Row],[Teva Adjusted %]]*$H$92</f>
        <v>2673.0385344975193</v>
      </c>
      <c r="I36" s="18">
        <f>Table7[[#This Row],[Teva Adjusted %]]*$I$92</f>
        <v>2673.0385344975193</v>
      </c>
      <c r="J36" s="18">
        <f>Table7[[#This Row],[Teva Adjusted %]]*$J$92</f>
        <v>2673.0385344975193</v>
      </c>
      <c r="K36" s="18">
        <f>Table7[[#This Row],[Teva Adjusted %]]*$K$92</f>
        <v>2673.0385344975193</v>
      </c>
      <c r="L36" s="18">
        <f>Table7[[#This Row],[Teva Adjusted %]]*$L$92</f>
        <v>2673.0385344975193</v>
      </c>
      <c r="M36" s="18">
        <f>Table7[[#This Row],[Teva Adjusted %]]*$M$92</f>
        <v>2673.0385344975193</v>
      </c>
      <c r="N36" s="18">
        <f>Table7[[#This Row],[Teva Adjusted %]]*$N$92</f>
        <v>2673.0385344975193</v>
      </c>
      <c r="O36" s="18">
        <f>Table7[[#This Row],[Teva Adjusted %]]*$O$92</f>
        <v>2673.0385344975193</v>
      </c>
      <c r="P36" s="18">
        <f>SUM(Table7[[#This Row],[Payment 1]:[Payment 13]])</f>
        <v>32079.898352344931</v>
      </c>
    </row>
    <row r="37" spans="1:16" x14ac:dyDescent="0.3">
      <c r="A37" t="s">
        <v>154</v>
      </c>
      <c r="B37">
        <v>8.3142266292569585E-4</v>
      </c>
      <c r="C37" s="18">
        <f>Table7[[#This Row],[Teva Adjusted %]]*$C$92</f>
        <v>-52.014838495018473</v>
      </c>
      <c r="D37" s="18">
        <f>Table7[[#This Row],[Teva Adjusted %]]*$D$92</f>
        <v>1181.6996633116125</v>
      </c>
      <c r="E37" s="18">
        <f>Table7[[#This Row],[Teva Adjusted %]]*$E$92</f>
        <v>920.37555489825843</v>
      </c>
      <c r="F37" s="18">
        <f>Table7[[#This Row],[Teva Adjusted %]]*$F$92</f>
        <v>920.37555489825843</v>
      </c>
      <c r="G37" s="18">
        <f>Table7[[#This Row],[Teva Adjusted %]]*$G$92</f>
        <v>920.37555489825843</v>
      </c>
      <c r="H37" s="18">
        <f>Table7[[#This Row],[Teva Adjusted %]]*$H$92</f>
        <v>972.39039339327701</v>
      </c>
      <c r="I37" s="18">
        <f>Table7[[#This Row],[Teva Adjusted %]]*$I$92</f>
        <v>972.39039339327701</v>
      </c>
      <c r="J37" s="18">
        <f>Table7[[#This Row],[Teva Adjusted %]]*$J$92</f>
        <v>972.39039339327701</v>
      </c>
      <c r="K37" s="18">
        <f>Table7[[#This Row],[Teva Adjusted %]]*$K$92</f>
        <v>972.39039339327701</v>
      </c>
      <c r="L37" s="18">
        <f>Table7[[#This Row],[Teva Adjusted %]]*$L$92</f>
        <v>972.39039339327701</v>
      </c>
      <c r="M37" s="18">
        <f>Table7[[#This Row],[Teva Adjusted %]]*$M$92</f>
        <v>972.39039339327701</v>
      </c>
      <c r="N37" s="18">
        <f>Table7[[#This Row],[Teva Adjusted %]]*$N$92</f>
        <v>972.39039339327701</v>
      </c>
      <c r="O37" s="18">
        <f>Table7[[#This Row],[Teva Adjusted %]]*$O$92</f>
        <v>972.39039339327701</v>
      </c>
      <c r="P37" s="18">
        <f>SUM(Table7[[#This Row],[Payment 1]:[Payment 13]])</f>
        <v>11669.934636657588</v>
      </c>
    </row>
    <row r="38" spans="1:16" x14ac:dyDescent="0.3">
      <c r="A38" t="s">
        <v>155</v>
      </c>
      <c r="B38">
        <v>1.8100763599917011E-2</v>
      </c>
      <c r="C38" s="18">
        <f>Table7[[#This Row],[Teva Adjusted %]]*$C$92</f>
        <v>-1132.4063406849123</v>
      </c>
      <c r="D38" s="18">
        <f>Table7[[#This Row],[Teva Adjusted %]]*$D$92</f>
        <v>25726.585532846628</v>
      </c>
      <c r="E38" s="18">
        <f>Table7[[#This Row],[Teva Adjusted %]]*$E$92</f>
        <v>20037.34211878787</v>
      </c>
      <c r="F38" s="18">
        <f>Table7[[#This Row],[Teva Adjusted %]]*$F$92</f>
        <v>20037.34211878787</v>
      </c>
      <c r="G38" s="18">
        <f>Table7[[#This Row],[Teva Adjusted %]]*$G$92</f>
        <v>20037.34211878787</v>
      </c>
      <c r="H38" s="18">
        <f>Table7[[#This Row],[Teva Adjusted %]]*$H$92</f>
        <v>21169.748459472787</v>
      </c>
      <c r="I38" s="18">
        <f>Table7[[#This Row],[Teva Adjusted %]]*$I$92</f>
        <v>21169.748459472787</v>
      </c>
      <c r="J38" s="18">
        <f>Table7[[#This Row],[Teva Adjusted %]]*$J$92</f>
        <v>21169.748459472787</v>
      </c>
      <c r="K38" s="18">
        <f>Table7[[#This Row],[Teva Adjusted %]]*$K$92</f>
        <v>21169.748459472787</v>
      </c>
      <c r="L38" s="18">
        <f>Table7[[#This Row],[Teva Adjusted %]]*$L$92</f>
        <v>21169.748459472787</v>
      </c>
      <c r="M38" s="18">
        <f>Table7[[#This Row],[Teva Adjusted %]]*$M$92</f>
        <v>21169.748459472787</v>
      </c>
      <c r="N38" s="18">
        <f>Table7[[#This Row],[Teva Adjusted %]]*$N$92</f>
        <v>21169.748459472787</v>
      </c>
      <c r="O38" s="18">
        <f>Table7[[#This Row],[Teva Adjusted %]]*$O$92</f>
        <v>21169.748459472787</v>
      </c>
      <c r="P38" s="18">
        <f>SUM(Table7[[#This Row],[Payment 1]:[Payment 13]])</f>
        <v>254064.19322430762</v>
      </c>
    </row>
    <row r="39" spans="1:16" x14ac:dyDescent="0.3">
      <c r="A39" t="s">
        <v>156</v>
      </c>
      <c r="B39">
        <v>8.3142266292569585E-4</v>
      </c>
      <c r="C39" s="18">
        <f>Table7[[#This Row],[Teva Adjusted %]]*$C$92</f>
        <v>-52.014838495018473</v>
      </c>
      <c r="D39" s="18">
        <f>Table7[[#This Row],[Teva Adjusted %]]*$D$92</f>
        <v>1181.6996633116125</v>
      </c>
      <c r="E39" s="18">
        <f>Table7[[#This Row],[Teva Adjusted %]]*$E$92</f>
        <v>920.37555489825843</v>
      </c>
      <c r="F39" s="18">
        <f>Table7[[#This Row],[Teva Adjusted %]]*$F$92</f>
        <v>920.37555489825843</v>
      </c>
      <c r="G39" s="18">
        <f>Table7[[#This Row],[Teva Adjusted %]]*$G$92</f>
        <v>920.37555489825843</v>
      </c>
      <c r="H39" s="18">
        <f>Table7[[#This Row],[Teva Adjusted %]]*$H$92</f>
        <v>972.39039339327701</v>
      </c>
      <c r="I39" s="18">
        <f>Table7[[#This Row],[Teva Adjusted %]]*$I$92</f>
        <v>972.39039339327701</v>
      </c>
      <c r="J39" s="18">
        <f>Table7[[#This Row],[Teva Adjusted %]]*$J$92</f>
        <v>972.39039339327701</v>
      </c>
      <c r="K39" s="18">
        <f>Table7[[#This Row],[Teva Adjusted %]]*$K$92</f>
        <v>972.39039339327701</v>
      </c>
      <c r="L39" s="18">
        <f>Table7[[#This Row],[Teva Adjusted %]]*$L$92</f>
        <v>972.39039339327701</v>
      </c>
      <c r="M39" s="18">
        <f>Table7[[#This Row],[Teva Adjusted %]]*$M$92</f>
        <v>972.39039339327701</v>
      </c>
      <c r="N39" s="18">
        <f>Table7[[#This Row],[Teva Adjusted %]]*$N$92</f>
        <v>972.39039339327701</v>
      </c>
      <c r="O39" s="18">
        <f>Table7[[#This Row],[Teva Adjusted %]]*$O$92</f>
        <v>972.39039339327701</v>
      </c>
      <c r="P39" s="18">
        <f>SUM(Table7[[#This Row],[Payment 1]:[Payment 13]])</f>
        <v>11669.934636657588</v>
      </c>
    </row>
    <row r="40" spans="1:16" x14ac:dyDescent="0.3">
      <c r="A40" t="s">
        <v>157</v>
      </c>
      <c r="B40">
        <v>2.0785566573142396E-3</v>
      </c>
      <c r="C40" s="18">
        <f>Table7[[#This Row],[Teva Adjusted %]]*$C$92</f>
        <v>-130.03709623754617</v>
      </c>
      <c r="D40" s="18">
        <f>Table7[[#This Row],[Teva Adjusted %]]*$D$92</f>
        <v>2954.2491582790317</v>
      </c>
      <c r="E40" s="18">
        <f>Table7[[#This Row],[Teva Adjusted %]]*$E$92</f>
        <v>2300.9388872456461</v>
      </c>
      <c r="F40" s="18">
        <f>Table7[[#This Row],[Teva Adjusted %]]*$F$92</f>
        <v>2300.9388872456461</v>
      </c>
      <c r="G40" s="18">
        <f>Table7[[#This Row],[Teva Adjusted %]]*$G$92</f>
        <v>2300.9388872456461</v>
      </c>
      <c r="H40" s="18">
        <f>Table7[[#This Row],[Teva Adjusted %]]*$H$92</f>
        <v>2430.9759834831925</v>
      </c>
      <c r="I40" s="18">
        <f>Table7[[#This Row],[Teva Adjusted %]]*$I$92</f>
        <v>2430.9759834831925</v>
      </c>
      <c r="J40" s="18">
        <f>Table7[[#This Row],[Teva Adjusted %]]*$J$92</f>
        <v>2430.9759834831925</v>
      </c>
      <c r="K40" s="18">
        <f>Table7[[#This Row],[Teva Adjusted %]]*$K$92</f>
        <v>2430.9759834831925</v>
      </c>
      <c r="L40" s="18">
        <f>Table7[[#This Row],[Teva Adjusted %]]*$L$92</f>
        <v>2430.9759834831925</v>
      </c>
      <c r="M40" s="18">
        <f>Table7[[#This Row],[Teva Adjusted %]]*$M$92</f>
        <v>2430.9759834831925</v>
      </c>
      <c r="N40" s="18">
        <f>Table7[[#This Row],[Teva Adjusted %]]*$N$92</f>
        <v>2430.9759834831925</v>
      </c>
      <c r="O40" s="18">
        <f>Table7[[#This Row],[Teva Adjusted %]]*$O$92</f>
        <v>2430.9759834831925</v>
      </c>
      <c r="P40" s="18">
        <f>SUM(Table7[[#This Row],[Payment 1]:[Payment 13]])</f>
        <v>29174.836591643965</v>
      </c>
    </row>
    <row r="41" spans="1:16" x14ac:dyDescent="0.3">
      <c r="A41" t="s">
        <v>158</v>
      </c>
      <c r="B41">
        <v>8.6070776101378893E-3</v>
      </c>
      <c r="C41" s="18">
        <f>Table7[[#This Row],[Teva Adjusted %]]*$C$92</f>
        <v>-538.46950747050107</v>
      </c>
      <c r="D41" s="18">
        <f>Table7[[#This Row],[Teva Adjusted %]]*$D$92</f>
        <v>12233.225250567704</v>
      </c>
      <c r="E41" s="18">
        <f>Table7[[#This Row],[Teva Adjusted %]]*$E$92</f>
        <v>9527.938297480594</v>
      </c>
      <c r="F41" s="18">
        <f>Table7[[#This Row],[Teva Adjusted %]]*$F$92</f>
        <v>9527.938297480594</v>
      </c>
      <c r="G41" s="18">
        <f>Table7[[#This Row],[Teva Adjusted %]]*$G$92</f>
        <v>9527.938297480594</v>
      </c>
      <c r="H41" s="18">
        <f>Table7[[#This Row],[Teva Adjusted %]]*$H$92</f>
        <v>10066.407804951095</v>
      </c>
      <c r="I41" s="18">
        <f>Table7[[#This Row],[Teva Adjusted %]]*$I$92</f>
        <v>10066.407804951095</v>
      </c>
      <c r="J41" s="18">
        <f>Table7[[#This Row],[Teva Adjusted %]]*$J$92</f>
        <v>10066.407804951095</v>
      </c>
      <c r="K41" s="18">
        <f>Table7[[#This Row],[Teva Adjusted %]]*$K$92</f>
        <v>10066.407804951095</v>
      </c>
      <c r="L41" s="18">
        <f>Table7[[#This Row],[Teva Adjusted %]]*$L$92</f>
        <v>10066.407804951095</v>
      </c>
      <c r="M41" s="18">
        <f>Table7[[#This Row],[Teva Adjusted %]]*$M$92</f>
        <v>10066.407804951095</v>
      </c>
      <c r="N41" s="18">
        <f>Table7[[#This Row],[Teva Adjusted %]]*$N$92</f>
        <v>10066.407804951095</v>
      </c>
      <c r="O41" s="18">
        <f>Table7[[#This Row],[Teva Adjusted %]]*$O$92</f>
        <v>10066.407804951095</v>
      </c>
      <c r="P41" s="18">
        <f>SUM(Table7[[#This Row],[Payment 1]:[Payment 13]])</f>
        <v>120809.83307514778</v>
      </c>
    </row>
    <row r="42" spans="1:16" x14ac:dyDescent="0.3">
      <c r="A42" t="s">
        <v>159</v>
      </c>
      <c r="B42">
        <v>8.3142266292569585E-4</v>
      </c>
      <c r="C42" s="18">
        <f>Table7[[#This Row],[Teva Adjusted %]]*$C$92</f>
        <v>-52.014838495018473</v>
      </c>
      <c r="D42" s="18">
        <f>Table7[[#This Row],[Teva Adjusted %]]*$D$92</f>
        <v>1181.6996633116125</v>
      </c>
      <c r="E42" s="18">
        <f>Table7[[#This Row],[Teva Adjusted %]]*$E$92</f>
        <v>920.37555489825843</v>
      </c>
      <c r="F42" s="18">
        <f>Table7[[#This Row],[Teva Adjusted %]]*$F$92</f>
        <v>920.37555489825843</v>
      </c>
      <c r="G42" s="18">
        <f>Table7[[#This Row],[Teva Adjusted %]]*$G$92</f>
        <v>920.37555489825843</v>
      </c>
      <c r="H42" s="18">
        <f>Table7[[#This Row],[Teva Adjusted %]]*$H$92</f>
        <v>972.39039339327701</v>
      </c>
      <c r="I42" s="18">
        <f>Table7[[#This Row],[Teva Adjusted %]]*$I$92</f>
        <v>972.39039339327701</v>
      </c>
      <c r="J42" s="18">
        <f>Table7[[#This Row],[Teva Adjusted %]]*$J$92</f>
        <v>972.39039339327701</v>
      </c>
      <c r="K42" s="18">
        <f>Table7[[#This Row],[Teva Adjusted %]]*$K$92</f>
        <v>972.39039339327701</v>
      </c>
      <c r="L42" s="18">
        <f>Table7[[#This Row],[Teva Adjusted %]]*$L$92</f>
        <v>972.39039339327701</v>
      </c>
      <c r="M42" s="18">
        <f>Table7[[#This Row],[Teva Adjusted %]]*$M$92</f>
        <v>972.39039339327701</v>
      </c>
      <c r="N42" s="18">
        <f>Table7[[#This Row],[Teva Adjusted %]]*$N$92</f>
        <v>972.39039339327701</v>
      </c>
      <c r="O42" s="18">
        <f>Table7[[#This Row],[Teva Adjusted %]]*$O$92</f>
        <v>972.39039339327701</v>
      </c>
      <c r="P42" s="18">
        <f>SUM(Table7[[#This Row],[Payment 1]:[Payment 13]])</f>
        <v>11669.934636657588</v>
      </c>
    </row>
    <row r="43" spans="1:16" x14ac:dyDescent="0.3">
      <c r="A43" t="s">
        <v>160</v>
      </c>
      <c r="B43">
        <v>1.0419853621813153E-2</v>
      </c>
      <c r="C43" s="18">
        <f>Table7[[#This Row],[Teva Adjusted %]]*$C$92</f>
        <v>-651.87903511451645</v>
      </c>
      <c r="D43" s="18">
        <f>Table7[[#This Row],[Teva Adjusted %]]*$D$92</f>
        <v>14809.72081434989</v>
      </c>
      <c r="E43" s="18">
        <f>Table7[[#This Row],[Teva Adjusted %]]*$E$92</f>
        <v>11534.660993468711</v>
      </c>
      <c r="F43" s="18">
        <f>Table7[[#This Row],[Teva Adjusted %]]*$F$92</f>
        <v>11534.660993468711</v>
      </c>
      <c r="G43" s="18">
        <f>Table7[[#This Row],[Teva Adjusted %]]*$G$92</f>
        <v>11534.660993468711</v>
      </c>
      <c r="H43" s="18">
        <f>Table7[[#This Row],[Teva Adjusted %]]*$H$92</f>
        <v>12186.540028583229</v>
      </c>
      <c r="I43" s="18">
        <f>Table7[[#This Row],[Teva Adjusted %]]*$I$92</f>
        <v>12186.540028583229</v>
      </c>
      <c r="J43" s="18">
        <f>Table7[[#This Row],[Teva Adjusted %]]*$J$92</f>
        <v>12186.540028583229</v>
      </c>
      <c r="K43" s="18">
        <f>Table7[[#This Row],[Teva Adjusted %]]*$K$92</f>
        <v>12186.540028583229</v>
      </c>
      <c r="L43" s="18">
        <f>Table7[[#This Row],[Teva Adjusted %]]*$L$92</f>
        <v>12186.540028583229</v>
      </c>
      <c r="M43" s="18">
        <f>Table7[[#This Row],[Teva Adjusted %]]*$M$92</f>
        <v>12186.540028583229</v>
      </c>
      <c r="N43" s="18">
        <f>Table7[[#This Row],[Teva Adjusted %]]*$N$92</f>
        <v>12186.540028583229</v>
      </c>
      <c r="O43" s="18">
        <f>Table7[[#This Row],[Teva Adjusted %]]*$O$92</f>
        <v>12186.540028583229</v>
      </c>
      <c r="P43" s="18">
        <f>SUM(Table7[[#This Row],[Payment 1]:[Payment 13]])</f>
        <v>146254.14498830735</v>
      </c>
    </row>
    <row r="44" spans="1:16" x14ac:dyDescent="0.3">
      <c r="A44" t="s">
        <v>161</v>
      </c>
      <c r="B44">
        <v>2.4025563522475828E-3</v>
      </c>
      <c r="C44" s="18">
        <f>Table7[[#This Row],[Teva Adjusted %]]*$C$92</f>
        <v>-150.30692114836802</v>
      </c>
      <c r="D44" s="18">
        <f>Table7[[#This Row],[Teva Adjusted %]]*$D$92</f>
        <v>3414.7493917806219</v>
      </c>
      <c r="E44" s="18">
        <f>Table7[[#This Row],[Teva Adjusted %]]*$E$92</f>
        <v>2659.6029125463283</v>
      </c>
      <c r="F44" s="18">
        <f>Table7[[#This Row],[Teva Adjusted %]]*$F$92</f>
        <v>2659.6029125463283</v>
      </c>
      <c r="G44" s="18">
        <f>Table7[[#This Row],[Teva Adjusted %]]*$G$92</f>
        <v>2659.6029125463283</v>
      </c>
      <c r="H44" s="18">
        <f>Table7[[#This Row],[Teva Adjusted %]]*$H$92</f>
        <v>2809.9098336946963</v>
      </c>
      <c r="I44" s="18">
        <f>Table7[[#This Row],[Teva Adjusted %]]*$I$92</f>
        <v>2809.9098336946963</v>
      </c>
      <c r="J44" s="18">
        <f>Table7[[#This Row],[Teva Adjusted %]]*$J$92</f>
        <v>2809.9098336946963</v>
      </c>
      <c r="K44" s="18">
        <f>Table7[[#This Row],[Teva Adjusted %]]*$K$92</f>
        <v>2809.9098336946963</v>
      </c>
      <c r="L44" s="18">
        <f>Table7[[#This Row],[Teva Adjusted %]]*$L$92</f>
        <v>2809.9098336946963</v>
      </c>
      <c r="M44" s="18">
        <f>Table7[[#This Row],[Teva Adjusted %]]*$M$92</f>
        <v>2809.9098336946963</v>
      </c>
      <c r="N44" s="18">
        <f>Table7[[#This Row],[Teva Adjusted %]]*$N$92</f>
        <v>2809.9098336946963</v>
      </c>
      <c r="O44" s="18">
        <f>Table7[[#This Row],[Teva Adjusted %]]*$O$92</f>
        <v>2809.9098336946963</v>
      </c>
      <c r="P44" s="18">
        <f>SUM(Table7[[#This Row],[Payment 1]:[Payment 13]])</f>
        <v>33722.529877828805</v>
      </c>
    </row>
    <row r="45" spans="1:16" x14ac:dyDescent="0.3">
      <c r="A45" t="s">
        <v>162</v>
      </c>
      <c r="B45">
        <v>2.0785566573142396E-3</v>
      </c>
      <c r="C45" s="18">
        <f>Table7[[#This Row],[Teva Adjusted %]]*$C$92</f>
        <v>-130.03709623754617</v>
      </c>
      <c r="D45" s="18">
        <f>Table7[[#This Row],[Teva Adjusted %]]*$D$92</f>
        <v>2954.2491582790317</v>
      </c>
      <c r="E45" s="18">
        <f>Table7[[#This Row],[Teva Adjusted %]]*$E$92</f>
        <v>2300.9388872456461</v>
      </c>
      <c r="F45" s="18">
        <f>Table7[[#This Row],[Teva Adjusted %]]*$F$92</f>
        <v>2300.9388872456461</v>
      </c>
      <c r="G45" s="18">
        <f>Table7[[#This Row],[Teva Adjusted %]]*$G$92</f>
        <v>2300.9388872456461</v>
      </c>
      <c r="H45" s="18">
        <f>Table7[[#This Row],[Teva Adjusted %]]*$H$92</f>
        <v>2430.9759834831925</v>
      </c>
      <c r="I45" s="18">
        <f>Table7[[#This Row],[Teva Adjusted %]]*$I$92</f>
        <v>2430.9759834831925</v>
      </c>
      <c r="J45" s="18">
        <f>Table7[[#This Row],[Teva Adjusted %]]*$J$92</f>
        <v>2430.9759834831925</v>
      </c>
      <c r="K45" s="18">
        <f>Table7[[#This Row],[Teva Adjusted %]]*$K$92</f>
        <v>2430.9759834831925</v>
      </c>
      <c r="L45" s="18">
        <f>Table7[[#This Row],[Teva Adjusted %]]*$L$92</f>
        <v>2430.9759834831925</v>
      </c>
      <c r="M45" s="18">
        <f>Table7[[#This Row],[Teva Adjusted %]]*$M$92</f>
        <v>2430.9759834831925</v>
      </c>
      <c r="N45" s="18">
        <f>Table7[[#This Row],[Teva Adjusted %]]*$N$92</f>
        <v>2430.9759834831925</v>
      </c>
      <c r="O45" s="18">
        <f>Table7[[#This Row],[Teva Adjusted %]]*$O$92</f>
        <v>2430.9759834831925</v>
      </c>
      <c r="P45" s="18">
        <f>SUM(Table7[[#This Row],[Payment 1]:[Payment 13]])</f>
        <v>29174.836591643965</v>
      </c>
    </row>
    <row r="46" spans="1:16" x14ac:dyDescent="0.3">
      <c r="A46" t="s">
        <v>163</v>
      </c>
      <c r="B46">
        <v>2.0785566573142396E-3</v>
      </c>
      <c r="C46" s="18">
        <f>Table7[[#This Row],[Teva Adjusted %]]*$C$92</f>
        <v>-130.03709623754617</v>
      </c>
      <c r="D46" s="18">
        <f>Table7[[#This Row],[Teva Adjusted %]]*$D$92</f>
        <v>2954.2491582790317</v>
      </c>
      <c r="E46" s="18">
        <f>Table7[[#This Row],[Teva Adjusted %]]*$E$92</f>
        <v>2300.9388872456461</v>
      </c>
      <c r="F46" s="18">
        <f>Table7[[#This Row],[Teva Adjusted %]]*$F$92</f>
        <v>2300.9388872456461</v>
      </c>
      <c r="G46" s="18">
        <f>Table7[[#This Row],[Teva Adjusted %]]*$G$92</f>
        <v>2300.9388872456461</v>
      </c>
      <c r="H46" s="18">
        <f>Table7[[#This Row],[Teva Adjusted %]]*$H$92</f>
        <v>2430.9759834831925</v>
      </c>
      <c r="I46" s="18">
        <f>Table7[[#This Row],[Teva Adjusted %]]*$I$92</f>
        <v>2430.9759834831925</v>
      </c>
      <c r="J46" s="18">
        <f>Table7[[#This Row],[Teva Adjusted %]]*$J$92</f>
        <v>2430.9759834831925</v>
      </c>
      <c r="K46" s="18">
        <f>Table7[[#This Row],[Teva Adjusted %]]*$K$92</f>
        <v>2430.9759834831925</v>
      </c>
      <c r="L46" s="18">
        <f>Table7[[#This Row],[Teva Adjusted %]]*$L$92</f>
        <v>2430.9759834831925</v>
      </c>
      <c r="M46" s="18">
        <f>Table7[[#This Row],[Teva Adjusted %]]*$M$92</f>
        <v>2430.9759834831925</v>
      </c>
      <c r="N46" s="18">
        <f>Table7[[#This Row],[Teva Adjusted %]]*$N$92</f>
        <v>2430.9759834831925</v>
      </c>
      <c r="O46" s="18">
        <f>Table7[[#This Row],[Teva Adjusted %]]*$O$92</f>
        <v>2430.9759834831925</v>
      </c>
      <c r="P46" s="18">
        <f>SUM(Table7[[#This Row],[Payment 1]:[Payment 13]])</f>
        <v>29174.836591643965</v>
      </c>
    </row>
    <row r="47" spans="1:16" x14ac:dyDescent="0.3">
      <c r="A47" t="s">
        <v>164</v>
      </c>
      <c r="B47">
        <v>2.9463624265255719E-3</v>
      </c>
      <c r="C47" s="18">
        <f>Table7[[#This Row],[Teva Adjusted %]]*$C$92</f>
        <v>-184.32810722795355</v>
      </c>
      <c r="D47" s="18">
        <f>Table7[[#This Row],[Teva Adjusted %]]*$D$92</f>
        <v>4187.6600707123316</v>
      </c>
      <c r="E47" s="18">
        <f>Table7[[#This Row],[Teva Adjusted %]]*$E$92</f>
        <v>3261.5901323911858</v>
      </c>
      <c r="F47" s="18">
        <f>Table7[[#This Row],[Teva Adjusted %]]*$F$92</f>
        <v>3261.5901323911858</v>
      </c>
      <c r="G47" s="18">
        <f>Table7[[#This Row],[Teva Adjusted %]]*$G$92</f>
        <v>3261.5901323911858</v>
      </c>
      <c r="H47" s="18">
        <f>Table7[[#This Row],[Teva Adjusted %]]*$H$92</f>
        <v>3445.9182396191395</v>
      </c>
      <c r="I47" s="18">
        <f>Table7[[#This Row],[Teva Adjusted %]]*$I$92</f>
        <v>3445.9182396191395</v>
      </c>
      <c r="J47" s="18">
        <f>Table7[[#This Row],[Teva Adjusted %]]*$J$92</f>
        <v>3445.9182396191395</v>
      </c>
      <c r="K47" s="18">
        <f>Table7[[#This Row],[Teva Adjusted %]]*$K$92</f>
        <v>3445.9182396191395</v>
      </c>
      <c r="L47" s="18">
        <f>Table7[[#This Row],[Teva Adjusted %]]*$L$92</f>
        <v>3445.9182396191395</v>
      </c>
      <c r="M47" s="18">
        <f>Table7[[#This Row],[Teva Adjusted %]]*$M$92</f>
        <v>3445.9182396191395</v>
      </c>
      <c r="N47" s="18">
        <f>Table7[[#This Row],[Teva Adjusted %]]*$N$92</f>
        <v>3445.9182396191395</v>
      </c>
      <c r="O47" s="18">
        <f>Table7[[#This Row],[Teva Adjusted %]]*$O$92</f>
        <v>3445.9182396191395</v>
      </c>
      <c r="P47" s="18">
        <f>SUM(Table7[[#This Row],[Payment 1]:[Payment 13]])</f>
        <v>41355.448277611053</v>
      </c>
    </row>
    <row r="48" spans="1:16" x14ac:dyDescent="0.3">
      <c r="A48" t="s">
        <v>165</v>
      </c>
      <c r="B48">
        <v>5.5627525754909672E-3</v>
      </c>
      <c r="C48" s="18">
        <f>Table7[[#This Row],[Teva Adjusted %]]*$C$92</f>
        <v>-348.01273732872676</v>
      </c>
      <c r="D48" s="18">
        <f>Table7[[#This Row],[Teva Adjusted %]]*$D$92</f>
        <v>7906.3310860591191</v>
      </c>
      <c r="E48" s="18">
        <f>Table7[[#This Row],[Teva Adjusted %]]*$E$92</f>
        <v>6157.9046575577568</v>
      </c>
      <c r="F48" s="18">
        <f>Table7[[#This Row],[Teva Adjusted %]]*$F$92</f>
        <v>6157.9046575577568</v>
      </c>
      <c r="G48" s="18">
        <f>Table7[[#This Row],[Teva Adjusted %]]*$G$92</f>
        <v>6157.9046575577568</v>
      </c>
      <c r="H48" s="18">
        <f>Table7[[#This Row],[Teva Adjusted %]]*$H$92</f>
        <v>6505.9173948864836</v>
      </c>
      <c r="I48" s="18">
        <f>Table7[[#This Row],[Teva Adjusted %]]*$I$92</f>
        <v>6505.9173948864836</v>
      </c>
      <c r="J48" s="18">
        <f>Table7[[#This Row],[Teva Adjusted %]]*$J$92</f>
        <v>6505.9173948864836</v>
      </c>
      <c r="K48" s="18">
        <f>Table7[[#This Row],[Teva Adjusted %]]*$K$92</f>
        <v>6505.9173948864836</v>
      </c>
      <c r="L48" s="18">
        <f>Table7[[#This Row],[Teva Adjusted %]]*$L$92</f>
        <v>6505.9173948864836</v>
      </c>
      <c r="M48" s="18">
        <f>Table7[[#This Row],[Teva Adjusted %]]*$M$92</f>
        <v>6505.9173948864836</v>
      </c>
      <c r="N48" s="18">
        <f>Table7[[#This Row],[Teva Adjusted %]]*$N$92</f>
        <v>6505.9173948864836</v>
      </c>
      <c r="O48" s="18">
        <f>Table7[[#This Row],[Teva Adjusted %]]*$O$92</f>
        <v>6505.9173948864836</v>
      </c>
      <c r="P48" s="18">
        <f>SUM(Table7[[#This Row],[Payment 1]:[Payment 13]])</f>
        <v>78079.371480495523</v>
      </c>
    </row>
    <row r="49" spans="1:16" x14ac:dyDescent="0.3">
      <c r="A49" t="s">
        <v>166</v>
      </c>
      <c r="B49">
        <v>2.0785566573142396E-3</v>
      </c>
      <c r="C49" s="18">
        <f>Table7[[#This Row],[Teva Adjusted %]]*$C$92</f>
        <v>-130.03709623754617</v>
      </c>
      <c r="D49" s="18">
        <f>Table7[[#This Row],[Teva Adjusted %]]*$D$92</f>
        <v>2954.2491582790317</v>
      </c>
      <c r="E49" s="18">
        <f>Table7[[#This Row],[Teva Adjusted %]]*$E$92</f>
        <v>2300.9388872456461</v>
      </c>
      <c r="F49" s="18">
        <f>Table7[[#This Row],[Teva Adjusted %]]*$F$92</f>
        <v>2300.9388872456461</v>
      </c>
      <c r="G49" s="18">
        <f>Table7[[#This Row],[Teva Adjusted %]]*$G$92</f>
        <v>2300.9388872456461</v>
      </c>
      <c r="H49" s="18">
        <f>Table7[[#This Row],[Teva Adjusted %]]*$H$92</f>
        <v>2430.9759834831925</v>
      </c>
      <c r="I49" s="18">
        <f>Table7[[#This Row],[Teva Adjusted %]]*$I$92</f>
        <v>2430.9759834831925</v>
      </c>
      <c r="J49" s="18">
        <f>Table7[[#This Row],[Teva Adjusted %]]*$J$92</f>
        <v>2430.9759834831925</v>
      </c>
      <c r="K49" s="18">
        <f>Table7[[#This Row],[Teva Adjusted %]]*$K$92</f>
        <v>2430.9759834831925</v>
      </c>
      <c r="L49" s="18">
        <f>Table7[[#This Row],[Teva Adjusted %]]*$L$92</f>
        <v>2430.9759834831925</v>
      </c>
      <c r="M49" s="18">
        <f>Table7[[#This Row],[Teva Adjusted %]]*$M$92</f>
        <v>2430.9759834831925</v>
      </c>
      <c r="N49" s="18">
        <f>Table7[[#This Row],[Teva Adjusted %]]*$N$92</f>
        <v>2430.9759834831925</v>
      </c>
      <c r="O49" s="18">
        <f>Table7[[#This Row],[Teva Adjusted %]]*$O$92</f>
        <v>2430.9759834831925</v>
      </c>
      <c r="P49" s="18">
        <f>SUM(Table7[[#This Row],[Payment 1]:[Payment 13]])</f>
        <v>29174.836591643965</v>
      </c>
    </row>
    <row r="50" spans="1:16" x14ac:dyDescent="0.3">
      <c r="A50" t="s">
        <v>167</v>
      </c>
      <c r="B50">
        <v>1.4426831680059078E-2</v>
      </c>
      <c r="C50" s="18">
        <f>Table7[[#This Row],[Teva Adjusted %]]*$C$92</f>
        <v>-902.56057874639987</v>
      </c>
      <c r="D50" s="18">
        <f>Table7[[#This Row],[Teva Adjusted %]]*$D$92</f>
        <v>20504.832137950409</v>
      </c>
      <c r="E50" s="18">
        <f>Table7[[#This Row],[Teva Adjusted %]]*$E$92</f>
        <v>15970.340724456306</v>
      </c>
      <c r="F50" s="18">
        <f>Table7[[#This Row],[Teva Adjusted %]]*$F$92</f>
        <v>15970.340724456306</v>
      </c>
      <c r="G50" s="18">
        <f>Table7[[#This Row],[Teva Adjusted %]]*$G$92</f>
        <v>15970.340724456306</v>
      </c>
      <c r="H50" s="18">
        <f>Table7[[#This Row],[Teva Adjusted %]]*$H$92</f>
        <v>16872.901303202707</v>
      </c>
      <c r="I50" s="18">
        <f>Table7[[#This Row],[Teva Adjusted %]]*$I$92</f>
        <v>16872.901303202707</v>
      </c>
      <c r="J50" s="18">
        <f>Table7[[#This Row],[Teva Adjusted %]]*$J$92</f>
        <v>16872.901303202707</v>
      </c>
      <c r="K50" s="18">
        <f>Table7[[#This Row],[Teva Adjusted %]]*$K$92</f>
        <v>16872.901303202707</v>
      </c>
      <c r="L50" s="18">
        <f>Table7[[#This Row],[Teva Adjusted %]]*$L$92</f>
        <v>16872.901303202707</v>
      </c>
      <c r="M50" s="18">
        <f>Table7[[#This Row],[Teva Adjusted %]]*$M$92</f>
        <v>16872.901303202707</v>
      </c>
      <c r="N50" s="18">
        <f>Table7[[#This Row],[Teva Adjusted %]]*$N$92</f>
        <v>16872.901303202707</v>
      </c>
      <c r="O50" s="18">
        <f>Table7[[#This Row],[Teva Adjusted %]]*$O$92</f>
        <v>16872.901303202707</v>
      </c>
      <c r="P50" s="18">
        <f>SUM(Table7[[#This Row],[Payment 1]:[Payment 13]])</f>
        <v>202496.50415819453</v>
      </c>
    </row>
    <row r="51" spans="1:16" x14ac:dyDescent="0.3">
      <c r="A51" t="s">
        <v>168</v>
      </c>
      <c r="B51">
        <v>5.7514609010944394E-3</v>
      </c>
      <c r="C51" s="18">
        <f>Table7[[#This Row],[Teva Adjusted %]]*$C$92</f>
        <v>-359.8185654792245</v>
      </c>
      <c r="D51" s="18">
        <f>Table7[[#This Row],[Teva Adjusted %]]*$D$92</f>
        <v>8174.5419188562646</v>
      </c>
      <c r="E51" s="18">
        <f>Table7[[#This Row],[Teva Adjusted %]]*$E$92</f>
        <v>6366.8026556951236</v>
      </c>
      <c r="F51" s="18">
        <f>Table7[[#This Row],[Teva Adjusted %]]*$F$92</f>
        <v>6366.8026556951236</v>
      </c>
      <c r="G51" s="18">
        <f>Table7[[#This Row],[Teva Adjusted %]]*$G$92</f>
        <v>6366.8026556951236</v>
      </c>
      <c r="H51" s="18">
        <f>Table7[[#This Row],[Teva Adjusted %]]*$H$92</f>
        <v>6726.6212211743486</v>
      </c>
      <c r="I51" s="18">
        <f>Table7[[#This Row],[Teva Adjusted %]]*$I$92</f>
        <v>6726.6212211743486</v>
      </c>
      <c r="J51" s="18">
        <f>Table7[[#This Row],[Teva Adjusted %]]*$J$92</f>
        <v>6726.6212211743486</v>
      </c>
      <c r="K51" s="18">
        <f>Table7[[#This Row],[Teva Adjusted %]]*$K$92</f>
        <v>6726.6212211743486</v>
      </c>
      <c r="L51" s="18">
        <f>Table7[[#This Row],[Teva Adjusted %]]*$L$92</f>
        <v>6726.6212211743486</v>
      </c>
      <c r="M51" s="18">
        <f>Table7[[#This Row],[Teva Adjusted %]]*$M$92</f>
        <v>6726.6212211743486</v>
      </c>
      <c r="N51" s="18">
        <f>Table7[[#This Row],[Teva Adjusted %]]*$N$92</f>
        <v>6726.6212211743486</v>
      </c>
      <c r="O51" s="18">
        <f>Table7[[#This Row],[Teva Adjusted %]]*$O$92</f>
        <v>6726.6212211743486</v>
      </c>
      <c r="P51" s="18">
        <f>SUM(Table7[[#This Row],[Payment 1]:[Payment 13]])</f>
        <v>80728.101089857213</v>
      </c>
    </row>
    <row r="52" spans="1:16" x14ac:dyDescent="0.3">
      <c r="A52" t="s">
        <v>169</v>
      </c>
      <c r="B52">
        <v>2.5029045436635641E-2</v>
      </c>
      <c r="C52" s="18">
        <f>Table7[[#This Row],[Teva Adjusted %]]*$C$92</f>
        <v>-1565.8482912768893</v>
      </c>
      <c r="D52" s="18">
        <f>Table7[[#This Row],[Teva Adjusted %]]*$D$92</f>
        <v>35573.74111189782</v>
      </c>
      <c r="E52" s="18">
        <f>Table7[[#This Row],[Teva Adjusted %]]*$E$92</f>
        <v>27706.872340062717</v>
      </c>
      <c r="F52" s="18">
        <f>Table7[[#This Row],[Teva Adjusted %]]*$F$92</f>
        <v>27706.872340062717</v>
      </c>
      <c r="G52" s="18">
        <f>Table7[[#This Row],[Teva Adjusted %]]*$G$92</f>
        <v>27706.872340062717</v>
      </c>
      <c r="H52" s="18">
        <f>Table7[[#This Row],[Teva Adjusted %]]*$H$92</f>
        <v>29272.720631339609</v>
      </c>
      <c r="I52" s="18">
        <f>Table7[[#This Row],[Teva Adjusted %]]*$I$92</f>
        <v>29272.720631339609</v>
      </c>
      <c r="J52" s="18">
        <f>Table7[[#This Row],[Teva Adjusted %]]*$J$92</f>
        <v>29272.720631339609</v>
      </c>
      <c r="K52" s="18">
        <f>Table7[[#This Row],[Teva Adjusted %]]*$K$92</f>
        <v>29272.720631339609</v>
      </c>
      <c r="L52" s="18">
        <f>Table7[[#This Row],[Teva Adjusted %]]*$L$92</f>
        <v>29272.720631339609</v>
      </c>
      <c r="M52" s="18">
        <f>Table7[[#This Row],[Teva Adjusted %]]*$M$92</f>
        <v>29272.720631339609</v>
      </c>
      <c r="N52" s="18">
        <f>Table7[[#This Row],[Teva Adjusted %]]*$N$92</f>
        <v>29272.720631339609</v>
      </c>
      <c r="O52" s="18">
        <f>Table7[[#This Row],[Teva Adjusted %]]*$O$92</f>
        <v>29272.720631339609</v>
      </c>
      <c r="P52" s="18">
        <f>SUM(Table7[[#This Row],[Payment 1]:[Payment 13]])</f>
        <v>351310.27489152591</v>
      </c>
    </row>
    <row r="53" spans="1:16" x14ac:dyDescent="0.3">
      <c r="A53" t="s">
        <v>170</v>
      </c>
      <c r="B53">
        <v>8.3142266292569661E-4</v>
      </c>
      <c r="C53" s="18">
        <f>Table7[[#This Row],[Teva Adjusted %]]*$C$92</f>
        <v>-52.014838495018516</v>
      </c>
      <c r="D53" s="18">
        <f>Table7[[#This Row],[Teva Adjusted %]]*$D$92</f>
        <v>1181.6996633116137</v>
      </c>
      <c r="E53" s="18">
        <f>Table7[[#This Row],[Teva Adjusted %]]*$E$92</f>
        <v>920.37555489825934</v>
      </c>
      <c r="F53" s="18">
        <f>Table7[[#This Row],[Teva Adjusted %]]*$F$92</f>
        <v>920.37555489825934</v>
      </c>
      <c r="G53" s="18">
        <f>Table7[[#This Row],[Teva Adjusted %]]*$G$92</f>
        <v>920.37555489825934</v>
      </c>
      <c r="H53" s="18">
        <f>Table7[[#This Row],[Teva Adjusted %]]*$H$92</f>
        <v>972.39039339327792</v>
      </c>
      <c r="I53" s="18">
        <f>Table7[[#This Row],[Teva Adjusted %]]*$I$92</f>
        <v>972.39039339327792</v>
      </c>
      <c r="J53" s="18">
        <f>Table7[[#This Row],[Teva Adjusted %]]*$J$92</f>
        <v>972.39039339327792</v>
      </c>
      <c r="K53" s="18">
        <f>Table7[[#This Row],[Teva Adjusted %]]*$K$92</f>
        <v>972.39039339327792</v>
      </c>
      <c r="L53" s="18">
        <f>Table7[[#This Row],[Teva Adjusted %]]*$L$92</f>
        <v>972.39039339327792</v>
      </c>
      <c r="M53" s="18">
        <f>Table7[[#This Row],[Teva Adjusted %]]*$M$92</f>
        <v>972.39039339327792</v>
      </c>
      <c r="N53" s="18">
        <f>Table7[[#This Row],[Teva Adjusted %]]*$N$92</f>
        <v>972.39039339327792</v>
      </c>
      <c r="O53" s="18">
        <f>Table7[[#This Row],[Teva Adjusted %]]*$O$92</f>
        <v>972.39039339327792</v>
      </c>
      <c r="P53" s="18">
        <f>SUM(Table7[[#This Row],[Payment 1]:[Payment 13]])</f>
        <v>11669.934636657597</v>
      </c>
    </row>
    <row r="54" spans="1:16" x14ac:dyDescent="0.3">
      <c r="A54" t="s">
        <v>171</v>
      </c>
      <c r="B54">
        <v>2.2171891797178283E-3</v>
      </c>
      <c r="C54" s="18">
        <f>Table7[[#This Row],[Teva Adjusted %]]*$C$92</f>
        <v>-138.71011970025174</v>
      </c>
      <c r="D54" s="18">
        <f>Table7[[#This Row],[Teva Adjusted %]]*$D$92</f>
        <v>3151.2873343517003</v>
      </c>
      <c r="E54" s="18">
        <f>Table7[[#This Row],[Teva Adjusted %]]*$E$92</f>
        <v>2454.4035333561542</v>
      </c>
      <c r="F54" s="18">
        <f>Table7[[#This Row],[Teva Adjusted %]]*$F$92</f>
        <v>2454.4035333561542</v>
      </c>
      <c r="G54" s="18">
        <f>Table7[[#This Row],[Teva Adjusted %]]*$G$92</f>
        <v>2454.4035333561542</v>
      </c>
      <c r="H54" s="18">
        <f>Table7[[#This Row],[Teva Adjusted %]]*$H$92</f>
        <v>2593.1136530564063</v>
      </c>
      <c r="I54" s="18">
        <f>Table7[[#This Row],[Teva Adjusted %]]*$I$92</f>
        <v>2593.1136530564063</v>
      </c>
      <c r="J54" s="18">
        <f>Table7[[#This Row],[Teva Adjusted %]]*$J$92</f>
        <v>2593.1136530564063</v>
      </c>
      <c r="K54" s="18">
        <f>Table7[[#This Row],[Teva Adjusted %]]*$K$92</f>
        <v>2593.1136530564063</v>
      </c>
      <c r="L54" s="18">
        <f>Table7[[#This Row],[Teva Adjusted %]]*$L$92</f>
        <v>2593.1136530564063</v>
      </c>
      <c r="M54" s="18">
        <f>Table7[[#This Row],[Teva Adjusted %]]*$M$92</f>
        <v>2593.1136530564063</v>
      </c>
      <c r="N54" s="18">
        <f>Table7[[#This Row],[Teva Adjusted %]]*$N$92</f>
        <v>2593.1136530564063</v>
      </c>
      <c r="O54" s="18">
        <f>Table7[[#This Row],[Teva Adjusted %]]*$O$92</f>
        <v>2593.1136530564063</v>
      </c>
      <c r="P54" s="18">
        <f>SUM(Table7[[#This Row],[Payment 1]:[Payment 13]])</f>
        <v>31120.697039171169</v>
      </c>
    </row>
    <row r="55" spans="1:16" x14ac:dyDescent="0.3">
      <c r="A55" t="s">
        <v>172</v>
      </c>
      <c r="B55">
        <v>2.0785566573142396E-3</v>
      </c>
      <c r="C55" s="18">
        <f>Table7[[#This Row],[Teva Adjusted %]]*$C$92</f>
        <v>-130.03709623754617</v>
      </c>
      <c r="D55" s="18">
        <f>Table7[[#This Row],[Teva Adjusted %]]*$D$92</f>
        <v>2954.2491582790317</v>
      </c>
      <c r="E55" s="18">
        <f>Table7[[#This Row],[Teva Adjusted %]]*$E$92</f>
        <v>2300.9388872456461</v>
      </c>
      <c r="F55" s="18">
        <f>Table7[[#This Row],[Teva Adjusted %]]*$F$92</f>
        <v>2300.9388872456461</v>
      </c>
      <c r="G55" s="18">
        <f>Table7[[#This Row],[Teva Adjusted %]]*$G$92</f>
        <v>2300.9388872456461</v>
      </c>
      <c r="H55" s="18">
        <f>Table7[[#This Row],[Teva Adjusted %]]*$H$92</f>
        <v>2430.9759834831925</v>
      </c>
      <c r="I55" s="18">
        <f>Table7[[#This Row],[Teva Adjusted %]]*$I$92</f>
        <v>2430.9759834831925</v>
      </c>
      <c r="J55" s="18">
        <f>Table7[[#This Row],[Teva Adjusted %]]*$J$92</f>
        <v>2430.9759834831925</v>
      </c>
      <c r="K55" s="18">
        <f>Table7[[#This Row],[Teva Adjusted %]]*$K$92</f>
        <v>2430.9759834831925</v>
      </c>
      <c r="L55" s="18">
        <f>Table7[[#This Row],[Teva Adjusted %]]*$L$92</f>
        <v>2430.9759834831925</v>
      </c>
      <c r="M55" s="18">
        <f>Table7[[#This Row],[Teva Adjusted %]]*$M$92</f>
        <v>2430.9759834831925</v>
      </c>
      <c r="N55" s="18">
        <f>Table7[[#This Row],[Teva Adjusted %]]*$N$92</f>
        <v>2430.9759834831925</v>
      </c>
      <c r="O55" s="18">
        <f>Table7[[#This Row],[Teva Adjusted %]]*$O$92</f>
        <v>2430.9759834831925</v>
      </c>
      <c r="P55" s="18">
        <f>SUM(Table7[[#This Row],[Payment 1]:[Payment 13]])</f>
        <v>29174.836591643965</v>
      </c>
    </row>
    <row r="56" spans="1:16" x14ac:dyDescent="0.3">
      <c r="A56" t="s">
        <v>173</v>
      </c>
      <c r="B56">
        <v>2.1757187877668671E-2</v>
      </c>
      <c r="C56" s="18">
        <f>Table7[[#This Row],[Teva Adjusted %]]*$C$92</f>
        <v>-1361.1568027029464</v>
      </c>
      <c r="D56" s="18">
        <f>Table7[[#This Row],[Teva Adjusted %]]*$D$92</f>
        <v>30923.455344813363</v>
      </c>
      <c r="E56" s="18">
        <f>Table7[[#This Row],[Teva Adjusted %]]*$E$92</f>
        <v>24084.962749836155</v>
      </c>
      <c r="F56" s="18">
        <f>Table7[[#This Row],[Teva Adjusted %]]*$F$92</f>
        <v>24084.962749836155</v>
      </c>
      <c r="G56" s="18">
        <f>Table7[[#This Row],[Teva Adjusted %]]*$G$92</f>
        <v>24084.962749836155</v>
      </c>
      <c r="H56" s="18">
        <f>Table7[[#This Row],[Teva Adjusted %]]*$H$92</f>
        <v>25446.119552539101</v>
      </c>
      <c r="I56" s="18">
        <f>Table7[[#This Row],[Teva Adjusted %]]*$I$92</f>
        <v>25446.119552539101</v>
      </c>
      <c r="J56" s="18">
        <f>Table7[[#This Row],[Teva Adjusted %]]*$J$92</f>
        <v>25446.119552539101</v>
      </c>
      <c r="K56" s="18">
        <f>Table7[[#This Row],[Teva Adjusted %]]*$K$92</f>
        <v>25446.119552539101</v>
      </c>
      <c r="L56" s="18">
        <f>Table7[[#This Row],[Teva Adjusted %]]*$L$92</f>
        <v>25446.119552539101</v>
      </c>
      <c r="M56" s="18">
        <f>Table7[[#This Row],[Teva Adjusted %]]*$M$92</f>
        <v>25446.119552539101</v>
      </c>
      <c r="N56" s="18">
        <f>Table7[[#This Row],[Teva Adjusted %]]*$N$92</f>
        <v>25446.119552539101</v>
      </c>
      <c r="O56" s="18">
        <f>Table7[[#This Row],[Teva Adjusted %]]*$O$92</f>
        <v>25446.119552539101</v>
      </c>
      <c r="P56" s="18">
        <f>SUM(Table7[[#This Row],[Payment 1]:[Payment 13]])</f>
        <v>305386.14321193169</v>
      </c>
    </row>
    <row r="57" spans="1:16" x14ac:dyDescent="0.3">
      <c r="A57" t="s">
        <v>174</v>
      </c>
      <c r="B57">
        <v>8.3142266292569583E-3</v>
      </c>
      <c r="C57" s="18">
        <f>Table7[[#This Row],[Teva Adjusted %]]*$C$92</f>
        <v>-520.14838495018466</v>
      </c>
      <c r="D57" s="18">
        <f>Table7[[#This Row],[Teva Adjusted %]]*$D$92</f>
        <v>11816.996633116127</v>
      </c>
      <c r="E57" s="18">
        <f>Table7[[#This Row],[Teva Adjusted %]]*$E$92</f>
        <v>9203.7555489825845</v>
      </c>
      <c r="F57" s="18">
        <f>Table7[[#This Row],[Teva Adjusted %]]*$F$92</f>
        <v>9203.7555489825845</v>
      </c>
      <c r="G57" s="18">
        <f>Table7[[#This Row],[Teva Adjusted %]]*$G$92</f>
        <v>9203.7555489825845</v>
      </c>
      <c r="H57" s="18">
        <f>Table7[[#This Row],[Teva Adjusted %]]*$H$92</f>
        <v>9723.9039339327701</v>
      </c>
      <c r="I57" s="18">
        <f>Table7[[#This Row],[Teva Adjusted %]]*$I$92</f>
        <v>9723.9039339327701</v>
      </c>
      <c r="J57" s="18">
        <f>Table7[[#This Row],[Teva Adjusted %]]*$J$92</f>
        <v>9723.9039339327701</v>
      </c>
      <c r="K57" s="18">
        <f>Table7[[#This Row],[Teva Adjusted %]]*$K$92</f>
        <v>9723.9039339327701</v>
      </c>
      <c r="L57" s="18">
        <f>Table7[[#This Row],[Teva Adjusted %]]*$L$92</f>
        <v>9723.9039339327701</v>
      </c>
      <c r="M57" s="18">
        <f>Table7[[#This Row],[Teva Adjusted %]]*$M$92</f>
        <v>9723.9039339327701</v>
      </c>
      <c r="N57" s="18">
        <f>Table7[[#This Row],[Teva Adjusted %]]*$N$92</f>
        <v>9723.9039339327701</v>
      </c>
      <c r="O57" s="18">
        <f>Table7[[#This Row],[Teva Adjusted %]]*$O$92</f>
        <v>9723.9039339327701</v>
      </c>
      <c r="P57" s="18">
        <f>SUM(Table7[[#This Row],[Payment 1]:[Payment 13]])</f>
        <v>116699.34636657586</v>
      </c>
    </row>
    <row r="58" spans="1:16" x14ac:dyDescent="0.3">
      <c r="A58" t="s">
        <v>175</v>
      </c>
      <c r="B58">
        <v>8.3142266292569585E-4</v>
      </c>
      <c r="C58" s="18">
        <f>Table7[[#This Row],[Teva Adjusted %]]*$C$92</f>
        <v>-52.014838495018473</v>
      </c>
      <c r="D58" s="18">
        <f>Table7[[#This Row],[Teva Adjusted %]]*$D$92</f>
        <v>1181.6996633116125</v>
      </c>
      <c r="E58" s="18">
        <f>Table7[[#This Row],[Teva Adjusted %]]*$E$92</f>
        <v>920.37555489825843</v>
      </c>
      <c r="F58" s="18">
        <f>Table7[[#This Row],[Teva Adjusted %]]*$F$92</f>
        <v>920.37555489825843</v>
      </c>
      <c r="G58" s="18">
        <f>Table7[[#This Row],[Teva Adjusted %]]*$G$92</f>
        <v>920.37555489825843</v>
      </c>
      <c r="H58" s="18">
        <f>Table7[[#This Row],[Teva Adjusted %]]*$H$92</f>
        <v>972.39039339327701</v>
      </c>
      <c r="I58" s="18">
        <f>Table7[[#This Row],[Teva Adjusted %]]*$I$92</f>
        <v>972.39039339327701</v>
      </c>
      <c r="J58" s="18">
        <f>Table7[[#This Row],[Teva Adjusted %]]*$J$92</f>
        <v>972.39039339327701</v>
      </c>
      <c r="K58" s="18">
        <f>Table7[[#This Row],[Teva Adjusted %]]*$K$92</f>
        <v>972.39039339327701</v>
      </c>
      <c r="L58" s="18">
        <f>Table7[[#This Row],[Teva Adjusted %]]*$L$92</f>
        <v>972.39039339327701</v>
      </c>
      <c r="M58" s="18">
        <f>Table7[[#This Row],[Teva Adjusted %]]*$M$92</f>
        <v>972.39039339327701</v>
      </c>
      <c r="N58" s="18">
        <f>Table7[[#This Row],[Teva Adjusted %]]*$N$92</f>
        <v>972.39039339327701</v>
      </c>
      <c r="O58" s="18">
        <f>Table7[[#This Row],[Teva Adjusted %]]*$O$92</f>
        <v>972.39039339327701</v>
      </c>
      <c r="P58" s="18">
        <f>SUM(Table7[[#This Row],[Payment 1]:[Payment 13]])</f>
        <v>11669.934636657588</v>
      </c>
    </row>
    <row r="59" spans="1:16" x14ac:dyDescent="0.3">
      <c r="A59" t="s">
        <v>176</v>
      </c>
      <c r="B59">
        <v>8.3142266292569583E-3</v>
      </c>
      <c r="C59" s="18">
        <f>Table7[[#This Row],[Teva Adjusted %]]*$C$92</f>
        <v>-520.14838495018466</v>
      </c>
      <c r="D59" s="18">
        <f>Table7[[#This Row],[Teva Adjusted %]]*$D$92</f>
        <v>11816.996633116127</v>
      </c>
      <c r="E59" s="18">
        <f>Table7[[#This Row],[Teva Adjusted %]]*$E$92</f>
        <v>9203.7555489825845</v>
      </c>
      <c r="F59" s="18">
        <f>Table7[[#This Row],[Teva Adjusted %]]*$F$92</f>
        <v>9203.7555489825845</v>
      </c>
      <c r="G59" s="18">
        <f>Table7[[#This Row],[Teva Adjusted %]]*$G$92</f>
        <v>9203.7555489825845</v>
      </c>
      <c r="H59" s="18">
        <f>Table7[[#This Row],[Teva Adjusted %]]*$H$92</f>
        <v>9723.9039339327701</v>
      </c>
      <c r="I59" s="18">
        <f>Table7[[#This Row],[Teva Adjusted %]]*$I$92</f>
        <v>9723.9039339327701</v>
      </c>
      <c r="J59" s="18">
        <f>Table7[[#This Row],[Teva Adjusted %]]*$J$92</f>
        <v>9723.9039339327701</v>
      </c>
      <c r="K59" s="18">
        <f>Table7[[#This Row],[Teva Adjusted %]]*$K$92</f>
        <v>9723.9039339327701</v>
      </c>
      <c r="L59" s="18">
        <f>Table7[[#This Row],[Teva Adjusted %]]*$L$92</f>
        <v>9723.9039339327701</v>
      </c>
      <c r="M59" s="18">
        <f>Table7[[#This Row],[Teva Adjusted %]]*$M$92</f>
        <v>9723.9039339327701</v>
      </c>
      <c r="N59" s="18">
        <f>Table7[[#This Row],[Teva Adjusted %]]*$N$92</f>
        <v>9723.9039339327701</v>
      </c>
      <c r="O59" s="18">
        <f>Table7[[#This Row],[Teva Adjusted %]]*$O$92</f>
        <v>9723.9039339327701</v>
      </c>
      <c r="P59" s="18">
        <f>SUM(Table7[[#This Row],[Payment 1]:[Payment 13]])</f>
        <v>116699.34636657586</v>
      </c>
    </row>
    <row r="60" spans="1:16" x14ac:dyDescent="0.3">
      <c r="A60" t="s">
        <v>177</v>
      </c>
      <c r="B60">
        <v>3.0765337502775408E-3</v>
      </c>
      <c r="C60" s="18">
        <f>Table7[[#This Row],[Teva Adjusted %]]*$C$92</f>
        <v>-192.47178755273023</v>
      </c>
      <c r="D60" s="18">
        <f>Table7[[#This Row],[Teva Adjusted %]]*$D$92</f>
        <v>4372.672359058236</v>
      </c>
      <c r="E60" s="18">
        <f>Table7[[#This Row],[Teva Adjusted %]]*$E$92</f>
        <v>3405.6883265737592</v>
      </c>
      <c r="F60" s="18">
        <f>Table7[[#This Row],[Teva Adjusted %]]*$F$92</f>
        <v>3405.6883265737592</v>
      </c>
      <c r="G60" s="18">
        <f>Table7[[#This Row],[Teva Adjusted %]]*$G$92</f>
        <v>3405.6883265737592</v>
      </c>
      <c r="H60" s="18">
        <f>Table7[[#This Row],[Teva Adjusted %]]*$H$92</f>
        <v>3598.1601141264896</v>
      </c>
      <c r="I60" s="18">
        <f>Table7[[#This Row],[Teva Adjusted %]]*$I$92</f>
        <v>3598.1601141264896</v>
      </c>
      <c r="J60" s="18">
        <f>Table7[[#This Row],[Teva Adjusted %]]*$J$92</f>
        <v>3598.1601141264896</v>
      </c>
      <c r="K60" s="18">
        <f>Table7[[#This Row],[Teva Adjusted %]]*$K$92</f>
        <v>3598.1601141264896</v>
      </c>
      <c r="L60" s="18">
        <f>Table7[[#This Row],[Teva Adjusted %]]*$L$92</f>
        <v>3598.1601141264896</v>
      </c>
      <c r="M60" s="18">
        <f>Table7[[#This Row],[Teva Adjusted %]]*$M$92</f>
        <v>3598.1601141264896</v>
      </c>
      <c r="N60" s="18">
        <f>Table7[[#This Row],[Teva Adjusted %]]*$N$92</f>
        <v>3598.1601141264896</v>
      </c>
      <c r="O60" s="18">
        <f>Table7[[#This Row],[Teva Adjusted %]]*$O$92</f>
        <v>3598.1601141264896</v>
      </c>
      <c r="P60" s="18">
        <f>SUM(Table7[[#This Row],[Payment 1]:[Payment 13]])</f>
        <v>43182.546464238709</v>
      </c>
    </row>
    <row r="61" spans="1:16" x14ac:dyDescent="0.3">
      <c r="A61" t="s">
        <v>178</v>
      </c>
      <c r="B61">
        <v>1.1248125468787309E-2</v>
      </c>
      <c r="C61" s="18">
        <f>Table7[[#This Row],[Teva Adjusted %]]*$C$92</f>
        <v>-703.69675463484862</v>
      </c>
      <c r="D61" s="18">
        <f>Table7[[#This Row],[Teva Adjusted %]]*$D$92</f>
        <v>15986.942228131968</v>
      </c>
      <c r="E61" s="18">
        <f>Table7[[#This Row],[Teva Adjusted %]]*$E$92</f>
        <v>12451.548630477439</v>
      </c>
      <c r="F61" s="18">
        <f>Table7[[#This Row],[Teva Adjusted %]]*$F$92</f>
        <v>12451.548630477439</v>
      </c>
      <c r="G61" s="18">
        <f>Table7[[#This Row],[Teva Adjusted %]]*$G$92</f>
        <v>12451.548630477439</v>
      </c>
      <c r="H61" s="18">
        <f>Table7[[#This Row],[Teva Adjusted %]]*$H$92</f>
        <v>13155.245385112288</v>
      </c>
      <c r="I61" s="18">
        <f>Table7[[#This Row],[Teva Adjusted %]]*$I$92</f>
        <v>13155.245385112288</v>
      </c>
      <c r="J61" s="18">
        <f>Table7[[#This Row],[Teva Adjusted %]]*$J$92</f>
        <v>13155.245385112288</v>
      </c>
      <c r="K61" s="18">
        <f>Table7[[#This Row],[Teva Adjusted %]]*$K$92</f>
        <v>13155.245385112288</v>
      </c>
      <c r="L61" s="18">
        <f>Table7[[#This Row],[Teva Adjusted %]]*$L$92</f>
        <v>13155.245385112288</v>
      </c>
      <c r="M61" s="18">
        <f>Table7[[#This Row],[Teva Adjusted %]]*$M$92</f>
        <v>13155.245385112288</v>
      </c>
      <c r="N61" s="18">
        <f>Table7[[#This Row],[Teva Adjusted %]]*$N$92</f>
        <v>13155.245385112288</v>
      </c>
      <c r="O61" s="18">
        <f>Table7[[#This Row],[Teva Adjusted %]]*$O$92</f>
        <v>13155.245385112288</v>
      </c>
      <c r="P61" s="18">
        <f>SUM(Table7[[#This Row],[Payment 1]:[Payment 13]])</f>
        <v>157879.85444582775</v>
      </c>
    </row>
    <row r="62" spans="1:16" x14ac:dyDescent="0.3">
      <c r="A62" t="s">
        <v>179</v>
      </c>
      <c r="B62">
        <v>8.3142266292569585E-4</v>
      </c>
      <c r="C62" s="18">
        <f>Table7[[#This Row],[Teva Adjusted %]]*$C$92</f>
        <v>-52.014838495018473</v>
      </c>
      <c r="D62" s="18">
        <f>Table7[[#This Row],[Teva Adjusted %]]*$D$92</f>
        <v>1181.6996633116125</v>
      </c>
      <c r="E62" s="18">
        <f>Table7[[#This Row],[Teva Adjusted %]]*$E$92</f>
        <v>920.37555489825843</v>
      </c>
      <c r="F62" s="18">
        <f>Table7[[#This Row],[Teva Adjusted %]]*$F$92</f>
        <v>920.37555489825843</v>
      </c>
      <c r="G62" s="18">
        <f>Table7[[#This Row],[Teva Adjusted %]]*$G$92</f>
        <v>920.37555489825843</v>
      </c>
      <c r="H62" s="18">
        <f>Table7[[#This Row],[Teva Adjusted %]]*$H$92</f>
        <v>972.39039339327701</v>
      </c>
      <c r="I62" s="18">
        <f>Table7[[#This Row],[Teva Adjusted %]]*$I$92</f>
        <v>972.39039339327701</v>
      </c>
      <c r="J62" s="18">
        <f>Table7[[#This Row],[Teva Adjusted %]]*$J$92</f>
        <v>972.39039339327701</v>
      </c>
      <c r="K62" s="18">
        <f>Table7[[#This Row],[Teva Adjusted %]]*$K$92</f>
        <v>972.39039339327701</v>
      </c>
      <c r="L62" s="18">
        <f>Table7[[#This Row],[Teva Adjusted %]]*$L$92</f>
        <v>972.39039339327701</v>
      </c>
      <c r="M62" s="18">
        <f>Table7[[#This Row],[Teva Adjusted %]]*$M$92</f>
        <v>972.39039339327701</v>
      </c>
      <c r="N62" s="18">
        <f>Table7[[#This Row],[Teva Adjusted %]]*$N$92</f>
        <v>972.39039339327701</v>
      </c>
      <c r="O62" s="18">
        <f>Table7[[#This Row],[Teva Adjusted %]]*$O$92</f>
        <v>972.39039339327701</v>
      </c>
      <c r="P62" s="18">
        <f>SUM(Table7[[#This Row],[Payment 1]:[Payment 13]])</f>
        <v>11669.934636657588</v>
      </c>
    </row>
    <row r="63" spans="1:16" x14ac:dyDescent="0.3">
      <c r="A63" t="s">
        <v>180</v>
      </c>
      <c r="B63">
        <v>2.0785566573142396E-3</v>
      </c>
      <c r="C63" s="18">
        <f>Table7[[#This Row],[Teva Adjusted %]]*$C$92</f>
        <v>-130.03709623754617</v>
      </c>
      <c r="D63" s="18">
        <f>Table7[[#This Row],[Teva Adjusted %]]*$D$92</f>
        <v>2954.2491582790317</v>
      </c>
      <c r="E63" s="18">
        <f>Table7[[#This Row],[Teva Adjusted %]]*$E$92</f>
        <v>2300.9388872456461</v>
      </c>
      <c r="F63" s="18">
        <f>Table7[[#This Row],[Teva Adjusted %]]*$F$92</f>
        <v>2300.9388872456461</v>
      </c>
      <c r="G63" s="18">
        <f>Table7[[#This Row],[Teva Adjusted %]]*$G$92</f>
        <v>2300.9388872456461</v>
      </c>
      <c r="H63" s="18">
        <f>Table7[[#This Row],[Teva Adjusted %]]*$H$92</f>
        <v>2430.9759834831925</v>
      </c>
      <c r="I63" s="18">
        <f>Table7[[#This Row],[Teva Adjusted %]]*$I$92</f>
        <v>2430.9759834831925</v>
      </c>
      <c r="J63" s="18">
        <f>Table7[[#This Row],[Teva Adjusted %]]*$J$92</f>
        <v>2430.9759834831925</v>
      </c>
      <c r="K63" s="18">
        <f>Table7[[#This Row],[Teva Adjusted %]]*$K$92</f>
        <v>2430.9759834831925</v>
      </c>
      <c r="L63" s="18">
        <f>Table7[[#This Row],[Teva Adjusted %]]*$L$92</f>
        <v>2430.9759834831925</v>
      </c>
      <c r="M63" s="18">
        <f>Table7[[#This Row],[Teva Adjusted %]]*$M$92</f>
        <v>2430.9759834831925</v>
      </c>
      <c r="N63" s="18">
        <f>Table7[[#This Row],[Teva Adjusted %]]*$N$92</f>
        <v>2430.9759834831925</v>
      </c>
      <c r="O63" s="18">
        <f>Table7[[#This Row],[Teva Adjusted %]]*$O$92</f>
        <v>2430.9759834831925</v>
      </c>
      <c r="P63" s="18">
        <f>SUM(Table7[[#This Row],[Payment 1]:[Payment 13]])</f>
        <v>29174.836591643965</v>
      </c>
    </row>
    <row r="64" spans="1:16" x14ac:dyDescent="0.3">
      <c r="A64" t="s">
        <v>181</v>
      </c>
      <c r="B64">
        <v>2.0785566573142396E-3</v>
      </c>
      <c r="C64" s="18">
        <f>Table7[[#This Row],[Teva Adjusted %]]*$C$92</f>
        <v>-130.03709623754617</v>
      </c>
      <c r="D64" s="18">
        <f>Table7[[#This Row],[Teva Adjusted %]]*$D$92</f>
        <v>2954.2491582790317</v>
      </c>
      <c r="E64" s="18">
        <f>Table7[[#This Row],[Teva Adjusted %]]*$E$92</f>
        <v>2300.9388872456461</v>
      </c>
      <c r="F64" s="18">
        <f>Table7[[#This Row],[Teva Adjusted %]]*$F$92</f>
        <v>2300.9388872456461</v>
      </c>
      <c r="G64" s="18">
        <f>Table7[[#This Row],[Teva Adjusted %]]*$G$92</f>
        <v>2300.9388872456461</v>
      </c>
      <c r="H64" s="18">
        <f>Table7[[#This Row],[Teva Adjusted %]]*$H$92</f>
        <v>2430.9759834831925</v>
      </c>
      <c r="I64" s="18">
        <f>Table7[[#This Row],[Teva Adjusted %]]*$I$92</f>
        <v>2430.9759834831925</v>
      </c>
      <c r="J64" s="18">
        <f>Table7[[#This Row],[Teva Adjusted %]]*$J$92</f>
        <v>2430.9759834831925</v>
      </c>
      <c r="K64" s="18">
        <f>Table7[[#This Row],[Teva Adjusted %]]*$K$92</f>
        <v>2430.9759834831925</v>
      </c>
      <c r="L64" s="18">
        <f>Table7[[#This Row],[Teva Adjusted %]]*$L$92</f>
        <v>2430.9759834831925</v>
      </c>
      <c r="M64" s="18">
        <f>Table7[[#This Row],[Teva Adjusted %]]*$M$92</f>
        <v>2430.9759834831925</v>
      </c>
      <c r="N64" s="18">
        <f>Table7[[#This Row],[Teva Adjusted %]]*$N$92</f>
        <v>2430.9759834831925</v>
      </c>
      <c r="O64" s="18">
        <f>Table7[[#This Row],[Teva Adjusted %]]*$O$92</f>
        <v>2430.9759834831925</v>
      </c>
      <c r="P64" s="18">
        <f>SUM(Table7[[#This Row],[Payment 1]:[Payment 13]])</f>
        <v>29174.836591643965</v>
      </c>
    </row>
    <row r="65" spans="1:16" x14ac:dyDescent="0.3">
      <c r="A65" t="s">
        <v>182</v>
      </c>
      <c r="B65">
        <v>2.0785566573142396E-3</v>
      </c>
      <c r="C65" s="18">
        <f>Table7[[#This Row],[Teva Adjusted %]]*$C$92</f>
        <v>-130.03709623754617</v>
      </c>
      <c r="D65" s="18">
        <f>Table7[[#This Row],[Teva Adjusted %]]*$D$92</f>
        <v>2954.2491582790317</v>
      </c>
      <c r="E65" s="18">
        <f>Table7[[#This Row],[Teva Adjusted %]]*$E$92</f>
        <v>2300.9388872456461</v>
      </c>
      <c r="F65" s="18">
        <f>Table7[[#This Row],[Teva Adjusted %]]*$F$92</f>
        <v>2300.9388872456461</v>
      </c>
      <c r="G65" s="18">
        <f>Table7[[#This Row],[Teva Adjusted %]]*$G$92</f>
        <v>2300.9388872456461</v>
      </c>
      <c r="H65" s="18">
        <f>Table7[[#This Row],[Teva Adjusted %]]*$H$92</f>
        <v>2430.9759834831925</v>
      </c>
      <c r="I65" s="18">
        <f>Table7[[#This Row],[Teva Adjusted %]]*$I$92</f>
        <v>2430.9759834831925</v>
      </c>
      <c r="J65" s="18">
        <f>Table7[[#This Row],[Teva Adjusted %]]*$J$92</f>
        <v>2430.9759834831925</v>
      </c>
      <c r="K65" s="18">
        <f>Table7[[#This Row],[Teva Adjusted %]]*$K$92</f>
        <v>2430.9759834831925</v>
      </c>
      <c r="L65" s="18">
        <f>Table7[[#This Row],[Teva Adjusted %]]*$L$92</f>
        <v>2430.9759834831925</v>
      </c>
      <c r="M65" s="18">
        <f>Table7[[#This Row],[Teva Adjusted %]]*$M$92</f>
        <v>2430.9759834831925</v>
      </c>
      <c r="N65" s="18">
        <f>Table7[[#This Row],[Teva Adjusted %]]*$N$92</f>
        <v>2430.9759834831925</v>
      </c>
      <c r="O65" s="18">
        <f>Table7[[#This Row],[Teva Adjusted %]]*$O$92</f>
        <v>2430.9759834831925</v>
      </c>
      <c r="P65" s="18">
        <f>SUM(Table7[[#This Row],[Payment 1]:[Payment 13]])</f>
        <v>29174.836591643965</v>
      </c>
    </row>
    <row r="66" spans="1:16" x14ac:dyDescent="0.3">
      <c r="A66" t="s">
        <v>183</v>
      </c>
      <c r="B66">
        <v>2.3887908015838735E-3</v>
      </c>
      <c r="C66" s="18">
        <f>Table7[[#This Row],[Teva Adjusted %]]*$C$92</f>
        <v>-149.44573113455692</v>
      </c>
      <c r="D66" s="18">
        <f>Table7[[#This Row],[Teva Adjusted %]]*$D$92</f>
        <v>3395.1844372635496</v>
      </c>
      <c r="E66" s="18">
        <f>Table7[[#This Row],[Teva Adjusted %]]*$E$92</f>
        <v>2644.3646024838999</v>
      </c>
      <c r="F66" s="18">
        <f>Table7[[#This Row],[Teva Adjusted %]]*$F$92</f>
        <v>2644.3646024838999</v>
      </c>
      <c r="G66" s="18">
        <f>Table7[[#This Row],[Teva Adjusted %]]*$G$92</f>
        <v>2644.3646024838999</v>
      </c>
      <c r="H66" s="18">
        <f>Table7[[#This Row],[Teva Adjusted %]]*$H$92</f>
        <v>2793.8103336184572</v>
      </c>
      <c r="I66" s="18">
        <f>Table7[[#This Row],[Teva Adjusted %]]*$I$92</f>
        <v>2793.8103336184572</v>
      </c>
      <c r="J66" s="18">
        <f>Table7[[#This Row],[Teva Adjusted %]]*$J$92</f>
        <v>2793.8103336184572</v>
      </c>
      <c r="K66" s="18">
        <f>Table7[[#This Row],[Teva Adjusted %]]*$K$92</f>
        <v>2793.8103336184572</v>
      </c>
      <c r="L66" s="18">
        <f>Table7[[#This Row],[Teva Adjusted %]]*$L$92</f>
        <v>2793.8103336184572</v>
      </c>
      <c r="M66" s="18">
        <f>Table7[[#This Row],[Teva Adjusted %]]*$M$92</f>
        <v>2793.8103336184572</v>
      </c>
      <c r="N66" s="18">
        <f>Table7[[#This Row],[Teva Adjusted %]]*$N$92</f>
        <v>2793.8103336184572</v>
      </c>
      <c r="O66" s="18">
        <f>Table7[[#This Row],[Teva Adjusted %]]*$O$92</f>
        <v>2793.8103336184572</v>
      </c>
      <c r="P66" s="18">
        <f>SUM(Table7[[#This Row],[Payment 1]:[Payment 13]])</f>
        <v>33529.315182528349</v>
      </c>
    </row>
    <row r="67" spans="1:16" x14ac:dyDescent="0.3">
      <c r="A67" t="s">
        <v>184</v>
      </c>
      <c r="B67">
        <v>2.0912343911448888E-2</v>
      </c>
      <c r="C67" s="18">
        <f>Table7[[#This Row],[Teva Adjusted %]]*$C$92</f>
        <v>-1308.302310738803</v>
      </c>
      <c r="D67" s="18">
        <f>Table7[[#This Row],[Teva Adjusted %]]*$D$92</f>
        <v>29722.680005204915</v>
      </c>
      <c r="E67" s="18">
        <f>Table7[[#This Row],[Teva Adjusted %]]*$E$92</f>
        <v>23149.729962849364</v>
      </c>
      <c r="F67" s="18">
        <f>Table7[[#This Row],[Teva Adjusted %]]*$F$92</f>
        <v>23149.729962849364</v>
      </c>
      <c r="G67" s="18">
        <f>Table7[[#This Row],[Teva Adjusted %]]*$G$92</f>
        <v>23149.729962849364</v>
      </c>
      <c r="H67" s="18">
        <f>Table7[[#This Row],[Teva Adjusted %]]*$H$92</f>
        <v>24458.032273588167</v>
      </c>
      <c r="I67" s="18">
        <f>Table7[[#This Row],[Teva Adjusted %]]*$I$92</f>
        <v>24458.032273588167</v>
      </c>
      <c r="J67" s="18">
        <f>Table7[[#This Row],[Teva Adjusted %]]*$J$92</f>
        <v>24458.032273588167</v>
      </c>
      <c r="K67" s="18">
        <f>Table7[[#This Row],[Teva Adjusted %]]*$K$92</f>
        <v>24458.032273588167</v>
      </c>
      <c r="L67" s="18">
        <f>Table7[[#This Row],[Teva Adjusted %]]*$L$92</f>
        <v>24458.032273588167</v>
      </c>
      <c r="M67" s="18">
        <f>Table7[[#This Row],[Teva Adjusted %]]*$M$92</f>
        <v>24458.032273588167</v>
      </c>
      <c r="N67" s="18">
        <f>Table7[[#This Row],[Teva Adjusted %]]*$N$92</f>
        <v>24458.032273588167</v>
      </c>
      <c r="O67" s="18">
        <f>Table7[[#This Row],[Teva Adjusted %]]*$O$92</f>
        <v>24458.032273588167</v>
      </c>
      <c r="P67" s="18">
        <f>SUM(Table7[[#This Row],[Payment 1]:[Payment 13]])</f>
        <v>293527.82577171957</v>
      </c>
    </row>
    <row r="68" spans="1:16" x14ac:dyDescent="0.3">
      <c r="A68" t="s">
        <v>185</v>
      </c>
      <c r="B68">
        <v>6.124133114936702E-3</v>
      </c>
      <c r="C68" s="18">
        <f>Table7[[#This Row],[Teva Adjusted %]]*$C$92</f>
        <v>-383.13340386283812</v>
      </c>
      <c r="D68" s="18">
        <f>Table7[[#This Row],[Teva Adjusted %]]*$D$92</f>
        <v>8704.2203234276749</v>
      </c>
      <c r="E68" s="18">
        <f>Table7[[#This Row],[Teva Adjusted %]]*$E$92</f>
        <v>6779.3466130648412</v>
      </c>
      <c r="F68" s="18">
        <f>Table7[[#This Row],[Teva Adjusted %]]*$F$92</f>
        <v>6779.3466130648412</v>
      </c>
      <c r="G68" s="18">
        <f>Table7[[#This Row],[Teva Adjusted %]]*$G$92</f>
        <v>6779.3466130648412</v>
      </c>
      <c r="H68" s="18">
        <f>Table7[[#This Row],[Teva Adjusted %]]*$H$92</f>
        <v>7162.4800169276796</v>
      </c>
      <c r="I68" s="18">
        <f>Table7[[#This Row],[Teva Adjusted %]]*$I$92</f>
        <v>7162.4800169276796</v>
      </c>
      <c r="J68" s="18">
        <f>Table7[[#This Row],[Teva Adjusted %]]*$J$92</f>
        <v>7162.4800169276796</v>
      </c>
      <c r="K68" s="18">
        <f>Table7[[#This Row],[Teva Adjusted %]]*$K$92</f>
        <v>7162.4800169276796</v>
      </c>
      <c r="L68" s="18">
        <f>Table7[[#This Row],[Teva Adjusted %]]*$L$92</f>
        <v>7162.4800169276796</v>
      </c>
      <c r="M68" s="18">
        <f>Table7[[#This Row],[Teva Adjusted %]]*$M$92</f>
        <v>7162.4800169276796</v>
      </c>
      <c r="N68" s="18">
        <f>Table7[[#This Row],[Teva Adjusted %]]*$N$92</f>
        <v>7162.4800169276796</v>
      </c>
      <c r="O68" s="18">
        <f>Table7[[#This Row],[Teva Adjusted %]]*$O$92</f>
        <v>7162.4800169276796</v>
      </c>
      <c r="P68" s="18">
        <f>SUM(Table7[[#This Row],[Payment 1]:[Payment 13]])</f>
        <v>85958.966894180805</v>
      </c>
    </row>
    <row r="69" spans="1:16" x14ac:dyDescent="0.3">
      <c r="A69" t="s">
        <v>186</v>
      </c>
      <c r="B69">
        <v>0.10717062552332471</v>
      </c>
      <c r="C69" s="18">
        <f>Table7[[#This Row],[Teva Adjusted %]]*$C$92</f>
        <v>-6704.7279639814542</v>
      </c>
      <c r="D69" s="18">
        <f>Table7[[#This Row],[Teva Adjusted %]]*$D$92</f>
        <v>152321.43378454653</v>
      </c>
      <c r="E69" s="18">
        <f>Table7[[#This Row],[Teva Adjusted %]]*$E$92</f>
        <v>118636.67943297166</v>
      </c>
      <c r="F69" s="18">
        <f>Table7[[#This Row],[Teva Adjusted %]]*$F$92</f>
        <v>118636.67943297166</v>
      </c>
      <c r="G69" s="18">
        <f>Table7[[#This Row],[Teva Adjusted %]]*$G$92</f>
        <v>118636.67943297166</v>
      </c>
      <c r="H69" s="18">
        <f>Table7[[#This Row],[Teva Adjusted %]]*$H$92</f>
        <v>125341.40739695313</v>
      </c>
      <c r="I69" s="18">
        <f>Table7[[#This Row],[Teva Adjusted %]]*$I$92</f>
        <v>125341.40739695313</v>
      </c>
      <c r="J69" s="18">
        <f>Table7[[#This Row],[Teva Adjusted %]]*$J$92</f>
        <v>125341.40739695313</v>
      </c>
      <c r="K69" s="18">
        <f>Table7[[#This Row],[Teva Adjusted %]]*$K$92</f>
        <v>125341.40739695313</v>
      </c>
      <c r="L69" s="18">
        <f>Table7[[#This Row],[Teva Adjusted %]]*$L$92</f>
        <v>125341.40739695313</v>
      </c>
      <c r="M69" s="18">
        <f>Table7[[#This Row],[Teva Adjusted %]]*$M$92</f>
        <v>125341.40739695313</v>
      </c>
      <c r="N69" s="18">
        <f>Table7[[#This Row],[Teva Adjusted %]]*$N$92</f>
        <v>125341.40739695313</v>
      </c>
      <c r="O69" s="18">
        <f>Table7[[#This Row],[Teva Adjusted %]]*$O$92</f>
        <v>125341.40739695313</v>
      </c>
      <c r="P69" s="18">
        <f>SUM(Table7[[#This Row],[Payment 1]:[Payment 13]])</f>
        <v>1504258.0032951047</v>
      </c>
    </row>
    <row r="70" spans="1:16" x14ac:dyDescent="0.3">
      <c r="A70" t="s">
        <v>187</v>
      </c>
      <c r="B70">
        <v>4.1571133146284791E-3</v>
      </c>
      <c r="C70" s="18">
        <f>Table7[[#This Row],[Teva Adjusted %]]*$C$92</f>
        <v>-260.07419247509233</v>
      </c>
      <c r="D70" s="18">
        <f>Table7[[#This Row],[Teva Adjusted %]]*$D$92</f>
        <v>5908.4983165580634</v>
      </c>
      <c r="E70" s="18">
        <f>Table7[[#This Row],[Teva Adjusted %]]*$E$92</f>
        <v>4601.8777744912923</v>
      </c>
      <c r="F70" s="18">
        <f>Table7[[#This Row],[Teva Adjusted %]]*$F$92</f>
        <v>4601.8777744912923</v>
      </c>
      <c r="G70" s="18">
        <f>Table7[[#This Row],[Teva Adjusted %]]*$G$92</f>
        <v>4601.8777744912923</v>
      </c>
      <c r="H70" s="18">
        <f>Table7[[#This Row],[Teva Adjusted %]]*$H$92</f>
        <v>4861.951966966385</v>
      </c>
      <c r="I70" s="18">
        <f>Table7[[#This Row],[Teva Adjusted %]]*$I$92</f>
        <v>4861.951966966385</v>
      </c>
      <c r="J70" s="18">
        <f>Table7[[#This Row],[Teva Adjusted %]]*$J$92</f>
        <v>4861.951966966385</v>
      </c>
      <c r="K70" s="18">
        <f>Table7[[#This Row],[Teva Adjusted %]]*$K$92</f>
        <v>4861.951966966385</v>
      </c>
      <c r="L70" s="18">
        <f>Table7[[#This Row],[Teva Adjusted %]]*$L$92</f>
        <v>4861.951966966385</v>
      </c>
      <c r="M70" s="18">
        <f>Table7[[#This Row],[Teva Adjusted %]]*$M$92</f>
        <v>4861.951966966385</v>
      </c>
      <c r="N70" s="18">
        <f>Table7[[#This Row],[Teva Adjusted %]]*$N$92</f>
        <v>4861.951966966385</v>
      </c>
      <c r="O70" s="18">
        <f>Table7[[#This Row],[Teva Adjusted %]]*$O$92</f>
        <v>4861.951966966385</v>
      </c>
      <c r="P70" s="18">
        <f>SUM(Table7[[#This Row],[Payment 1]:[Payment 13]])</f>
        <v>58349.67318328793</v>
      </c>
    </row>
    <row r="71" spans="1:16" x14ac:dyDescent="0.3">
      <c r="A71" t="s">
        <v>188</v>
      </c>
      <c r="B71">
        <v>2.024544975793521E-2</v>
      </c>
      <c r="C71" s="18">
        <f>Table7[[#This Row],[Teva Adjusted %]]*$C$92</f>
        <v>-1266.5805809434894</v>
      </c>
      <c r="D71" s="18">
        <f>Table7[[#This Row],[Teva Adjusted %]]*$D$92</f>
        <v>28774.82444170793</v>
      </c>
      <c r="E71" s="18">
        <f>Table7[[#This Row],[Teva Adjusted %]]*$E$92</f>
        <v>22411.485620989981</v>
      </c>
      <c r="F71" s="18">
        <f>Table7[[#This Row],[Teva Adjusted %]]*$F$92</f>
        <v>22411.485620989981</v>
      </c>
      <c r="G71" s="18">
        <f>Table7[[#This Row],[Teva Adjusted %]]*$G$92</f>
        <v>22411.485620989981</v>
      </c>
      <c r="H71" s="18">
        <f>Table7[[#This Row],[Teva Adjusted %]]*$H$92</f>
        <v>23678.06620193347</v>
      </c>
      <c r="I71" s="18">
        <f>Table7[[#This Row],[Teva Adjusted %]]*$I$92</f>
        <v>23678.06620193347</v>
      </c>
      <c r="J71" s="18">
        <f>Table7[[#This Row],[Teva Adjusted %]]*$J$92</f>
        <v>23678.06620193347</v>
      </c>
      <c r="K71" s="18">
        <f>Table7[[#This Row],[Teva Adjusted %]]*$K$92</f>
        <v>23678.06620193347</v>
      </c>
      <c r="L71" s="18">
        <f>Table7[[#This Row],[Teva Adjusted %]]*$L$92</f>
        <v>23678.06620193347</v>
      </c>
      <c r="M71" s="18">
        <f>Table7[[#This Row],[Teva Adjusted %]]*$M$92</f>
        <v>23678.06620193347</v>
      </c>
      <c r="N71" s="18">
        <f>Table7[[#This Row],[Teva Adjusted %]]*$N$92</f>
        <v>23678.06620193347</v>
      </c>
      <c r="O71" s="18">
        <f>Table7[[#This Row],[Teva Adjusted %]]*$O$92</f>
        <v>23678.06620193347</v>
      </c>
      <c r="P71" s="18">
        <f>SUM(Table7[[#This Row],[Payment 1]:[Payment 13]])</f>
        <v>284167.23033920221</v>
      </c>
    </row>
    <row r="72" spans="1:16" x14ac:dyDescent="0.3">
      <c r="A72" t="s">
        <v>189</v>
      </c>
      <c r="B72">
        <v>8.3142266292569585E-4</v>
      </c>
      <c r="C72" s="18">
        <f>Table7[[#This Row],[Teva Adjusted %]]*$C$92</f>
        <v>-52.014838495018473</v>
      </c>
      <c r="D72" s="18">
        <f>Table7[[#This Row],[Teva Adjusted %]]*$D$92</f>
        <v>1181.6996633116125</v>
      </c>
      <c r="E72" s="18">
        <f>Table7[[#This Row],[Teva Adjusted %]]*$E$92</f>
        <v>920.37555489825843</v>
      </c>
      <c r="F72" s="18">
        <f>Table7[[#This Row],[Teva Adjusted %]]*$F$92</f>
        <v>920.37555489825843</v>
      </c>
      <c r="G72" s="18">
        <f>Table7[[#This Row],[Teva Adjusted %]]*$G$92</f>
        <v>920.37555489825843</v>
      </c>
      <c r="H72" s="18">
        <f>Table7[[#This Row],[Teva Adjusted %]]*$H$92</f>
        <v>972.39039339327701</v>
      </c>
      <c r="I72" s="18">
        <f>Table7[[#This Row],[Teva Adjusted %]]*$I$92</f>
        <v>972.39039339327701</v>
      </c>
      <c r="J72" s="18">
        <f>Table7[[#This Row],[Teva Adjusted %]]*$J$92</f>
        <v>972.39039339327701</v>
      </c>
      <c r="K72" s="18">
        <f>Table7[[#This Row],[Teva Adjusted %]]*$K$92</f>
        <v>972.39039339327701</v>
      </c>
      <c r="L72" s="18">
        <f>Table7[[#This Row],[Teva Adjusted %]]*$L$92</f>
        <v>972.39039339327701</v>
      </c>
      <c r="M72" s="18">
        <f>Table7[[#This Row],[Teva Adjusted %]]*$M$92</f>
        <v>972.39039339327701</v>
      </c>
      <c r="N72" s="18">
        <f>Table7[[#This Row],[Teva Adjusted %]]*$N$92</f>
        <v>972.39039339327701</v>
      </c>
      <c r="O72" s="18">
        <f>Table7[[#This Row],[Teva Adjusted %]]*$O$92</f>
        <v>972.39039339327701</v>
      </c>
      <c r="P72" s="18">
        <f>SUM(Table7[[#This Row],[Payment 1]:[Payment 13]])</f>
        <v>11669.934636657588</v>
      </c>
    </row>
    <row r="73" spans="1:16" x14ac:dyDescent="0.3">
      <c r="A73" t="s">
        <v>190</v>
      </c>
      <c r="B73">
        <v>9.55897212083953E-3</v>
      </c>
      <c r="C73" s="18">
        <f>Table7[[#This Row],[Teva Adjusted %]]*$C$92</f>
        <v>-598.02121497894245</v>
      </c>
      <c r="D73" s="18">
        <f>Table7[[#This Row],[Teva Adjusted %]]*$D$92</f>
        <v>13586.151352973971</v>
      </c>
      <c r="E73" s="18">
        <f>Table7[[#This Row],[Teva Adjusted %]]*$E$92</f>
        <v>10581.674835535398</v>
      </c>
      <c r="F73" s="18">
        <f>Table7[[#This Row],[Teva Adjusted %]]*$F$92</f>
        <v>10581.674835535398</v>
      </c>
      <c r="G73" s="18">
        <f>Table7[[#This Row],[Teva Adjusted %]]*$G$92</f>
        <v>10581.674835535398</v>
      </c>
      <c r="H73" s="18">
        <f>Table7[[#This Row],[Teva Adjusted %]]*$H$92</f>
        <v>11179.696050514342</v>
      </c>
      <c r="I73" s="18">
        <f>Table7[[#This Row],[Teva Adjusted %]]*$I$92</f>
        <v>11179.696050514342</v>
      </c>
      <c r="J73" s="18">
        <f>Table7[[#This Row],[Teva Adjusted %]]*$J$92</f>
        <v>11179.696050514342</v>
      </c>
      <c r="K73" s="18">
        <f>Table7[[#This Row],[Teva Adjusted %]]*$K$92</f>
        <v>11179.696050514342</v>
      </c>
      <c r="L73" s="18">
        <f>Table7[[#This Row],[Teva Adjusted %]]*$L$92</f>
        <v>11179.696050514342</v>
      </c>
      <c r="M73" s="18">
        <f>Table7[[#This Row],[Teva Adjusted %]]*$M$92</f>
        <v>11179.696050514342</v>
      </c>
      <c r="N73" s="18">
        <f>Table7[[#This Row],[Teva Adjusted %]]*$N$92</f>
        <v>11179.696050514342</v>
      </c>
      <c r="O73" s="18">
        <f>Table7[[#This Row],[Teva Adjusted %]]*$O$92</f>
        <v>11179.696050514342</v>
      </c>
      <c r="P73" s="18">
        <f>SUM(Table7[[#This Row],[Payment 1]:[Payment 13]])</f>
        <v>134170.72304871594</v>
      </c>
    </row>
    <row r="74" spans="1:16" x14ac:dyDescent="0.3">
      <c r="A74" t="s">
        <v>191</v>
      </c>
      <c r="B74">
        <v>2.7631202273507009E-2</v>
      </c>
      <c r="C74" s="18">
        <f>Table7[[#This Row],[Teva Adjusted %]]*$C$92</f>
        <v>-1728.6424676255183</v>
      </c>
      <c r="D74" s="18">
        <f>Table7[[#This Row],[Teva Adjusted %]]*$D$92</f>
        <v>39272.182344175992</v>
      </c>
      <c r="E74" s="18">
        <f>Table7[[#This Row],[Teva Adjusted %]]*$E$92</f>
        <v>30587.430748514256</v>
      </c>
      <c r="F74" s="18">
        <f>Table7[[#This Row],[Teva Adjusted %]]*$F$92</f>
        <v>30587.430748514256</v>
      </c>
      <c r="G74" s="18">
        <f>Table7[[#This Row],[Teva Adjusted %]]*$G$92</f>
        <v>30587.430748514256</v>
      </c>
      <c r="H74" s="18">
        <f>Table7[[#This Row],[Teva Adjusted %]]*$H$92</f>
        <v>32316.073216139779</v>
      </c>
      <c r="I74" s="18">
        <f>Table7[[#This Row],[Teva Adjusted %]]*$I$92</f>
        <v>32316.073216139779</v>
      </c>
      <c r="J74" s="18">
        <f>Table7[[#This Row],[Teva Adjusted %]]*$J$92</f>
        <v>32316.073216139779</v>
      </c>
      <c r="K74" s="18">
        <f>Table7[[#This Row],[Teva Adjusted %]]*$K$92</f>
        <v>32316.073216139779</v>
      </c>
      <c r="L74" s="18">
        <f>Table7[[#This Row],[Teva Adjusted %]]*$L$92</f>
        <v>32316.073216139779</v>
      </c>
      <c r="M74" s="18">
        <f>Table7[[#This Row],[Teva Adjusted %]]*$M$92</f>
        <v>32316.073216139779</v>
      </c>
      <c r="N74" s="18">
        <f>Table7[[#This Row],[Teva Adjusted %]]*$N$92</f>
        <v>32316.073216139779</v>
      </c>
      <c r="O74" s="18">
        <f>Table7[[#This Row],[Teva Adjusted %]]*$O$92</f>
        <v>32316.073216139779</v>
      </c>
      <c r="P74" s="18">
        <f>SUM(Table7[[#This Row],[Payment 1]:[Payment 13]])</f>
        <v>387834.41785121156</v>
      </c>
    </row>
    <row r="75" spans="1:16" x14ac:dyDescent="0.3">
      <c r="A75" t="s">
        <v>192</v>
      </c>
      <c r="B75">
        <v>8.3142266292569585E-4</v>
      </c>
      <c r="C75" s="18">
        <f>Table7[[#This Row],[Teva Adjusted %]]*$C$92</f>
        <v>-52.014838495018473</v>
      </c>
      <c r="D75" s="18">
        <f>Table7[[#This Row],[Teva Adjusted %]]*$D$92</f>
        <v>1181.6996633116125</v>
      </c>
      <c r="E75" s="18">
        <f>Table7[[#This Row],[Teva Adjusted %]]*$E$92</f>
        <v>920.37555489825843</v>
      </c>
      <c r="F75" s="18">
        <f>Table7[[#This Row],[Teva Adjusted %]]*$F$92</f>
        <v>920.37555489825843</v>
      </c>
      <c r="G75" s="18">
        <f>Table7[[#This Row],[Teva Adjusted %]]*$G$92</f>
        <v>920.37555489825843</v>
      </c>
      <c r="H75" s="18">
        <f>Table7[[#This Row],[Teva Adjusted %]]*$H$92</f>
        <v>972.39039339327701</v>
      </c>
      <c r="I75" s="18">
        <f>Table7[[#This Row],[Teva Adjusted %]]*$I$92</f>
        <v>972.39039339327701</v>
      </c>
      <c r="J75" s="18">
        <f>Table7[[#This Row],[Teva Adjusted %]]*$J$92</f>
        <v>972.39039339327701</v>
      </c>
      <c r="K75" s="18">
        <f>Table7[[#This Row],[Teva Adjusted %]]*$K$92</f>
        <v>972.39039339327701</v>
      </c>
      <c r="L75" s="18">
        <f>Table7[[#This Row],[Teva Adjusted %]]*$L$92</f>
        <v>972.39039339327701</v>
      </c>
      <c r="M75" s="18">
        <f>Table7[[#This Row],[Teva Adjusted %]]*$M$92</f>
        <v>972.39039339327701</v>
      </c>
      <c r="N75" s="18">
        <f>Table7[[#This Row],[Teva Adjusted %]]*$N$92</f>
        <v>972.39039339327701</v>
      </c>
      <c r="O75" s="18">
        <f>Table7[[#This Row],[Teva Adjusted %]]*$O$92</f>
        <v>972.39039339327701</v>
      </c>
      <c r="P75" s="18">
        <f>SUM(Table7[[#This Row],[Payment 1]:[Payment 13]])</f>
        <v>11669.934636657588</v>
      </c>
    </row>
    <row r="76" spans="1:16" x14ac:dyDescent="0.3">
      <c r="A76" t="s">
        <v>193</v>
      </c>
      <c r="B76">
        <v>2.7427525582133291E-3</v>
      </c>
      <c r="C76" s="18">
        <f>Table7[[#This Row],[Teva Adjusted %]]*$C$92</f>
        <v>-171.59001998483521</v>
      </c>
      <c r="D76" s="18">
        <f>Table7[[#This Row],[Teva Adjusted %]]*$D$92</f>
        <v>3898.2696997729213</v>
      </c>
      <c r="E76" s="18">
        <f>Table7[[#This Row],[Teva Adjusted %]]*$E$92</f>
        <v>3036.1962937493472</v>
      </c>
      <c r="F76" s="18">
        <f>Table7[[#This Row],[Teva Adjusted %]]*$F$92</f>
        <v>3036.1962937493472</v>
      </c>
      <c r="G76" s="18">
        <f>Table7[[#This Row],[Teva Adjusted %]]*$G$92</f>
        <v>3036.1962937493472</v>
      </c>
      <c r="H76" s="18">
        <f>Table7[[#This Row],[Teva Adjusted %]]*$H$92</f>
        <v>3207.7863137341828</v>
      </c>
      <c r="I76" s="18">
        <f>Table7[[#This Row],[Teva Adjusted %]]*$I$92</f>
        <v>3207.7863137341828</v>
      </c>
      <c r="J76" s="18">
        <f>Table7[[#This Row],[Teva Adjusted %]]*$J$92</f>
        <v>3207.7863137341828</v>
      </c>
      <c r="K76" s="18">
        <f>Table7[[#This Row],[Teva Adjusted %]]*$K$92</f>
        <v>3207.7863137341828</v>
      </c>
      <c r="L76" s="18">
        <f>Table7[[#This Row],[Teva Adjusted %]]*$L$92</f>
        <v>3207.7863137341828</v>
      </c>
      <c r="M76" s="18">
        <f>Table7[[#This Row],[Teva Adjusted %]]*$M$92</f>
        <v>3207.7863137341828</v>
      </c>
      <c r="N76" s="18">
        <f>Table7[[#This Row],[Teva Adjusted %]]*$N$92</f>
        <v>3207.7863137341828</v>
      </c>
      <c r="O76" s="18">
        <f>Table7[[#This Row],[Teva Adjusted %]]*$O$92</f>
        <v>3207.7863137341828</v>
      </c>
      <c r="P76" s="18">
        <f>SUM(Table7[[#This Row],[Payment 1]:[Payment 13]])</f>
        <v>38497.5590709096</v>
      </c>
    </row>
    <row r="77" spans="1:16" x14ac:dyDescent="0.3">
      <c r="A77" t="s">
        <v>194</v>
      </c>
      <c r="B77">
        <v>8.3142266292569585E-4</v>
      </c>
      <c r="C77" s="18">
        <f>Table7[[#This Row],[Teva Adjusted %]]*$C$92</f>
        <v>-52.014838495018473</v>
      </c>
      <c r="D77" s="18">
        <f>Table7[[#This Row],[Teva Adjusted %]]*$D$92</f>
        <v>1181.6996633116125</v>
      </c>
      <c r="E77" s="18">
        <f>Table7[[#This Row],[Teva Adjusted %]]*$E$92</f>
        <v>920.37555489825843</v>
      </c>
      <c r="F77" s="18">
        <f>Table7[[#This Row],[Teva Adjusted %]]*$F$92</f>
        <v>920.37555489825843</v>
      </c>
      <c r="G77" s="18">
        <f>Table7[[#This Row],[Teva Adjusted %]]*$G$92</f>
        <v>920.37555489825843</v>
      </c>
      <c r="H77" s="18">
        <f>Table7[[#This Row],[Teva Adjusted %]]*$H$92</f>
        <v>972.39039339327701</v>
      </c>
      <c r="I77" s="18">
        <f>Table7[[#This Row],[Teva Adjusted %]]*$I$92</f>
        <v>972.39039339327701</v>
      </c>
      <c r="J77" s="18">
        <f>Table7[[#This Row],[Teva Adjusted %]]*$J$92</f>
        <v>972.39039339327701</v>
      </c>
      <c r="K77" s="18">
        <f>Table7[[#This Row],[Teva Adjusted %]]*$K$92</f>
        <v>972.39039339327701</v>
      </c>
      <c r="L77" s="18">
        <f>Table7[[#This Row],[Teva Adjusted %]]*$L$92</f>
        <v>972.39039339327701</v>
      </c>
      <c r="M77" s="18">
        <f>Table7[[#This Row],[Teva Adjusted %]]*$M$92</f>
        <v>972.39039339327701</v>
      </c>
      <c r="N77" s="18">
        <f>Table7[[#This Row],[Teva Adjusted %]]*$N$92</f>
        <v>972.39039339327701</v>
      </c>
      <c r="O77" s="18">
        <f>Table7[[#This Row],[Teva Adjusted %]]*$O$92</f>
        <v>972.39039339327701</v>
      </c>
      <c r="P77" s="18">
        <f>SUM(Table7[[#This Row],[Payment 1]:[Payment 13]])</f>
        <v>11669.934636657588</v>
      </c>
    </row>
    <row r="78" spans="1:16" x14ac:dyDescent="0.3">
      <c r="A78" t="s">
        <v>195</v>
      </c>
      <c r="B78">
        <v>8.3142266292569585E-4</v>
      </c>
      <c r="C78" s="18">
        <f>Table7[[#This Row],[Teva Adjusted %]]*$C$92</f>
        <v>-52.014838495018473</v>
      </c>
      <c r="D78" s="18">
        <f>Table7[[#This Row],[Teva Adjusted %]]*$D$92</f>
        <v>1181.6996633116125</v>
      </c>
      <c r="E78" s="18">
        <f>Table7[[#This Row],[Teva Adjusted %]]*$E$92</f>
        <v>920.37555489825843</v>
      </c>
      <c r="F78" s="18">
        <f>Table7[[#This Row],[Teva Adjusted %]]*$F$92</f>
        <v>920.37555489825843</v>
      </c>
      <c r="G78" s="18">
        <f>Table7[[#This Row],[Teva Adjusted %]]*$G$92</f>
        <v>920.37555489825843</v>
      </c>
      <c r="H78" s="18">
        <f>Table7[[#This Row],[Teva Adjusted %]]*$H$92</f>
        <v>972.39039339327701</v>
      </c>
      <c r="I78" s="18">
        <f>Table7[[#This Row],[Teva Adjusted %]]*$I$92</f>
        <v>972.39039339327701</v>
      </c>
      <c r="J78" s="18">
        <f>Table7[[#This Row],[Teva Adjusted %]]*$J$92</f>
        <v>972.39039339327701</v>
      </c>
      <c r="K78" s="18">
        <f>Table7[[#This Row],[Teva Adjusted %]]*$K$92</f>
        <v>972.39039339327701</v>
      </c>
      <c r="L78" s="18">
        <f>Table7[[#This Row],[Teva Adjusted %]]*$L$92</f>
        <v>972.39039339327701</v>
      </c>
      <c r="M78" s="18">
        <f>Table7[[#This Row],[Teva Adjusted %]]*$M$92</f>
        <v>972.39039339327701</v>
      </c>
      <c r="N78" s="18">
        <f>Table7[[#This Row],[Teva Adjusted %]]*$N$92</f>
        <v>972.39039339327701</v>
      </c>
      <c r="O78" s="18">
        <f>Table7[[#This Row],[Teva Adjusted %]]*$O$92</f>
        <v>972.39039339327701</v>
      </c>
      <c r="P78" s="18">
        <f>SUM(Table7[[#This Row],[Payment 1]:[Payment 13]])</f>
        <v>11669.934636657588</v>
      </c>
    </row>
    <row r="79" spans="1:16" x14ac:dyDescent="0.3">
      <c r="A79" t="s">
        <v>196</v>
      </c>
      <c r="B79">
        <v>2.2454553347214645E-3</v>
      </c>
      <c r="C79" s="18">
        <f>Table7[[#This Row],[Teva Adjusted %]]*$C$92</f>
        <v>-140.47848560239783</v>
      </c>
      <c r="D79" s="18">
        <f>Table7[[#This Row],[Teva Adjusted %]]*$D$92</f>
        <v>3191.4619739668533</v>
      </c>
      <c r="E79" s="18">
        <f>Table7[[#This Row],[Teva Adjusted %]]*$E$92</f>
        <v>2485.6938496493931</v>
      </c>
      <c r="F79" s="18">
        <f>Table7[[#This Row],[Teva Adjusted %]]*$F$92</f>
        <v>2485.6938496493931</v>
      </c>
      <c r="G79" s="18">
        <f>Table7[[#This Row],[Teva Adjusted %]]*$G$92</f>
        <v>2485.6938496493931</v>
      </c>
      <c r="H79" s="18">
        <f>Table7[[#This Row],[Teva Adjusted %]]*$H$92</f>
        <v>2626.1723352517911</v>
      </c>
      <c r="I79" s="18">
        <f>Table7[[#This Row],[Teva Adjusted %]]*$I$92</f>
        <v>2626.1723352517911</v>
      </c>
      <c r="J79" s="18">
        <f>Table7[[#This Row],[Teva Adjusted %]]*$J$92</f>
        <v>2626.1723352517911</v>
      </c>
      <c r="K79" s="18">
        <f>Table7[[#This Row],[Teva Adjusted %]]*$K$92</f>
        <v>2626.1723352517911</v>
      </c>
      <c r="L79" s="18">
        <f>Table7[[#This Row],[Teva Adjusted %]]*$L$92</f>
        <v>2626.1723352517911</v>
      </c>
      <c r="M79" s="18">
        <f>Table7[[#This Row],[Teva Adjusted %]]*$M$92</f>
        <v>2626.1723352517911</v>
      </c>
      <c r="N79" s="18">
        <f>Table7[[#This Row],[Teva Adjusted %]]*$N$92</f>
        <v>2626.1723352517911</v>
      </c>
      <c r="O79" s="18">
        <f>Table7[[#This Row],[Teva Adjusted %]]*$O$92</f>
        <v>2626.1723352517911</v>
      </c>
      <c r="P79" s="18">
        <f>SUM(Table7[[#This Row],[Payment 1]:[Payment 13]])</f>
        <v>31517.443719326962</v>
      </c>
    </row>
    <row r="80" spans="1:16" x14ac:dyDescent="0.3">
      <c r="A80" t="s">
        <v>197</v>
      </c>
      <c r="B80">
        <v>2.0785566573142396E-3</v>
      </c>
      <c r="C80" s="18">
        <f>Table7[[#This Row],[Teva Adjusted %]]*$C$92</f>
        <v>-130.03709623754617</v>
      </c>
      <c r="D80" s="18">
        <f>Table7[[#This Row],[Teva Adjusted %]]*$D$92</f>
        <v>2954.2491582790317</v>
      </c>
      <c r="E80" s="18">
        <f>Table7[[#This Row],[Teva Adjusted %]]*$E$92</f>
        <v>2300.9388872456461</v>
      </c>
      <c r="F80" s="18">
        <f>Table7[[#This Row],[Teva Adjusted %]]*$F$92</f>
        <v>2300.9388872456461</v>
      </c>
      <c r="G80" s="18">
        <f>Table7[[#This Row],[Teva Adjusted %]]*$G$92</f>
        <v>2300.9388872456461</v>
      </c>
      <c r="H80" s="18">
        <f>Table7[[#This Row],[Teva Adjusted %]]*$H$92</f>
        <v>2430.9759834831925</v>
      </c>
      <c r="I80" s="18">
        <f>Table7[[#This Row],[Teva Adjusted %]]*$I$92</f>
        <v>2430.9759834831925</v>
      </c>
      <c r="J80" s="18">
        <f>Table7[[#This Row],[Teva Adjusted %]]*$J$92</f>
        <v>2430.9759834831925</v>
      </c>
      <c r="K80" s="18">
        <f>Table7[[#This Row],[Teva Adjusted %]]*$K$92</f>
        <v>2430.9759834831925</v>
      </c>
      <c r="L80" s="18">
        <f>Table7[[#This Row],[Teva Adjusted %]]*$L$92</f>
        <v>2430.9759834831925</v>
      </c>
      <c r="M80" s="18">
        <f>Table7[[#This Row],[Teva Adjusted %]]*$M$92</f>
        <v>2430.9759834831925</v>
      </c>
      <c r="N80" s="18">
        <f>Table7[[#This Row],[Teva Adjusted %]]*$N$92</f>
        <v>2430.9759834831925</v>
      </c>
      <c r="O80" s="18">
        <f>Table7[[#This Row],[Teva Adjusted %]]*$O$92</f>
        <v>2430.9759834831925</v>
      </c>
      <c r="P80" s="18">
        <f>SUM(Table7[[#This Row],[Payment 1]:[Payment 13]])</f>
        <v>29174.836591643965</v>
      </c>
    </row>
    <row r="81" spans="1:16" x14ac:dyDescent="0.3">
      <c r="A81" t="s">
        <v>198</v>
      </c>
      <c r="B81">
        <v>1.3989341096586727E-2</v>
      </c>
      <c r="C81" s="18">
        <f>Table7[[#This Row],[Teva Adjusted %]]*$C$92</f>
        <v>-875.19062233658826</v>
      </c>
      <c r="D81" s="18">
        <f>Table7[[#This Row],[Teva Adjusted %]]*$D$92</f>
        <v>19883.027491235505</v>
      </c>
      <c r="E81" s="18">
        <f>Table7[[#This Row],[Teva Adjusted %]]*$E$92</f>
        <v>15486.043559511076</v>
      </c>
      <c r="F81" s="18">
        <f>Table7[[#This Row],[Teva Adjusted %]]*$F$92</f>
        <v>15486.043559511076</v>
      </c>
      <c r="G81" s="18">
        <f>Table7[[#This Row],[Teva Adjusted %]]*$G$92</f>
        <v>15486.043559511076</v>
      </c>
      <c r="H81" s="18">
        <f>Table7[[#This Row],[Teva Adjusted %]]*$H$92</f>
        <v>16361.234181847665</v>
      </c>
      <c r="I81" s="18">
        <f>Table7[[#This Row],[Teva Adjusted %]]*$I$92</f>
        <v>16361.234181847665</v>
      </c>
      <c r="J81" s="18">
        <f>Table7[[#This Row],[Teva Adjusted %]]*$J$92</f>
        <v>16361.234181847665</v>
      </c>
      <c r="K81" s="18">
        <f>Table7[[#This Row],[Teva Adjusted %]]*$K$92</f>
        <v>16361.234181847665</v>
      </c>
      <c r="L81" s="18">
        <f>Table7[[#This Row],[Teva Adjusted %]]*$L$92</f>
        <v>16361.234181847665</v>
      </c>
      <c r="M81" s="18">
        <f>Table7[[#This Row],[Teva Adjusted %]]*$M$92</f>
        <v>16361.234181847665</v>
      </c>
      <c r="N81" s="18">
        <f>Table7[[#This Row],[Teva Adjusted %]]*$N$92</f>
        <v>16361.234181847665</v>
      </c>
      <c r="O81" s="18">
        <f>Table7[[#This Row],[Teva Adjusted %]]*$O$92</f>
        <v>16361.234181847665</v>
      </c>
      <c r="P81" s="18">
        <f>SUM(Table7[[#This Row],[Payment 1]:[Payment 13]])</f>
        <v>196355.84100221345</v>
      </c>
    </row>
    <row r="82" spans="1:16" x14ac:dyDescent="0.3">
      <c r="A82" t="s">
        <v>199</v>
      </c>
      <c r="B82">
        <v>2.0785566573142396E-3</v>
      </c>
      <c r="C82" s="18">
        <f>Table7[[#This Row],[Teva Adjusted %]]*$C$92</f>
        <v>-130.03709623754617</v>
      </c>
      <c r="D82" s="18">
        <f>Table7[[#This Row],[Teva Adjusted %]]*$D$92</f>
        <v>2954.2491582790317</v>
      </c>
      <c r="E82" s="18">
        <f>Table7[[#This Row],[Teva Adjusted %]]*$E$92</f>
        <v>2300.9388872456461</v>
      </c>
      <c r="F82" s="18">
        <f>Table7[[#This Row],[Teva Adjusted %]]*$F$92</f>
        <v>2300.9388872456461</v>
      </c>
      <c r="G82" s="18">
        <f>Table7[[#This Row],[Teva Adjusted %]]*$G$92</f>
        <v>2300.9388872456461</v>
      </c>
      <c r="H82" s="18">
        <f>Table7[[#This Row],[Teva Adjusted %]]*$H$92</f>
        <v>2430.9759834831925</v>
      </c>
      <c r="I82" s="18">
        <f>Table7[[#This Row],[Teva Adjusted %]]*$I$92</f>
        <v>2430.9759834831925</v>
      </c>
      <c r="J82" s="18">
        <f>Table7[[#This Row],[Teva Adjusted %]]*$J$92</f>
        <v>2430.9759834831925</v>
      </c>
      <c r="K82" s="18">
        <f>Table7[[#This Row],[Teva Adjusted %]]*$K$92</f>
        <v>2430.9759834831925</v>
      </c>
      <c r="L82" s="18">
        <f>Table7[[#This Row],[Teva Adjusted %]]*$L$92</f>
        <v>2430.9759834831925</v>
      </c>
      <c r="M82" s="18">
        <f>Table7[[#This Row],[Teva Adjusted %]]*$M$92</f>
        <v>2430.9759834831925</v>
      </c>
      <c r="N82" s="18">
        <f>Table7[[#This Row],[Teva Adjusted %]]*$N$92</f>
        <v>2430.9759834831925</v>
      </c>
      <c r="O82" s="18">
        <f>Table7[[#This Row],[Teva Adjusted %]]*$O$92</f>
        <v>2430.9759834831925</v>
      </c>
      <c r="P82" s="18">
        <f>SUM(Table7[[#This Row],[Payment 1]:[Payment 13]])</f>
        <v>29174.836591643965</v>
      </c>
    </row>
    <row r="83" spans="1:16" x14ac:dyDescent="0.3">
      <c r="A83" t="s">
        <v>200</v>
      </c>
      <c r="B83">
        <v>8.3142266292569585E-4</v>
      </c>
      <c r="C83" s="18">
        <f>Table7[[#This Row],[Teva Adjusted %]]*$C$92</f>
        <v>-52.014838495018473</v>
      </c>
      <c r="D83" s="18">
        <f>Table7[[#This Row],[Teva Adjusted %]]*$D$92</f>
        <v>1181.6996633116125</v>
      </c>
      <c r="E83" s="18">
        <f>Table7[[#This Row],[Teva Adjusted %]]*$E$92</f>
        <v>920.37555489825843</v>
      </c>
      <c r="F83" s="18">
        <f>Table7[[#This Row],[Teva Adjusted %]]*$F$92</f>
        <v>920.37555489825843</v>
      </c>
      <c r="G83" s="18">
        <f>Table7[[#This Row],[Teva Adjusted %]]*$G$92</f>
        <v>920.37555489825843</v>
      </c>
      <c r="H83" s="18">
        <f>Table7[[#This Row],[Teva Adjusted %]]*$H$92</f>
        <v>972.39039339327701</v>
      </c>
      <c r="I83" s="18">
        <f>Table7[[#This Row],[Teva Adjusted %]]*$I$92</f>
        <v>972.39039339327701</v>
      </c>
      <c r="J83" s="18">
        <f>Table7[[#This Row],[Teva Adjusted %]]*$J$92</f>
        <v>972.39039339327701</v>
      </c>
      <c r="K83" s="18">
        <f>Table7[[#This Row],[Teva Adjusted %]]*$K$92</f>
        <v>972.39039339327701</v>
      </c>
      <c r="L83" s="18">
        <f>Table7[[#This Row],[Teva Adjusted %]]*$L$92</f>
        <v>972.39039339327701</v>
      </c>
      <c r="M83" s="18">
        <f>Table7[[#This Row],[Teva Adjusted %]]*$M$92</f>
        <v>972.39039339327701</v>
      </c>
      <c r="N83" s="18">
        <f>Table7[[#This Row],[Teva Adjusted %]]*$N$92</f>
        <v>972.39039339327701</v>
      </c>
      <c r="O83" s="18">
        <f>Table7[[#This Row],[Teva Adjusted %]]*$O$92</f>
        <v>972.39039339327701</v>
      </c>
      <c r="P83" s="18">
        <f>SUM(Table7[[#This Row],[Payment 1]:[Payment 13]])</f>
        <v>11669.934636657588</v>
      </c>
    </row>
    <row r="84" spans="1:16" x14ac:dyDescent="0.3">
      <c r="A84" t="s">
        <v>201</v>
      </c>
      <c r="B84">
        <v>2.3699667451665581E-2</v>
      </c>
      <c r="C84" s="18">
        <f>Table7[[#This Row],[Teva Adjusted %]]*$C$92</f>
        <v>-1482.6807469334049</v>
      </c>
      <c r="D84" s="18">
        <f>Table7[[#This Row],[Teva Adjusted %]]*$D$92</f>
        <v>33684.2983683899</v>
      </c>
      <c r="E84" s="18">
        <f>Table7[[#This Row],[Teva Adjusted %]]*$E$92</f>
        <v>26235.265833354235</v>
      </c>
      <c r="F84" s="18">
        <f>Table7[[#This Row],[Teva Adjusted %]]*$F$92</f>
        <v>26235.265833354235</v>
      </c>
      <c r="G84" s="18">
        <f>Table7[[#This Row],[Teva Adjusted %]]*$G$92</f>
        <v>26235.265833354235</v>
      </c>
      <c r="H84" s="18">
        <f>Table7[[#This Row],[Teva Adjusted %]]*$H$92</f>
        <v>27717.946580287644</v>
      </c>
      <c r="I84" s="18">
        <f>Table7[[#This Row],[Teva Adjusted %]]*$I$92</f>
        <v>27717.946580287644</v>
      </c>
      <c r="J84" s="18">
        <f>Table7[[#This Row],[Teva Adjusted %]]*$J$92</f>
        <v>27717.946580287644</v>
      </c>
      <c r="K84" s="18">
        <f>Table7[[#This Row],[Teva Adjusted %]]*$K$92</f>
        <v>27717.946580287644</v>
      </c>
      <c r="L84" s="18">
        <f>Table7[[#This Row],[Teva Adjusted %]]*$L$92</f>
        <v>27717.946580287644</v>
      </c>
      <c r="M84" s="18">
        <f>Table7[[#This Row],[Teva Adjusted %]]*$M$92</f>
        <v>27717.946580287644</v>
      </c>
      <c r="N84" s="18">
        <f>Table7[[#This Row],[Teva Adjusted %]]*$N$92</f>
        <v>27717.946580287644</v>
      </c>
      <c r="O84" s="18">
        <f>Table7[[#This Row],[Teva Adjusted %]]*$O$92</f>
        <v>27717.946580287644</v>
      </c>
      <c r="P84" s="18">
        <f>SUM(Table7[[#This Row],[Payment 1]:[Payment 13]])</f>
        <v>332650.98776382039</v>
      </c>
    </row>
    <row r="85" spans="1:16" x14ac:dyDescent="0.3">
      <c r="A85" t="s">
        <v>202</v>
      </c>
      <c r="B85">
        <v>8.3142266292569585E-4</v>
      </c>
      <c r="C85" s="18">
        <f>Table7[[#This Row],[Teva Adjusted %]]*$C$92</f>
        <v>-52.014838495018473</v>
      </c>
      <c r="D85" s="18">
        <f>Table7[[#This Row],[Teva Adjusted %]]*$D$92</f>
        <v>1181.6996633116125</v>
      </c>
      <c r="E85" s="18">
        <f>Table7[[#This Row],[Teva Adjusted %]]*$E$92</f>
        <v>920.37555489825843</v>
      </c>
      <c r="F85" s="18">
        <f>Table7[[#This Row],[Teva Adjusted %]]*$F$92</f>
        <v>920.37555489825843</v>
      </c>
      <c r="G85" s="18">
        <f>Table7[[#This Row],[Teva Adjusted %]]*$G$92</f>
        <v>920.37555489825843</v>
      </c>
      <c r="H85" s="18">
        <f>Table7[[#This Row],[Teva Adjusted %]]*$H$92</f>
        <v>972.39039339327701</v>
      </c>
      <c r="I85" s="18">
        <f>Table7[[#This Row],[Teva Adjusted %]]*$I$92</f>
        <v>972.39039339327701</v>
      </c>
      <c r="J85" s="18">
        <f>Table7[[#This Row],[Teva Adjusted %]]*$J$92</f>
        <v>972.39039339327701</v>
      </c>
      <c r="K85" s="18">
        <f>Table7[[#This Row],[Teva Adjusted %]]*$K$92</f>
        <v>972.39039339327701</v>
      </c>
      <c r="L85" s="18">
        <f>Table7[[#This Row],[Teva Adjusted %]]*$L$92</f>
        <v>972.39039339327701</v>
      </c>
      <c r="M85" s="18">
        <f>Table7[[#This Row],[Teva Adjusted %]]*$M$92</f>
        <v>972.39039339327701</v>
      </c>
      <c r="N85" s="18">
        <f>Table7[[#This Row],[Teva Adjusted %]]*$N$92</f>
        <v>972.39039339327701</v>
      </c>
      <c r="O85" s="18">
        <f>Table7[[#This Row],[Teva Adjusted %]]*$O$92</f>
        <v>972.39039339327701</v>
      </c>
      <c r="P85" s="18">
        <f>SUM(Table7[[#This Row],[Payment 1]:[Payment 13]])</f>
        <v>11669.934636657588</v>
      </c>
    </row>
    <row r="86" spans="1:16" x14ac:dyDescent="0.3">
      <c r="A86" t="s">
        <v>203</v>
      </c>
      <c r="B86">
        <v>2.962132669033511E-3</v>
      </c>
      <c r="C86" s="18">
        <f>Table7[[#This Row],[Teva Adjusted %]]*$C$92</f>
        <v>-185.31471326319345</v>
      </c>
      <c r="D86" s="18">
        <f>Table7[[#This Row],[Teva Adjusted %]]*$D$92</f>
        <v>4210.0742904503368</v>
      </c>
      <c r="E86" s="18">
        <f>Table7[[#This Row],[Teva Adjusted %]]*$E$92</f>
        <v>3279.0476138219292</v>
      </c>
      <c r="F86" s="18">
        <f>Table7[[#This Row],[Teva Adjusted %]]*$F$92</f>
        <v>3279.0476138219292</v>
      </c>
      <c r="G86" s="18">
        <f>Table7[[#This Row],[Teva Adjusted %]]*$G$92</f>
        <v>3279.0476138219292</v>
      </c>
      <c r="H86" s="18">
        <f>Table7[[#This Row],[Teva Adjusted %]]*$H$92</f>
        <v>3464.3623270851231</v>
      </c>
      <c r="I86" s="18">
        <f>Table7[[#This Row],[Teva Adjusted %]]*$I$92</f>
        <v>3464.3623270851231</v>
      </c>
      <c r="J86" s="18">
        <f>Table7[[#This Row],[Teva Adjusted %]]*$J$92</f>
        <v>3464.3623270851231</v>
      </c>
      <c r="K86" s="18">
        <f>Table7[[#This Row],[Teva Adjusted %]]*$K$92</f>
        <v>3464.3623270851231</v>
      </c>
      <c r="L86" s="18">
        <f>Table7[[#This Row],[Teva Adjusted %]]*$L$92</f>
        <v>3464.3623270851231</v>
      </c>
      <c r="M86" s="18">
        <f>Table7[[#This Row],[Teva Adjusted %]]*$M$92</f>
        <v>3464.3623270851231</v>
      </c>
      <c r="N86" s="18">
        <f>Table7[[#This Row],[Teva Adjusted %]]*$N$92</f>
        <v>3464.3623270851231</v>
      </c>
      <c r="O86" s="18">
        <f>Table7[[#This Row],[Teva Adjusted %]]*$O$92</f>
        <v>3464.3623270851231</v>
      </c>
      <c r="P86" s="18">
        <f>SUM(Table7[[#This Row],[Payment 1]:[Payment 13]])</f>
        <v>41576.80103533392</v>
      </c>
    </row>
    <row r="87" spans="1:16" x14ac:dyDescent="0.3">
      <c r="A87" t="s">
        <v>204</v>
      </c>
      <c r="B87">
        <v>8.3142266292569585E-4</v>
      </c>
      <c r="C87" s="18">
        <f>Table7[[#This Row],[Teva Adjusted %]]*$C$92</f>
        <v>-52.014838495018473</v>
      </c>
      <c r="D87" s="18">
        <f>Table7[[#This Row],[Teva Adjusted %]]*$D$92</f>
        <v>1181.6996633116125</v>
      </c>
      <c r="E87" s="18">
        <f>Table7[[#This Row],[Teva Adjusted %]]*$E$92</f>
        <v>920.37555489825843</v>
      </c>
      <c r="F87" s="18">
        <f>Table7[[#This Row],[Teva Adjusted %]]*$F$92</f>
        <v>920.37555489825843</v>
      </c>
      <c r="G87" s="18">
        <f>Table7[[#This Row],[Teva Adjusted %]]*$G$92</f>
        <v>920.37555489825843</v>
      </c>
      <c r="H87" s="18">
        <f>Table7[[#This Row],[Teva Adjusted %]]*$H$92</f>
        <v>972.39039339327701</v>
      </c>
      <c r="I87" s="18">
        <f>Table7[[#This Row],[Teva Adjusted %]]*$I$92</f>
        <v>972.39039339327701</v>
      </c>
      <c r="J87" s="18">
        <f>Table7[[#This Row],[Teva Adjusted %]]*$J$92</f>
        <v>972.39039339327701</v>
      </c>
      <c r="K87" s="18">
        <f>Table7[[#This Row],[Teva Adjusted %]]*$K$92</f>
        <v>972.39039339327701</v>
      </c>
      <c r="L87" s="18">
        <f>Table7[[#This Row],[Teva Adjusted %]]*$L$92</f>
        <v>972.39039339327701</v>
      </c>
      <c r="M87" s="18">
        <f>Table7[[#This Row],[Teva Adjusted %]]*$M$92</f>
        <v>972.39039339327701</v>
      </c>
      <c r="N87" s="18">
        <f>Table7[[#This Row],[Teva Adjusted %]]*$N$92</f>
        <v>972.39039339327701</v>
      </c>
      <c r="O87" s="18">
        <f>Table7[[#This Row],[Teva Adjusted %]]*$O$92</f>
        <v>972.39039339327701</v>
      </c>
      <c r="P87" s="18">
        <f>SUM(Table7[[#This Row],[Payment 1]:[Payment 13]])</f>
        <v>11669.934636657588</v>
      </c>
    </row>
    <row r="88" spans="1:16" x14ac:dyDescent="0.3">
      <c r="A88" t="s">
        <v>205</v>
      </c>
      <c r="B88">
        <v>8.3142266292569585E-4</v>
      </c>
      <c r="C88" s="18">
        <f>Table7[[#This Row],[Teva Adjusted %]]*$C$92</f>
        <v>-52.014838495018473</v>
      </c>
      <c r="D88" s="18">
        <f>Table7[[#This Row],[Teva Adjusted %]]*$D$92</f>
        <v>1181.6996633116125</v>
      </c>
      <c r="E88" s="18">
        <f>Table7[[#This Row],[Teva Adjusted %]]*$E$92</f>
        <v>920.37555489825843</v>
      </c>
      <c r="F88" s="18">
        <f>Table7[[#This Row],[Teva Adjusted %]]*$F$92</f>
        <v>920.37555489825843</v>
      </c>
      <c r="G88" s="18">
        <f>Table7[[#This Row],[Teva Adjusted %]]*$G$92</f>
        <v>920.37555489825843</v>
      </c>
      <c r="H88" s="18">
        <f>Table7[[#This Row],[Teva Adjusted %]]*$H$92</f>
        <v>972.39039339327701</v>
      </c>
      <c r="I88" s="18">
        <f>Table7[[#This Row],[Teva Adjusted %]]*$I$92</f>
        <v>972.39039339327701</v>
      </c>
      <c r="J88" s="18">
        <f>Table7[[#This Row],[Teva Adjusted %]]*$J$92</f>
        <v>972.39039339327701</v>
      </c>
      <c r="K88" s="18">
        <f>Table7[[#This Row],[Teva Adjusted %]]*$K$92</f>
        <v>972.39039339327701</v>
      </c>
      <c r="L88" s="18">
        <f>Table7[[#This Row],[Teva Adjusted %]]*$L$92</f>
        <v>972.39039339327701</v>
      </c>
      <c r="M88" s="18">
        <f>Table7[[#This Row],[Teva Adjusted %]]*$M$92</f>
        <v>972.39039339327701</v>
      </c>
      <c r="N88" s="18">
        <f>Table7[[#This Row],[Teva Adjusted %]]*$N$92</f>
        <v>972.39039339327701</v>
      </c>
      <c r="O88" s="18">
        <f>Table7[[#This Row],[Teva Adjusted %]]*$O$92</f>
        <v>972.39039339327701</v>
      </c>
      <c r="P88" s="18">
        <f>SUM(Table7[[#This Row],[Payment 1]:[Payment 13]])</f>
        <v>11669.934636657588</v>
      </c>
    </row>
    <row r="89" spans="1:16" x14ac:dyDescent="0.3">
      <c r="A89" t="s">
        <v>206</v>
      </c>
      <c r="B89">
        <v>2.0785566573142396E-3</v>
      </c>
      <c r="C89" s="18">
        <f>Table7[[#This Row],[Teva Adjusted %]]*$C$92</f>
        <v>-130.03709623754617</v>
      </c>
      <c r="D89" s="18">
        <f>Table7[[#This Row],[Teva Adjusted %]]*$D$92</f>
        <v>2954.2491582790317</v>
      </c>
      <c r="E89" s="18">
        <f>Table7[[#This Row],[Teva Adjusted %]]*$E$92</f>
        <v>2300.9388872456461</v>
      </c>
      <c r="F89" s="18">
        <f>Table7[[#This Row],[Teva Adjusted %]]*$F$92</f>
        <v>2300.9388872456461</v>
      </c>
      <c r="G89" s="18">
        <f>Table7[[#This Row],[Teva Adjusted %]]*$G$92</f>
        <v>2300.9388872456461</v>
      </c>
      <c r="H89" s="18">
        <f>Table7[[#This Row],[Teva Adjusted %]]*$H$92</f>
        <v>2430.9759834831925</v>
      </c>
      <c r="I89" s="18">
        <f>Table7[[#This Row],[Teva Adjusted %]]*$I$92</f>
        <v>2430.9759834831925</v>
      </c>
      <c r="J89" s="18">
        <f>Table7[[#This Row],[Teva Adjusted %]]*$J$92</f>
        <v>2430.9759834831925</v>
      </c>
      <c r="K89" s="18">
        <f>Table7[[#This Row],[Teva Adjusted %]]*$K$92</f>
        <v>2430.9759834831925</v>
      </c>
      <c r="L89" s="18">
        <f>Table7[[#This Row],[Teva Adjusted %]]*$L$92</f>
        <v>2430.9759834831925</v>
      </c>
      <c r="M89" s="18">
        <f>Table7[[#This Row],[Teva Adjusted %]]*$M$92</f>
        <v>2430.9759834831925</v>
      </c>
      <c r="N89" s="18">
        <f>Table7[[#This Row],[Teva Adjusted %]]*$N$92</f>
        <v>2430.9759834831925</v>
      </c>
      <c r="O89" s="18">
        <f>Table7[[#This Row],[Teva Adjusted %]]*$O$92</f>
        <v>2430.9759834831925</v>
      </c>
      <c r="P89" s="18">
        <f>SUM(Table7[[#This Row],[Payment 1]:[Payment 13]])</f>
        <v>29174.836591643965</v>
      </c>
    </row>
    <row r="90" spans="1:16" x14ac:dyDescent="0.3">
      <c r="A90" t="s">
        <v>207</v>
      </c>
      <c r="B90">
        <v>3.0500584533214168E-2</v>
      </c>
      <c r="C90" s="18">
        <f>Table7[[#This Row],[Teva Adjusted %]]*$C$92</f>
        <v>-1908.1545996306058</v>
      </c>
      <c r="D90" s="18">
        <f>Table7[[#This Row],[Teva Adjusted %]]*$D$92</f>
        <v>43350.430630404502</v>
      </c>
      <c r="E90" s="18">
        <f>Table7[[#This Row],[Teva Adjusted %]]*$E$92</f>
        <v>33763.804700362154</v>
      </c>
      <c r="F90" s="18">
        <f>Table7[[#This Row],[Teva Adjusted %]]*$F$92</f>
        <v>33763.804700362154</v>
      </c>
      <c r="G90" s="18">
        <f>Table7[[#This Row],[Teva Adjusted %]]*$G$92</f>
        <v>33763.804700362154</v>
      </c>
      <c r="H90" s="18">
        <f>Table7[[#This Row],[Teva Adjusted %]]*$H$92</f>
        <v>35671.959299992763</v>
      </c>
      <c r="I90" s="18">
        <f>Table7[[#This Row],[Teva Adjusted %]]*$I$92</f>
        <v>35671.959299992763</v>
      </c>
      <c r="J90" s="18">
        <f>Table7[[#This Row],[Teva Adjusted %]]*$J$92</f>
        <v>35671.959299992763</v>
      </c>
      <c r="K90" s="18">
        <f>Table7[[#This Row],[Teva Adjusted %]]*$K$92</f>
        <v>35671.959299992763</v>
      </c>
      <c r="L90" s="18">
        <f>Table7[[#This Row],[Teva Adjusted %]]*$L$92</f>
        <v>35671.959299992763</v>
      </c>
      <c r="M90" s="18">
        <f>Table7[[#This Row],[Teva Adjusted %]]*$M$92</f>
        <v>35671.959299992763</v>
      </c>
      <c r="N90" s="18">
        <f>Table7[[#This Row],[Teva Adjusted %]]*$N$92</f>
        <v>35671.959299992763</v>
      </c>
      <c r="O90" s="18">
        <f>Table7[[#This Row],[Teva Adjusted %]]*$O$92</f>
        <v>35671.959299992763</v>
      </c>
      <c r="P90" s="18">
        <f>SUM(Table7[[#This Row],[Payment 1]:[Payment 13]])</f>
        <v>428109.36453180248</v>
      </c>
    </row>
    <row r="92" spans="1:16" x14ac:dyDescent="0.3">
      <c r="A92" t="s">
        <v>6</v>
      </c>
      <c r="C92" s="7">
        <f>'Teva Allergan Lit Breakdown'!E2</f>
        <v>-62561.246901766295</v>
      </c>
      <c r="D92" s="7">
        <f>'Teva Allergan Lit Breakdown'!E3</f>
        <v>1421298.3552232338</v>
      </c>
      <c r="E92" s="7">
        <f>'Teva Allergan Lit Breakdown'!E4</f>
        <v>1106988.7747100205</v>
      </c>
      <c r="F92" s="7">
        <f>'Teva Allergan Lit Breakdown'!E5</f>
        <v>1106988.7747100205</v>
      </c>
      <c r="G92" s="7">
        <f>'Teva Allergan Lit Breakdown'!E6</f>
        <v>1106988.7747100205</v>
      </c>
      <c r="H92" s="7">
        <f>'Teva Allergan Lit Breakdown'!E7</f>
        <v>1169550.0216117869</v>
      </c>
      <c r="I92" s="7">
        <f>'Teva Allergan Lit Breakdown'!E8</f>
        <v>1169550.0216117869</v>
      </c>
      <c r="J92" s="7">
        <f>'Teva Allergan Lit Breakdown'!E9</f>
        <v>1169550.0216117869</v>
      </c>
      <c r="K92" s="7">
        <f>'Teva Allergan Lit Breakdown'!E10</f>
        <v>1169550.0216117869</v>
      </c>
      <c r="L92" s="7">
        <f>'Teva Allergan Lit Breakdown'!E11</f>
        <v>1169550.0216117869</v>
      </c>
      <c r="M92" s="7">
        <f>'Teva Allergan Lit Breakdown'!E12</f>
        <v>1169550.0216117869</v>
      </c>
      <c r="N92" s="7">
        <f>'Teva Allergan Lit Breakdown'!E13</f>
        <v>1169550.0216117869</v>
      </c>
      <c r="O92" s="7">
        <f>'Teva Allergan Lit Breakdown'!E14</f>
        <v>1169550.0216117869</v>
      </c>
      <c r="P92" s="7">
        <f>SUM(C92:O92)</f>
        <v>14036103.605345828</v>
      </c>
    </row>
    <row r="94" spans="1:16" x14ac:dyDescent="0.3">
      <c r="A94" t="s">
        <v>214</v>
      </c>
      <c r="B94" t="s">
        <v>215</v>
      </c>
      <c r="C94" t="s">
        <v>93</v>
      </c>
      <c r="D94" t="s">
        <v>94</v>
      </c>
      <c r="E94" t="s">
        <v>95</v>
      </c>
      <c r="F94" t="s">
        <v>96</v>
      </c>
      <c r="G94" t="s">
        <v>97</v>
      </c>
      <c r="H94" t="s">
        <v>98</v>
      </c>
      <c r="I94" t="s">
        <v>99</v>
      </c>
      <c r="J94" t="s">
        <v>100</v>
      </c>
      <c r="K94" t="s">
        <v>101</v>
      </c>
      <c r="L94" t="s">
        <v>102</v>
      </c>
      <c r="M94" t="s">
        <v>103</v>
      </c>
      <c r="N94" t="s">
        <v>104</v>
      </c>
      <c r="O94" t="s">
        <v>105</v>
      </c>
      <c r="P94" t="s">
        <v>6</v>
      </c>
    </row>
    <row r="95" spans="1:16" x14ac:dyDescent="0.3">
      <c r="A95" t="s">
        <v>76</v>
      </c>
      <c r="B95">
        <v>0.7</v>
      </c>
      <c r="C95" s="7">
        <f>Table8[[#This Row],[Bellwether Percent]]*$C$99</f>
        <v>-14597.624277078801</v>
      </c>
      <c r="D95" s="7">
        <f>Table8[[#This Row],[Bellwether Percent]]*$D$99</f>
        <v>331636.28288542118</v>
      </c>
      <c r="E95" s="7">
        <f>Table8[[#This Row],[Bellwether Percent]]*$E$99</f>
        <v>258297.38076567146</v>
      </c>
      <c r="F95" s="7">
        <f>Table8[[#This Row],[Bellwether Percent]]*$F$99</f>
        <v>258297.38076567146</v>
      </c>
      <c r="G95" s="7">
        <f>Table8[[#This Row],[Bellwether Percent]]*$G$99</f>
        <v>258297.38076567146</v>
      </c>
      <c r="H95" s="7">
        <f>Table8[[#This Row],[Bellwether Percent]]*$H$99</f>
        <v>272895.00504275027</v>
      </c>
      <c r="I95" s="7">
        <f>Table8[[#This Row],[Bellwether Percent]]*$I$99</f>
        <v>272895.00504275027</v>
      </c>
      <c r="J95" s="7">
        <f>Table8[[#This Row],[Bellwether Percent]]*$J$99</f>
        <v>272895.00504275027</v>
      </c>
      <c r="K95" s="7">
        <f>Table8[[#This Row],[Bellwether Percent]]*$K$99</f>
        <v>272895.00504275027</v>
      </c>
      <c r="L95" s="7">
        <f>Table8[[#This Row],[Bellwether Percent]]*$L$99</f>
        <v>272895.00504275027</v>
      </c>
      <c r="M95" s="7">
        <f>Table8[[#This Row],[Bellwether Percent]]*$M$99</f>
        <v>272895.00504275027</v>
      </c>
      <c r="N95" s="7">
        <f>Table8[[#This Row],[Bellwether Percent]]*$N$99</f>
        <v>272895.00504275027</v>
      </c>
      <c r="O95" s="7">
        <f>Table8[[#This Row],[Bellwether Percent]]*$O$99</f>
        <v>272895.00504275027</v>
      </c>
      <c r="P95" s="7">
        <f>SUM(Table8[[#This Row],[Payment 1]:[Payment 13]])</f>
        <v>3275090.8412473598</v>
      </c>
    </row>
    <row r="96" spans="1:16" x14ac:dyDescent="0.3">
      <c r="A96" t="s">
        <v>48</v>
      </c>
      <c r="B96">
        <v>0.25</v>
      </c>
      <c r="C96" s="7">
        <f>Table8[[#This Row],[Bellwether Percent]]*$C$99</f>
        <v>-5213.4372418138582</v>
      </c>
      <c r="D96" s="7">
        <f>Table8[[#This Row],[Bellwether Percent]]*$D$99</f>
        <v>118441.52960193614</v>
      </c>
      <c r="E96" s="7">
        <f>Table8[[#This Row],[Bellwether Percent]]*$E$99</f>
        <v>92249.064559168386</v>
      </c>
      <c r="F96" s="7">
        <f>Table8[[#This Row],[Bellwether Percent]]*$F$99</f>
        <v>92249.064559168386</v>
      </c>
      <c r="G96" s="7">
        <f>Table8[[#This Row],[Bellwether Percent]]*$G$99</f>
        <v>92249.064559168386</v>
      </c>
      <c r="H96" s="7">
        <f>Table8[[#This Row],[Bellwether Percent]]*$H$99</f>
        <v>97462.501800982252</v>
      </c>
      <c r="I96" s="7">
        <f>Table8[[#This Row],[Bellwether Percent]]*$I$99</f>
        <v>97462.501800982238</v>
      </c>
      <c r="J96" s="7">
        <f>Table8[[#This Row],[Bellwether Percent]]*$J$99</f>
        <v>97462.501800982238</v>
      </c>
      <c r="K96" s="7">
        <f>Table8[[#This Row],[Bellwether Percent]]*$K$99</f>
        <v>97462.501800982238</v>
      </c>
      <c r="L96" s="7">
        <f>Table8[[#This Row],[Bellwether Percent]]*$L$99</f>
        <v>97462.501800982238</v>
      </c>
      <c r="M96" s="7">
        <f>Table8[[#This Row],[Bellwether Percent]]*$M$99</f>
        <v>97462.501800982252</v>
      </c>
      <c r="N96" s="7">
        <f>Table8[[#This Row],[Bellwether Percent]]*$N$99</f>
        <v>97462.501800982252</v>
      </c>
      <c r="O96" s="7">
        <f>Table8[[#This Row],[Bellwether Percent]]*$O$99</f>
        <v>97462.501800982252</v>
      </c>
      <c r="P96" s="7">
        <f>SUM(Table8[[#This Row],[Payment 1]:[Payment 13]])</f>
        <v>1169675.3004454856</v>
      </c>
    </row>
    <row r="97" spans="1:16" x14ac:dyDescent="0.3">
      <c r="A97" t="s">
        <v>38</v>
      </c>
      <c r="B97">
        <v>0.05</v>
      </c>
      <c r="C97" s="7">
        <f>Table8[[#This Row],[Bellwether Percent]]*$C$99</f>
        <v>-1042.6874483627716</v>
      </c>
      <c r="D97" s="7">
        <f>Table8[[#This Row],[Bellwether Percent]]*$D$99</f>
        <v>23688.305920387229</v>
      </c>
      <c r="E97" s="7">
        <f>Table8[[#This Row],[Bellwether Percent]]*$E$99</f>
        <v>18449.812911833676</v>
      </c>
      <c r="F97" s="7">
        <f>Table8[[#This Row],[Bellwether Percent]]*$F$99</f>
        <v>18449.812911833676</v>
      </c>
      <c r="G97" s="7">
        <f>Table8[[#This Row],[Bellwether Percent]]*$G$99</f>
        <v>18449.812911833676</v>
      </c>
      <c r="H97" s="7">
        <f>Table8[[#This Row],[Bellwether Percent]]*$H$99</f>
        <v>19492.500360196453</v>
      </c>
      <c r="I97" s="7">
        <f>Table8[[#This Row],[Bellwether Percent]]*$I$99</f>
        <v>19492.500360196449</v>
      </c>
      <c r="J97" s="7">
        <f>Table8[[#This Row],[Bellwether Percent]]*$J$99</f>
        <v>19492.500360196449</v>
      </c>
      <c r="K97" s="7">
        <f>Table8[[#This Row],[Bellwether Percent]]*$K$99</f>
        <v>19492.500360196449</v>
      </c>
      <c r="L97" s="7">
        <f>Table8[[#This Row],[Bellwether Percent]]*$L$99</f>
        <v>19492.500360196449</v>
      </c>
      <c r="M97" s="7">
        <f>Table8[[#This Row],[Bellwether Percent]]*$M$99</f>
        <v>19492.500360196453</v>
      </c>
      <c r="N97" s="7">
        <f>Table8[[#This Row],[Bellwether Percent]]*$N$99</f>
        <v>19492.500360196453</v>
      </c>
      <c r="O97" s="7">
        <f>Table8[[#This Row],[Bellwether Percent]]*$O$99</f>
        <v>19492.500360196453</v>
      </c>
      <c r="P97" s="7">
        <f>SUM(Table8[[#This Row],[Payment 1]:[Payment 13]])</f>
        <v>233935.06008909713</v>
      </c>
    </row>
    <row r="99" spans="1:16" x14ac:dyDescent="0.3">
      <c r="A99" t="s">
        <v>6</v>
      </c>
      <c r="C99" s="7">
        <f>'Teva Allergan Lit Breakdown'!D2</f>
        <v>-20853.748967255433</v>
      </c>
      <c r="D99" s="7">
        <f>'Teva Allergan Lit Breakdown'!D3</f>
        <v>473766.11840774457</v>
      </c>
      <c r="E99" s="7">
        <f>'Teva Allergan Lit Breakdown'!D4</f>
        <v>368996.25823667354</v>
      </c>
      <c r="F99" s="7">
        <f>'Teva Allergan Lit Breakdown'!D5</f>
        <v>368996.25823667354</v>
      </c>
      <c r="G99" s="7">
        <f>'Teva Allergan Lit Breakdown'!D6</f>
        <v>368996.25823667354</v>
      </c>
      <c r="H99" s="7">
        <f>'Teva Allergan Lit Breakdown'!D7</f>
        <v>389850.00720392901</v>
      </c>
      <c r="I99" s="7">
        <f>'Teva Allergan Lit Breakdown'!D8</f>
        <v>389850.00720392895</v>
      </c>
      <c r="J99" s="7">
        <f>'Teva Allergan Lit Breakdown'!D9</f>
        <v>389850.00720392895</v>
      </c>
      <c r="K99" s="7">
        <f>'Teva Allergan Lit Breakdown'!D10</f>
        <v>389850.00720392895</v>
      </c>
      <c r="L99" s="7">
        <f>'Teva Allergan Lit Breakdown'!D11</f>
        <v>389850.00720392895</v>
      </c>
      <c r="M99" s="7">
        <f>'Teva Allergan Lit Breakdown'!D12</f>
        <v>389850.00720392901</v>
      </c>
      <c r="N99" s="7">
        <f>'Teva Allergan Lit Breakdown'!D13</f>
        <v>389850.00720392901</v>
      </c>
      <c r="O99" s="7">
        <f>'Teva Allergan Lit Breakdown'!D14</f>
        <v>389850.00720392901</v>
      </c>
      <c r="P99" s="7">
        <f>SUM(C99:O99)</f>
        <v>4678701.2017819425</v>
      </c>
    </row>
  </sheetData>
  <pageMargins left="0.7" right="0.7" top="0.75" bottom="0.75" header="0.3" footer="0.3"/>
  <customProperties>
    <customPr name="OrphanNamesChecked" r:id="rId1"/>
  </customProperties>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8"/>
  <sheetViews>
    <sheetView topLeftCell="A79" workbookViewId="0">
      <selection activeCell="F14" sqref="F14"/>
    </sheetView>
  </sheetViews>
  <sheetFormatPr defaultRowHeight="14.4" x14ac:dyDescent="0.3"/>
  <cols>
    <col min="1" max="1" width="32.5546875" customWidth="1"/>
    <col min="2" max="2" width="28.5546875" customWidth="1"/>
    <col min="3" max="9" width="15.6640625" customWidth="1"/>
    <col min="10" max="10" width="17.88671875" customWidth="1"/>
  </cols>
  <sheetData>
    <row r="1" spans="1:10" x14ac:dyDescent="0.3">
      <c r="A1" t="s">
        <v>117</v>
      </c>
      <c r="B1" t="s">
        <v>216</v>
      </c>
      <c r="C1" t="s">
        <v>93</v>
      </c>
      <c r="D1" t="s">
        <v>94</v>
      </c>
      <c r="E1" t="s">
        <v>95</v>
      </c>
      <c r="F1" t="s">
        <v>96</v>
      </c>
      <c r="G1" t="s">
        <v>97</v>
      </c>
      <c r="H1" t="s">
        <v>98</v>
      </c>
      <c r="I1" t="s">
        <v>99</v>
      </c>
      <c r="J1" t="s">
        <v>6</v>
      </c>
    </row>
    <row r="2" spans="1:10" x14ac:dyDescent="0.3">
      <c r="A2" t="s">
        <v>119</v>
      </c>
      <c r="B2">
        <v>8.3922998723029944E-3</v>
      </c>
      <c r="C2" s="18">
        <f>Table9[[#This Row],[Allergan Adjusted %]]*$C$84</f>
        <v>-409.06895209730078</v>
      </c>
      <c r="D2" s="18">
        <f>Table9[[#This Row],[Allergan Adjusted %]]*$D$84</f>
        <v>12786.884375738784</v>
      </c>
      <c r="E2" s="18">
        <f>Table9[[#This Row],[Allergan Adjusted %]]*$E$84</f>
        <v>10725.105772470437</v>
      </c>
      <c r="F2" s="18">
        <f>Table9[[#This Row],[Allergan Adjusted %]]*$F$84</f>
        <v>10725.105772903627</v>
      </c>
      <c r="G2" s="18">
        <f>Table9[[#This Row],[Allergan Adjusted %]]*$G$84</f>
        <v>10725.105772903627</v>
      </c>
      <c r="H2" s="18">
        <f>Table9[[#This Row],[Allergan Adjusted %]]*$H$84</f>
        <v>11134.174725000928</v>
      </c>
      <c r="I2" s="18">
        <f>Table9[[#This Row],[Allergan Adjusted %]]*$I$84</f>
        <v>11134.174725000928</v>
      </c>
      <c r="J2" s="18">
        <f>SUM(Table9[[#This Row],[Payment 1]:[Payment 7]])</f>
        <v>66821.482191921037</v>
      </c>
    </row>
    <row r="3" spans="1:10" x14ac:dyDescent="0.3">
      <c r="A3" t="s">
        <v>120</v>
      </c>
      <c r="B3">
        <v>8.3142266292569617E-4</v>
      </c>
      <c r="C3" s="18">
        <f>Table9[[#This Row],[Allergan Adjusted %]]*$C$84</f>
        <v>-40.526339936376694</v>
      </c>
      <c r="D3" s="18">
        <f>Table9[[#This Row],[Allergan Adjusted %]]*$D$84</f>
        <v>1266.7928482019674</v>
      </c>
      <c r="E3" s="18">
        <f>Table9[[#This Row],[Allergan Adjusted %]]*$E$84</f>
        <v>1062.533052582655</v>
      </c>
      <c r="F3" s="18">
        <f>Table9[[#This Row],[Allergan Adjusted %]]*$F$84</f>
        <v>1062.5330526255711</v>
      </c>
      <c r="G3" s="18">
        <f>Table9[[#This Row],[Allergan Adjusted %]]*$G$84</f>
        <v>1062.5330526255711</v>
      </c>
      <c r="H3" s="18">
        <f>Table9[[#This Row],[Allergan Adjusted %]]*$H$84</f>
        <v>1103.0593925619478</v>
      </c>
      <c r="I3" s="18">
        <f>Table9[[#This Row],[Allergan Adjusted %]]*$I$84</f>
        <v>1103.0593925619478</v>
      </c>
      <c r="J3" s="18">
        <f>SUM(Table9[[#This Row],[Payment 1]:[Payment 7]])</f>
        <v>6619.9844512232839</v>
      </c>
    </row>
    <row r="4" spans="1:10" x14ac:dyDescent="0.3">
      <c r="A4" t="s">
        <v>122</v>
      </c>
      <c r="B4">
        <v>1.0169558385298023E-2</v>
      </c>
      <c r="C4" s="18">
        <f>Table9[[#This Row],[Allergan Adjusted %]]*$C$84</f>
        <v>-495.69851593310494</v>
      </c>
      <c r="D4" s="18">
        <f>Table9[[#This Row],[Allergan Adjusted %]]*$D$84</f>
        <v>15494.795134083573</v>
      </c>
      <c r="E4" s="18">
        <f>Table9[[#This Row],[Allergan Adjusted %]]*$E$84</f>
        <v>12996.388475296981</v>
      </c>
      <c r="F4" s="18">
        <f>Table9[[#This Row],[Allergan Adjusted %]]*$F$84</f>
        <v>12996.38847582191</v>
      </c>
      <c r="G4" s="18">
        <f>Table9[[#This Row],[Allergan Adjusted %]]*$G$84</f>
        <v>12996.38847582191</v>
      </c>
      <c r="H4" s="18">
        <f>Table9[[#This Row],[Allergan Adjusted %]]*$H$84</f>
        <v>13492.086991755015</v>
      </c>
      <c r="I4" s="18">
        <f>Table9[[#This Row],[Allergan Adjusted %]]*$I$84</f>
        <v>13492.086991755015</v>
      </c>
      <c r="J4" s="18">
        <f>SUM(Table9[[#This Row],[Payment 1]:[Payment 7]])</f>
        <v>80972.436028601296</v>
      </c>
    </row>
    <row r="5" spans="1:10" x14ac:dyDescent="0.3">
      <c r="A5" t="s">
        <v>123</v>
      </c>
      <c r="B5">
        <v>5.2977544489122945E-3</v>
      </c>
      <c r="C5" s="18">
        <f>Table9[[#This Row],[Allergan Adjusted %]]*$C$84</f>
        <v>-258.23038903049377</v>
      </c>
      <c r="D5" s="18">
        <f>Table9[[#This Row],[Allergan Adjusted %]]*$D$84</f>
        <v>8071.8962167765967</v>
      </c>
      <c r="E5" s="18">
        <f>Table9[[#This Row],[Allergan Adjusted %]]*$E$84</f>
        <v>6770.3701828719404</v>
      </c>
      <c r="F5" s="18">
        <f>Table9[[#This Row],[Allergan Adjusted %]]*$F$84</f>
        <v>6770.3701831453982</v>
      </c>
      <c r="G5" s="18">
        <f>Table9[[#This Row],[Allergan Adjusted %]]*$G$84</f>
        <v>6770.3701831453982</v>
      </c>
      <c r="H5" s="18">
        <f>Table9[[#This Row],[Allergan Adjusted %]]*$H$84</f>
        <v>7028.6005721758929</v>
      </c>
      <c r="I5" s="18">
        <f>Table9[[#This Row],[Allergan Adjusted %]]*$I$84</f>
        <v>7028.6005721758929</v>
      </c>
      <c r="J5" s="18">
        <f>SUM(Table9[[#This Row],[Payment 1]:[Payment 7]])</f>
        <v>42181.977521260626</v>
      </c>
    </row>
    <row r="6" spans="1:10" x14ac:dyDescent="0.3">
      <c r="A6" t="s">
        <v>124</v>
      </c>
      <c r="B6">
        <v>1.3593486143930284E-2</v>
      </c>
      <c r="C6" s="18">
        <f>Table9[[#This Row],[Allergan Adjusted %]]*$C$84</f>
        <v>-662.59228302822703</v>
      </c>
      <c r="D6" s="18">
        <f>Table9[[#This Row],[Allergan Adjusted %]]*$D$84</f>
        <v>20711.644987721942</v>
      </c>
      <c r="E6" s="18">
        <f>Table9[[#This Row],[Allergan Adjusted %]]*$E$84</f>
        <v>17372.064741325292</v>
      </c>
      <c r="F6" s="18">
        <f>Table9[[#This Row],[Allergan Adjusted %]]*$F$84</f>
        <v>17372.064742026956</v>
      </c>
      <c r="G6" s="18">
        <f>Table9[[#This Row],[Allergan Adjusted %]]*$G$84</f>
        <v>17372.064742026956</v>
      </c>
      <c r="H6" s="18">
        <f>Table9[[#This Row],[Allergan Adjusted %]]*$H$84</f>
        <v>18034.657025055185</v>
      </c>
      <c r="I6" s="18">
        <f>Table9[[#This Row],[Allergan Adjusted %]]*$I$84</f>
        <v>18034.657025055185</v>
      </c>
      <c r="J6" s="18">
        <f>SUM(Table9[[#This Row],[Payment 1]:[Payment 7]])</f>
        <v>108234.56098018329</v>
      </c>
    </row>
    <row r="7" spans="1:10" x14ac:dyDescent="0.3">
      <c r="A7" t="s">
        <v>125</v>
      </c>
      <c r="B7">
        <v>3.8447064189862448E-3</v>
      </c>
      <c r="C7" s="18">
        <f>Table9[[#This Row],[Allergan Adjusted %]]*$C$84</f>
        <v>-187.4039357348272</v>
      </c>
      <c r="D7" s="18">
        <f>Table9[[#This Row],[Allergan Adjusted %]]*$D$84</f>
        <v>5857.9670872445795</v>
      </c>
      <c r="E7" s="18">
        <f>Table9[[#This Row],[Allergan Adjusted %]]*$E$84</f>
        <v>4913.4186855989856</v>
      </c>
      <c r="F7" s="18">
        <f>Table9[[#This Row],[Allergan Adjusted %]]*$F$84</f>
        <v>4913.418685797441</v>
      </c>
      <c r="G7" s="18">
        <f>Table9[[#This Row],[Allergan Adjusted %]]*$G$84</f>
        <v>4913.418685797441</v>
      </c>
      <c r="H7" s="18">
        <f>Table9[[#This Row],[Allergan Adjusted %]]*$H$84</f>
        <v>5100.8226215322684</v>
      </c>
      <c r="I7" s="18">
        <f>Table9[[#This Row],[Allergan Adjusted %]]*$I$84</f>
        <v>5100.8226215322684</v>
      </c>
      <c r="J7" s="18">
        <f>SUM(Table9[[#This Row],[Payment 1]:[Payment 7]])</f>
        <v>30612.464451768159</v>
      </c>
    </row>
    <row r="8" spans="1:10" x14ac:dyDescent="0.3">
      <c r="A8" t="s">
        <v>126</v>
      </c>
      <c r="B8">
        <v>5.026959501563304E-3</v>
      </c>
      <c r="C8" s="18">
        <f>Table9[[#This Row],[Allergan Adjusted %]]*$C$84</f>
        <v>-245.03093154794112</v>
      </c>
      <c r="D8" s="18">
        <f>Table9[[#This Row],[Allergan Adjusted %]]*$D$84</f>
        <v>7659.3008932093981</v>
      </c>
      <c r="E8" s="18">
        <f>Table9[[#This Row],[Allergan Adjusted %]]*$E$84</f>
        <v>6424.3024187119008</v>
      </c>
      <c r="F8" s="18">
        <f>Table9[[#This Row],[Allergan Adjusted %]]*$F$84</f>
        <v>6424.3024189713806</v>
      </c>
      <c r="G8" s="18">
        <f>Table9[[#This Row],[Allergan Adjusted %]]*$G$84</f>
        <v>6424.3024189713806</v>
      </c>
      <c r="H8" s="18">
        <f>Table9[[#This Row],[Allergan Adjusted %]]*$H$84</f>
        <v>6669.3333505193223</v>
      </c>
      <c r="I8" s="18">
        <f>Table9[[#This Row],[Allergan Adjusted %]]*$I$84</f>
        <v>6669.3333505193223</v>
      </c>
      <c r="J8" s="18">
        <f>SUM(Table9[[#This Row],[Payment 1]:[Payment 7]])</f>
        <v>40025.84391935476</v>
      </c>
    </row>
    <row r="9" spans="1:10" x14ac:dyDescent="0.3">
      <c r="A9" t="s">
        <v>127</v>
      </c>
      <c r="B9">
        <v>4.845944675522797E-3</v>
      </c>
      <c r="C9" s="18">
        <f>Table9[[#This Row],[Allergan Adjusted %]]*$C$84</f>
        <v>-236.20765946172273</v>
      </c>
      <c r="D9" s="18">
        <f>Table9[[#This Row],[Allergan Adjusted %]]*$D$84</f>
        <v>7383.4985879899041</v>
      </c>
      <c r="E9" s="18">
        <f>Table9[[#This Row],[Allergan Adjusted %]]*$E$84</f>
        <v>6192.9709380438944</v>
      </c>
      <c r="F9" s="18">
        <f>Table9[[#This Row],[Allergan Adjusted %]]*$F$84</f>
        <v>6192.97093829403</v>
      </c>
      <c r="G9" s="18">
        <f>Table9[[#This Row],[Allergan Adjusted %]]*$G$84</f>
        <v>6192.97093829403</v>
      </c>
      <c r="H9" s="18">
        <f>Table9[[#This Row],[Allergan Adjusted %]]*$H$84</f>
        <v>6429.1785977557538</v>
      </c>
      <c r="I9" s="18">
        <f>Table9[[#This Row],[Allergan Adjusted %]]*$I$84</f>
        <v>6429.1785977557538</v>
      </c>
      <c r="J9" s="18">
        <f>SUM(Table9[[#This Row],[Payment 1]:[Payment 7]])</f>
        <v>38584.560938671646</v>
      </c>
    </row>
    <row r="10" spans="1:10" x14ac:dyDescent="0.3">
      <c r="A10" t="s">
        <v>128</v>
      </c>
      <c r="B10">
        <v>4.3872660359665847E-3</v>
      </c>
      <c r="C10" s="18">
        <f>Table9[[#This Row],[Allergan Adjusted %]]*$C$84</f>
        <v>-213.85011822896575</v>
      </c>
      <c r="D10" s="18">
        <f>Table9[[#This Row],[Allergan Adjusted %]]*$D$84</f>
        <v>6684.635246728365</v>
      </c>
      <c r="E10" s="18">
        <f>Table9[[#This Row],[Allergan Adjusted %]]*$E$84</f>
        <v>5606.7934897083578</v>
      </c>
      <c r="F10" s="18">
        <f>Table9[[#This Row],[Allergan Adjusted %]]*$F$84</f>
        <v>5606.7934899348174</v>
      </c>
      <c r="G10" s="18">
        <f>Table9[[#This Row],[Allergan Adjusted %]]*$G$84</f>
        <v>5606.7934899348174</v>
      </c>
      <c r="H10" s="18">
        <f>Table9[[#This Row],[Allergan Adjusted %]]*$H$84</f>
        <v>5820.6436081637839</v>
      </c>
      <c r="I10" s="18">
        <f>Table9[[#This Row],[Allergan Adjusted %]]*$I$84</f>
        <v>5820.6436081637839</v>
      </c>
      <c r="J10" s="18">
        <f>SUM(Table9[[#This Row],[Payment 1]:[Payment 7]])</f>
        <v>34932.452814404962</v>
      </c>
    </row>
    <row r="11" spans="1:10" x14ac:dyDescent="0.3">
      <c r="A11" t="s">
        <v>129</v>
      </c>
      <c r="B11">
        <v>5.2246858749364793E-2</v>
      </c>
      <c r="C11" s="18">
        <f>Table9[[#This Row],[Allergan Adjusted %]]*$C$84</f>
        <v>-2546.6878071783362</v>
      </c>
      <c r="D11" s="18">
        <f>Table9[[#This Row],[Allergan Adjusted %]]*$D$84</f>
        <v>79605.65661250049</v>
      </c>
      <c r="E11" s="18">
        <f>Table9[[#This Row],[Allergan Adjusted %]]*$E$84</f>
        <v>66769.907521487214</v>
      </c>
      <c r="F11" s="18">
        <f>Table9[[#This Row],[Allergan Adjusted %]]*$F$84</f>
        <v>66769.907524184076</v>
      </c>
      <c r="G11" s="18">
        <f>Table9[[#This Row],[Allergan Adjusted %]]*$G$84</f>
        <v>66769.907524184076</v>
      </c>
      <c r="H11" s="18">
        <f>Table9[[#This Row],[Allergan Adjusted %]]*$H$84</f>
        <v>69316.59533136242</v>
      </c>
      <c r="I11" s="18">
        <f>Table9[[#This Row],[Allergan Adjusted %]]*$I$84</f>
        <v>69316.59533136242</v>
      </c>
      <c r="J11" s="18">
        <f>SUM(Table9[[#This Row],[Payment 1]:[Payment 7]])</f>
        <v>416001.88203790237</v>
      </c>
    </row>
    <row r="12" spans="1:10" x14ac:dyDescent="0.3">
      <c r="A12" t="s">
        <v>130</v>
      </c>
      <c r="B12">
        <v>1.0785897705927909E-2</v>
      </c>
      <c r="C12" s="18">
        <f>Table9[[#This Row],[Allergan Adjusted %]]*$C$84</f>
        <v>-525.740969594528</v>
      </c>
      <c r="D12" s="18">
        <f>Table9[[#This Row],[Allergan Adjusted %]]*$D$84</f>
        <v>16433.877358150126</v>
      </c>
      <c r="E12" s="18">
        <f>Table9[[#This Row],[Allergan Adjusted %]]*$E$84</f>
        <v>13784.051512375054</v>
      </c>
      <c r="F12" s="18">
        <f>Table9[[#This Row],[Allergan Adjusted %]]*$F$84</f>
        <v>13784.051512931796</v>
      </c>
      <c r="G12" s="18">
        <f>Table9[[#This Row],[Allergan Adjusted %]]*$G$84</f>
        <v>13784.051512931796</v>
      </c>
      <c r="H12" s="18">
        <f>Table9[[#This Row],[Allergan Adjusted %]]*$H$84</f>
        <v>14309.792482526325</v>
      </c>
      <c r="I12" s="18">
        <f>Table9[[#This Row],[Allergan Adjusted %]]*$I$84</f>
        <v>14309.792482526325</v>
      </c>
      <c r="J12" s="18">
        <f>SUM(Table9[[#This Row],[Payment 1]:[Payment 7]])</f>
        <v>85879.875891846896</v>
      </c>
    </row>
    <row r="13" spans="1:10" x14ac:dyDescent="0.3">
      <c r="A13" t="s">
        <v>131</v>
      </c>
      <c r="B13">
        <v>5.2323790050432008E-3</v>
      </c>
      <c r="C13" s="18">
        <f>Table9[[#This Row],[Allergan Adjusted %]]*$C$84</f>
        <v>-255.04376978149793</v>
      </c>
      <c r="D13" s="18">
        <f>Table9[[#This Row],[Allergan Adjusted %]]*$D$84</f>
        <v>7972.2872592218773</v>
      </c>
      <c r="E13" s="18">
        <f>Table9[[#This Row],[Allergan Adjusted %]]*$E$84</f>
        <v>6686.8223400771112</v>
      </c>
      <c r="F13" s="18">
        <f>Table9[[#This Row],[Allergan Adjusted %]]*$F$84</f>
        <v>6686.8223403471948</v>
      </c>
      <c r="G13" s="18">
        <f>Table9[[#This Row],[Allergan Adjusted %]]*$G$84</f>
        <v>6686.8223403471948</v>
      </c>
      <c r="H13" s="18">
        <f>Table9[[#This Row],[Allergan Adjusted %]]*$H$84</f>
        <v>6941.8661101286934</v>
      </c>
      <c r="I13" s="18">
        <f>Table9[[#This Row],[Allergan Adjusted %]]*$I$84</f>
        <v>6941.8661101286934</v>
      </c>
      <c r="J13" s="18">
        <f>SUM(Table9[[#This Row],[Payment 1]:[Payment 7]])</f>
        <v>41661.442730469265</v>
      </c>
    </row>
    <row r="14" spans="1:10" x14ac:dyDescent="0.3">
      <c r="A14" t="s">
        <v>132</v>
      </c>
      <c r="B14">
        <v>4.3186016173564878E-2</v>
      </c>
      <c r="C14" s="18">
        <f>Table9[[#This Row],[Allergan Adjusted %]]*$C$84</f>
        <v>-2105.0318327733194</v>
      </c>
      <c r="D14" s="18">
        <f>Table9[[#This Row],[Allergan Adjusted %]]*$D$84</f>
        <v>65800.150597886328</v>
      </c>
      <c r="E14" s="18">
        <f>Table9[[#This Row],[Allergan Adjusted %]]*$E$84</f>
        <v>55190.424365281775</v>
      </c>
      <c r="F14" s="18">
        <f>Table9[[#This Row],[Allergan Adjusted %]]*$F$84</f>
        <v>55190.424367510939</v>
      </c>
      <c r="G14" s="18">
        <f>Table9[[#This Row],[Allergan Adjusted %]]*$G$84</f>
        <v>55190.424367510939</v>
      </c>
      <c r="H14" s="18">
        <f>Table9[[#This Row],[Allergan Adjusted %]]*$H$84</f>
        <v>57295.456200284258</v>
      </c>
      <c r="I14" s="18">
        <f>Table9[[#This Row],[Allergan Adjusted %]]*$I$84</f>
        <v>57295.456200284258</v>
      </c>
      <c r="J14" s="18">
        <f>SUM(Table9[[#This Row],[Payment 1]:[Payment 7]])</f>
        <v>343857.30426598515</v>
      </c>
    </row>
    <row r="15" spans="1:10" x14ac:dyDescent="0.3">
      <c r="A15" t="s">
        <v>133</v>
      </c>
      <c r="B15">
        <v>3.0094522931136207E-3</v>
      </c>
      <c r="C15" s="18">
        <f>Table9[[#This Row],[Allergan Adjusted %]]*$C$84</f>
        <v>-146.69083739413372</v>
      </c>
      <c r="D15" s="18">
        <f>Table9[[#This Row],[Allergan Adjusted %]]*$D$84</f>
        <v>4585.3364503032008</v>
      </c>
      <c r="E15" s="18">
        <f>Table9[[#This Row],[Allergan Adjusted %]]*$E$84</f>
        <v>3845.989139088043</v>
      </c>
      <c r="F15" s="18">
        <f>Table9[[#This Row],[Allergan Adjusted %]]*$F$84</f>
        <v>3845.9891392433838</v>
      </c>
      <c r="G15" s="18">
        <f>Table9[[#This Row],[Allergan Adjusted %]]*$G$84</f>
        <v>3845.9891392433838</v>
      </c>
      <c r="H15" s="18">
        <f>Table9[[#This Row],[Allergan Adjusted %]]*$H$84</f>
        <v>3992.6799766375179</v>
      </c>
      <c r="I15" s="18">
        <f>Table9[[#This Row],[Allergan Adjusted %]]*$I$84</f>
        <v>3992.6799766375179</v>
      </c>
      <c r="J15" s="18">
        <f>SUM(Table9[[#This Row],[Payment 1]:[Payment 7]])</f>
        <v>23961.972983758915</v>
      </c>
    </row>
    <row r="16" spans="1:10" x14ac:dyDescent="0.3">
      <c r="A16" t="s">
        <v>135</v>
      </c>
      <c r="B16">
        <v>3.0263416228647217E-3</v>
      </c>
      <c r="C16" s="18">
        <f>Table9[[#This Row],[Allergan Adjusted %]]*$C$84</f>
        <v>-147.5140801914639</v>
      </c>
      <c r="D16" s="18">
        <f>Table9[[#This Row],[Allergan Adjusted %]]*$D$84</f>
        <v>4611.069790388412</v>
      </c>
      <c r="E16" s="18">
        <f>Table9[[#This Row],[Allergan Adjusted %]]*$E$84</f>
        <v>3867.5731924182278</v>
      </c>
      <c r="F16" s="18">
        <f>Table9[[#This Row],[Allergan Adjusted %]]*$F$84</f>
        <v>3867.5731925744403</v>
      </c>
      <c r="G16" s="18">
        <f>Table9[[#This Row],[Allergan Adjusted %]]*$G$84</f>
        <v>3867.5731925744403</v>
      </c>
      <c r="H16" s="18">
        <f>Table9[[#This Row],[Allergan Adjusted %]]*$H$84</f>
        <v>4015.0872727659043</v>
      </c>
      <c r="I16" s="18">
        <f>Table9[[#This Row],[Allergan Adjusted %]]*$I$84</f>
        <v>4015.0872727659043</v>
      </c>
      <c r="J16" s="18">
        <f>SUM(Table9[[#This Row],[Payment 1]:[Payment 7]])</f>
        <v>24096.449833295865</v>
      </c>
    </row>
    <row r="17" spans="1:10" x14ac:dyDescent="0.3">
      <c r="A17" t="s">
        <v>136</v>
      </c>
      <c r="B17">
        <v>2.0785566573142404E-3</v>
      </c>
      <c r="C17" s="18">
        <f>Table9[[#This Row],[Allergan Adjusted %]]*$C$84</f>
        <v>-101.31584984094172</v>
      </c>
      <c r="D17" s="18">
        <f>Table9[[#This Row],[Allergan Adjusted %]]*$D$84</f>
        <v>3166.9821205049188</v>
      </c>
      <c r="E17" s="18">
        <f>Table9[[#This Row],[Allergan Adjusted %]]*$E$84</f>
        <v>2656.3326314566375</v>
      </c>
      <c r="F17" s="18">
        <f>Table9[[#This Row],[Allergan Adjusted %]]*$F$84</f>
        <v>2656.3326315639274</v>
      </c>
      <c r="G17" s="18">
        <f>Table9[[#This Row],[Allergan Adjusted %]]*$G$84</f>
        <v>2656.3326315639274</v>
      </c>
      <c r="H17" s="18">
        <f>Table9[[#This Row],[Allergan Adjusted %]]*$H$84</f>
        <v>2757.6484814048695</v>
      </c>
      <c r="I17" s="18">
        <f>Table9[[#This Row],[Allergan Adjusted %]]*$I$84</f>
        <v>2757.6484814048695</v>
      </c>
      <c r="J17" s="18">
        <f>SUM(Table9[[#This Row],[Payment 1]:[Payment 7]])</f>
        <v>16549.96112805821</v>
      </c>
    </row>
    <row r="18" spans="1:10" x14ac:dyDescent="0.3">
      <c r="A18" t="s">
        <v>137</v>
      </c>
      <c r="B18">
        <v>5.2306011808588744E-3</v>
      </c>
      <c r="C18" s="18">
        <f>Table9[[#This Row],[Allergan Adjusted %]]*$C$84</f>
        <v>-254.95711264493684</v>
      </c>
      <c r="D18" s="18">
        <f>Table9[[#This Row],[Allergan Adjusted %]]*$D$84</f>
        <v>7969.5784865813293</v>
      </c>
      <c r="E18" s="18">
        <f>Table9[[#This Row],[Allergan Adjusted %]]*$E$84</f>
        <v>6684.550334463408</v>
      </c>
      <c r="F18" s="18">
        <f>Table9[[#This Row],[Allergan Adjusted %]]*$F$84</f>
        <v>6684.5503347333988</v>
      </c>
      <c r="G18" s="18">
        <f>Table9[[#This Row],[Allergan Adjusted %]]*$G$84</f>
        <v>6684.5503347333988</v>
      </c>
      <c r="H18" s="18">
        <f>Table9[[#This Row],[Allergan Adjusted %]]*$H$84</f>
        <v>6939.507447378337</v>
      </c>
      <c r="I18" s="18">
        <f>Table9[[#This Row],[Allergan Adjusted %]]*$I$84</f>
        <v>6939.507447378337</v>
      </c>
      <c r="J18" s="18">
        <f>SUM(Table9[[#This Row],[Payment 1]:[Payment 7]])</f>
        <v>41647.287272623274</v>
      </c>
    </row>
    <row r="19" spans="1:10" x14ac:dyDescent="0.3">
      <c r="A19" t="s">
        <v>138</v>
      </c>
      <c r="B19">
        <v>2.096773924013582E-2</v>
      </c>
      <c r="C19" s="18">
        <f>Table9[[#This Row],[Allergan Adjusted %]]*$C$84</f>
        <v>-1022.0382075620547</v>
      </c>
      <c r="D19" s="18">
        <f>Table9[[#This Row],[Allergan Adjusted %]]*$D$84</f>
        <v>31947.387648659304</v>
      </c>
      <c r="E19" s="18">
        <f>Table9[[#This Row],[Allergan Adjusted %]]*$E$84</f>
        <v>26796.137481003072</v>
      </c>
      <c r="F19" s="18">
        <f>Table9[[#This Row],[Allergan Adjusted %]]*$F$84</f>
        <v>26796.137482085378</v>
      </c>
      <c r="G19" s="18">
        <f>Table9[[#This Row],[Allergan Adjusted %]]*$G$84</f>
        <v>26796.137482085378</v>
      </c>
      <c r="H19" s="18">
        <f>Table9[[#This Row],[Allergan Adjusted %]]*$H$84</f>
        <v>27818.175689647436</v>
      </c>
      <c r="I19" s="18">
        <f>Table9[[#This Row],[Allergan Adjusted %]]*$I$84</f>
        <v>27818.175689647436</v>
      </c>
      <c r="J19" s="18">
        <f>SUM(Table9[[#This Row],[Payment 1]:[Payment 7]])</f>
        <v>166950.11326556595</v>
      </c>
    </row>
    <row r="20" spans="1:10" x14ac:dyDescent="0.3">
      <c r="A20" t="s">
        <v>140</v>
      </c>
      <c r="B20">
        <v>4.6613742011136383E-2</v>
      </c>
      <c r="C20" s="18">
        <f>Table9[[#This Row],[Allergan Adjusted %]]*$C$84</f>
        <v>-2272.1107310238222</v>
      </c>
      <c r="D20" s="18">
        <f>Table9[[#This Row],[Allergan Adjusted %]]*$D$84</f>
        <v>71022.787374893145</v>
      </c>
      <c r="E20" s="18">
        <f>Table9[[#This Row],[Allergan Adjusted %]]*$E$84</f>
        <v>59570.95446148482</v>
      </c>
      <c r="F20" s="18">
        <f>Table9[[#This Row],[Allergan Adjusted %]]*$F$84</f>
        <v>59570.954463890906</v>
      </c>
      <c r="G20" s="18">
        <f>Table9[[#This Row],[Allergan Adjusted %]]*$G$84</f>
        <v>59570.954463890906</v>
      </c>
      <c r="H20" s="18">
        <f>Table9[[#This Row],[Allergan Adjusted %]]*$H$84</f>
        <v>61843.065194914736</v>
      </c>
      <c r="I20" s="18">
        <f>Table9[[#This Row],[Allergan Adjusted %]]*$I$84</f>
        <v>61843.065194914736</v>
      </c>
      <c r="J20" s="18">
        <f>SUM(Table9[[#This Row],[Payment 1]:[Payment 7]])</f>
        <v>371149.67042296543</v>
      </c>
    </row>
    <row r="21" spans="1:10" x14ac:dyDescent="0.3">
      <c r="A21" t="s">
        <v>141</v>
      </c>
      <c r="B21">
        <v>0</v>
      </c>
      <c r="C21" s="18">
        <f>Table9[[#This Row],[Allergan Adjusted %]]*$C$84</f>
        <v>0</v>
      </c>
      <c r="D21" s="18">
        <f>Table9[[#This Row],[Allergan Adjusted %]]*$D$84</f>
        <v>0</v>
      </c>
      <c r="E21" s="18">
        <f>Table9[[#This Row],[Allergan Adjusted %]]*$E$84</f>
        <v>0</v>
      </c>
      <c r="F21" s="18">
        <f>Table9[[#This Row],[Allergan Adjusted %]]*$F$84</f>
        <v>0</v>
      </c>
      <c r="G21" s="18">
        <f>Table9[[#This Row],[Allergan Adjusted %]]*$G$84</f>
        <v>0</v>
      </c>
      <c r="H21" s="18">
        <f>Table9[[#This Row],[Allergan Adjusted %]]*$H$84</f>
        <v>0</v>
      </c>
      <c r="I21" s="18">
        <f>Table9[[#This Row],[Allergan Adjusted %]]*$I$84</f>
        <v>0</v>
      </c>
      <c r="J21" s="18">
        <f>SUM(Table9[[#This Row],[Payment 1]:[Payment 7]])</f>
        <v>0</v>
      </c>
    </row>
    <row r="22" spans="1:10" x14ac:dyDescent="0.3">
      <c r="A22" t="s">
        <v>142</v>
      </c>
      <c r="B22">
        <v>2.1445137095590323E-2</v>
      </c>
      <c r="C22" s="18">
        <f>Table9[[#This Row],[Allergan Adjusted %]]*$C$84</f>
        <v>-1045.3081864040621</v>
      </c>
      <c r="D22" s="18">
        <f>Table9[[#This Row],[Allergan Adjusted %]]*$D$84</f>
        <v>32674.772426587555</v>
      </c>
      <c r="E22" s="18">
        <f>Table9[[#This Row],[Allergan Adjusted %]]*$E$84</f>
        <v>27406.237521898664</v>
      </c>
      <c r="F22" s="18">
        <f>Table9[[#This Row],[Allergan Adjusted %]]*$F$84</f>
        <v>27406.23752300561</v>
      </c>
      <c r="G22" s="18">
        <f>Table9[[#This Row],[Allergan Adjusted %]]*$G$84</f>
        <v>27406.23752300561</v>
      </c>
      <c r="H22" s="18">
        <f>Table9[[#This Row],[Allergan Adjusted %]]*$H$84</f>
        <v>28451.545709409675</v>
      </c>
      <c r="I22" s="18">
        <f>Table9[[#This Row],[Allergan Adjusted %]]*$I$84</f>
        <v>28451.545709409675</v>
      </c>
      <c r="J22" s="18">
        <f>SUM(Table9[[#This Row],[Payment 1]:[Payment 7]])</f>
        <v>170751.26822691271</v>
      </c>
    </row>
    <row r="23" spans="1:10" x14ac:dyDescent="0.3">
      <c r="A23" t="s">
        <v>143</v>
      </c>
      <c r="B23">
        <v>3.2330951098192541E-2</v>
      </c>
      <c r="C23" s="18">
        <f>Table9[[#This Row],[Allergan Adjusted %]]*$C$84</f>
        <v>-1575.91941271009</v>
      </c>
      <c r="D23" s="18">
        <f>Table9[[#This Row],[Allergan Adjusted %]]*$D$84</f>
        <v>49260.886734354186</v>
      </c>
      <c r="E23" s="18">
        <f>Table9[[#This Row],[Allergan Adjusted %]]*$E$84</f>
        <v>41317.979043750391</v>
      </c>
      <c r="F23" s="18">
        <f>Table9[[#This Row],[Allergan Adjusted %]]*$F$84</f>
        <v>41317.979045419241</v>
      </c>
      <c r="G23" s="18">
        <f>Table9[[#This Row],[Allergan Adjusted %]]*$G$84</f>
        <v>41317.979045419241</v>
      </c>
      <c r="H23" s="18">
        <f>Table9[[#This Row],[Allergan Adjusted %]]*$H$84</f>
        <v>42893.898458129333</v>
      </c>
      <c r="I23" s="18">
        <f>Table9[[#This Row],[Allergan Adjusted %]]*$I$84</f>
        <v>42893.898458129333</v>
      </c>
      <c r="J23" s="18">
        <f>SUM(Table9[[#This Row],[Payment 1]:[Payment 7]])</f>
        <v>257426.7013724916</v>
      </c>
    </row>
    <row r="24" spans="1:10" x14ac:dyDescent="0.3">
      <c r="A24" t="s">
        <v>144</v>
      </c>
      <c r="B24">
        <v>2.6723998541831065E-2</v>
      </c>
      <c r="C24" s="18">
        <f>Table9[[#This Row],[Allergan Adjusted %]]*$C$84</f>
        <v>-1302.6176668728481</v>
      </c>
      <c r="D24" s="18">
        <f>Table9[[#This Row],[Allergan Adjusted %]]*$D$84</f>
        <v>40717.882417377521</v>
      </c>
      <c r="E24" s="18">
        <f>Table9[[#This Row],[Allergan Adjusted %]]*$E$84</f>
        <v>34152.463017963033</v>
      </c>
      <c r="F24" s="18">
        <f>Table9[[#This Row],[Allergan Adjusted %]]*$F$84</f>
        <v>34152.46301934246</v>
      </c>
      <c r="G24" s="18">
        <f>Table9[[#This Row],[Allergan Adjusted %]]*$G$84</f>
        <v>34152.46301934246</v>
      </c>
      <c r="H24" s="18">
        <f>Table9[[#This Row],[Allergan Adjusted %]]*$H$84</f>
        <v>35455.080686215311</v>
      </c>
      <c r="I24" s="18">
        <f>Table9[[#This Row],[Allergan Adjusted %]]*$I$84</f>
        <v>35455.080686215311</v>
      </c>
      <c r="J24" s="18">
        <f>SUM(Table9[[#This Row],[Payment 1]:[Payment 7]])</f>
        <v>212782.81517958324</v>
      </c>
    </row>
    <row r="25" spans="1:10" x14ac:dyDescent="0.3">
      <c r="A25" t="s">
        <v>145</v>
      </c>
      <c r="B25">
        <v>4.0286047879205672E-3</v>
      </c>
      <c r="C25" s="18">
        <f>Table9[[#This Row],[Allergan Adjusted %]]*$C$84</f>
        <v>-196.36776141038931</v>
      </c>
      <c r="D25" s="18">
        <f>Table9[[#This Row],[Allergan Adjusted %]]*$D$84</f>
        <v>6138.1628877081348</v>
      </c>
      <c r="E25" s="18">
        <f>Table9[[#This Row],[Allergan Adjusted %]]*$E$84</f>
        <v>5148.4352469964942</v>
      </c>
      <c r="F25" s="18">
        <f>Table9[[#This Row],[Allergan Adjusted %]]*$F$84</f>
        <v>5148.4352472044411</v>
      </c>
      <c r="G25" s="18">
        <f>Table9[[#This Row],[Allergan Adjusted %]]*$G$84</f>
        <v>5148.4352472044411</v>
      </c>
      <c r="H25" s="18">
        <f>Table9[[#This Row],[Allergan Adjusted %]]*$H$84</f>
        <v>5344.803008614831</v>
      </c>
      <c r="I25" s="18">
        <f>Table9[[#This Row],[Allergan Adjusted %]]*$I$84</f>
        <v>5344.803008614831</v>
      </c>
      <c r="J25" s="18">
        <f>SUM(Table9[[#This Row],[Payment 1]:[Payment 7]])</f>
        <v>32076.706884932784</v>
      </c>
    </row>
    <row r="26" spans="1:10" x14ac:dyDescent="0.3">
      <c r="A26" t="s">
        <v>146</v>
      </c>
      <c r="B26">
        <v>1.4321844540419036E-2</v>
      </c>
      <c r="C26" s="18">
        <f>Table9[[#This Row],[Allergan Adjusted %]]*$C$84</f>
        <v>-698.09492360786612</v>
      </c>
      <c r="D26" s="18">
        <f>Table9[[#This Row],[Allergan Adjusted %]]*$D$84</f>
        <v>21821.404498429751</v>
      </c>
      <c r="E26" s="18">
        <f>Table9[[#This Row],[Allergan Adjusted %]]*$E$84</f>
        <v>18302.884774149636</v>
      </c>
      <c r="F26" s="18">
        <f>Table9[[#This Row],[Allergan Adjusted %]]*$F$84</f>
        <v>18302.884774888895</v>
      </c>
      <c r="G26" s="18">
        <f>Table9[[#This Row],[Allergan Adjusted %]]*$G$84</f>
        <v>18302.884774888895</v>
      </c>
      <c r="H26" s="18">
        <f>Table9[[#This Row],[Allergan Adjusted %]]*$H$84</f>
        <v>19000.979698496765</v>
      </c>
      <c r="I26" s="18">
        <f>Table9[[#This Row],[Allergan Adjusted %]]*$I$84</f>
        <v>19000.979698496765</v>
      </c>
      <c r="J26" s="18">
        <f>SUM(Table9[[#This Row],[Payment 1]:[Payment 7]])</f>
        <v>114033.92329574285</v>
      </c>
    </row>
    <row r="27" spans="1:10" x14ac:dyDescent="0.3">
      <c r="A27" t="s">
        <v>147</v>
      </c>
      <c r="B27">
        <v>2.8845114319607516E-2</v>
      </c>
      <c r="C27" s="18">
        <f>Table9[[#This Row],[Allergan Adjusted %]]*$C$84</f>
        <v>-1406.0079915388751</v>
      </c>
      <c r="D27" s="18">
        <f>Table9[[#This Row],[Allergan Adjusted %]]*$D$84</f>
        <v>43949.709522066027</v>
      </c>
      <c r="E27" s="18">
        <f>Table9[[#This Row],[Allergan Adjusted %]]*$E$84</f>
        <v>36863.184919999352</v>
      </c>
      <c r="F27" s="18">
        <f>Table9[[#This Row],[Allergan Adjusted %]]*$F$84</f>
        <v>36863.184921488268</v>
      </c>
      <c r="G27" s="18">
        <f>Table9[[#This Row],[Allergan Adjusted %]]*$G$84</f>
        <v>36863.184921488268</v>
      </c>
      <c r="H27" s="18">
        <f>Table9[[#This Row],[Allergan Adjusted %]]*$H$84</f>
        <v>38269.192913027146</v>
      </c>
      <c r="I27" s="18">
        <f>Table9[[#This Row],[Allergan Adjusted %]]*$I$84</f>
        <v>38269.192913027146</v>
      </c>
      <c r="J27" s="18">
        <f>SUM(Table9[[#This Row],[Payment 1]:[Payment 7]])</f>
        <v>229671.64211955731</v>
      </c>
    </row>
    <row r="28" spans="1:10" x14ac:dyDescent="0.3">
      <c r="A28" t="s">
        <v>148</v>
      </c>
      <c r="B28">
        <v>1.1302327739130123E-2</v>
      </c>
      <c r="C28" s="18">
        <f>Table9[[#This Row],[Allergan Adjusted %]]*$C$84</f>
        <v>-550.91350819873207</v>
      </c>
      <c r="D28" s="18">
        <f>Table9[[#This Row],[Allergan Adjusted %]]*$D$84</f>
        <v>17220.733312202628</v>
      </c>
      <c r="E28" s="18">
        <f>Table9[[#This Row],[Allergan Adjusted %]]*$E$84</f>
        <v>14444.033497581955</v>
      </c>
      <c r="F28" s="18">
        <f>Table9[[#This Row],[Allergan Adjusted %]]*$F$84</f>
        <v>14444.033498165354</v>
      </c>
      <c r="G28" s="18">
        <f>Table9[[#This Row],[Allergan Adjusted %]]*$G$84</f>
        <v>14444.033498165354</v>
      </c>
      <c r="H28" s="18">
        <f>Table9[[#This Row],[Allergan Adjusted %]]*$H$84</f>
        <v>14994.947006364089</v>
      </c>
      <c r="I28" s="18">
        <f>Table9[[#This Row],[Allergan Adjusted %]]*$I$84</f>
        <v>14994.947006364089</v>
      </c>
      <c r="J28" s="18">
        <f>SUM(Table9[[#This Row],[Payment 1]:[Payment 7]])</f>
        <v>89991.814310644739</v>
      </c>
    </row>
    <row r="29" spans="1:10" x14ac:dyDescent="0.3">
      <c r="A29" t="s">
        <v>149</v>
      </c>
      <c r="B29">
        <v>1.8730196911064322E-2</v>
      </c>
      <c r="C29" s="18">
        <f>Table9[[#This Row],[Allergan Adjusted %]]*$C$84</f>
        <v>-912.97286078537263</v>
      </c>
      <c r="D29" s="18">
        <f>Table9[[#This Row],[Allergan Adjusted %]]*$D$84</f>
        <v>28538.167830134505</v>
      </c>
      <c r="E29" s="18">
        <f>Table9[[#This Row],[Allergan Adjusted %]]*$E$84</f>
        <v>23936.625962727663</v>
      </c>
      <c r="F29" s="18">
        <f>Table9[[#This Row],[Allergan Adjusted %]]*$F$84</f>
        <v>23936.625963694471</v>
      </c>
      <c r="G29" s="18">
        <f>Table9[[#This Row],[Allergan Adjusted %]]*$G$84</f>
        <v>23936.625963694471</v>
      </c>
      <c r="H29" s="18">
        <f>Table9[[#This Row],[Allergan Adjusted %]]*$H$84</f>
        <v>24849.598824479846</v>
      </c>
      <c r="I29" s="18">
        <f>Table9[[#This Row],[Allergan Adjusted %]]*$I$84</f>
        <v>24849.598824479846</v>
      </c>
      <c r="J29" s="18">
        <f>SUM(Table9[[#This Row],[Payment 1]:[Payment 7]])</f>
        <v>149134.27050842543</v>
      </c>
    </row>
    <row r="30" spans="1:10" x14ac:dyDescent="0.3">
      <c r="A30" t="s">
        <v>150</v>
      </c>
      <c r="B30">
        <v>1.5649510898246434E-2</v>
      </c>
      <c r="C30" s="18">
        <f>Table9[[#This Row],[Allergan Adjusted %]]*$C$84</f>
        <v>-762.80985205360753</v>
      </c>
      <c r="D30" s="18">
        <f>Table9[[#This Row],[Allergan Adjusted %]]*$D$84</f>
        <v>23844.296490543285</v>
      </c>
      <c r="E30" s="18">
        <f>Table9[[#This Row],[Allergan Adjusted %]]*$E$84</f>
        <v>19999.602281259151</v>
      </c>
      <c r="F30" s="18">
        <f>Table9[[#This Row],[Allergan Adjusted %]]*$F$84</f>
        <v>19999.602282066942</v>
      </c>
      <c r="G30" s="18">
        <f>Table9[[#This Row],[Allergan Adjusted %]]*$G$84</f>
        <v>19999.602282066942</v>
      </c>
      <c r="H30" s="18">
        <f>Table9[[#This Row],[Allergan Adjusted %]]*$H$84</f>
        <v>20762.41213412055</v>
      </c>
      <c r="I30" s="18">
        <f>Table9[[#This Row],[Allergan Adjusted %]]*$I$84</f>
        <v>20762.41213412055</v>
      </c>
      <c r="J30" s="18">
        <f>SUM(Table9[[#This Row],[Payment 1]:[Payment 7]])</f>
        <v>124605.11775212381</v>
      </c>
    </row>
    <row r="31" spans="1:10" x14ac:dyDescent="0.3">
      <c r="A31" t="s">
        <v>151</v>
      </c>
      <c r="B31">
        <v>8.0199899121827192E-2</v>
      </c>
      <c r="C31" s="18">
        <f>Table9[[#This Row],[Allergan Adjusted %]]*$C$84</f>
        <v>-3909.2131109790989</v>
      </c>
      <c r="D31" s="18">
        <f>Table9[[#This Row],[Allergan Adjusted %]]*$D$84</f>
        <v>122196.16227027189</v>
      </c>
      <c r="E31" s="18">
        <f>Table9[[#This Row],[Allergan Adjusted %]]*$E$84</f>
        <v>102493.04887946224</v>
      </c>
      <c r="F31" s="18">
        <f>Table9[[#This Row],[Allergan Adjusted %]]*$F$84</f>
        <v>102493.04888360196</v>
      </c>
      <c r="G31" s="18">
        <f>Table9[[#This Row],[Allergan Adjusted %]]*$G$84</f>
        <v>102493.04888360196</v>
      </c>
      <c r="H31" s="18">
        <f>Table9[[#This Row],[Allergan Adjusted %]]*$H$84</f>
        <v>106402.26199458107</v>
      </c>
      <c r="I31" s="18">
        <f>Table9[[#This Row],[Allergan Adjusted %]]*$I$84</f>
        <v>106402.26199458107</v>
      </c>
      <c r="J31" s="18">
        <f>SUM(Table9[[#This Row],[Payment 1]:[Payment 7]])</f>
        <v>638570.61979512114</v>
      </c>
    </row>
    <row r="32" spans="1:10" x14ac:dyDescent="0.3">
      <c r="A32" t="s">
        <v>152</v>
      </c>
      <c r="B32">
        <v>1.7735372258611652E-2</v>
      </c>
      <c r="C32" s="18">
        <f>Table9[[#This Row],[Allergan Adjusted %]]*$C$84</f>
        <v>-864.48175771570834</v>
      </c>
      <c r="D32" s="18">
        <f>Table9[[#This Row],[Allergan Adjusted %]]*$D$84</f>
        <v>27022.408384141778</v>
      </c>
      <c r="E32" s="18">
        <f>Table9[[#This Row],[Allergan Adjusted %]]*$E$84</f>
        <v>22665.270102598217</v>
      </c>
      <c r="F32" s="18">
        <f>Table9[[#This Row],[Allergan Adjusted %]]*$F$84</f>
        <v>22665.270103513674</v>
      </c>
      <c r="G32" s="18">
        <f>Table9[[#This Row],[Allergan Adjusted %]]*$G$84</f>
        <v>22665.270103513674</v>
      </c>
      <c r="H32" s="18">
        <f>Table9[[#This Row],[Allergan Adjusted %]]*$H$84</f>
        <v>23529.751861229382</v>
      </c>
      <c r="I32" s="18">
        <f>Table9[[#This Row],[Allergan Adjusted %]]*$I$84</f>
        <v>23529.751861229382</v>
      </c>
      <c r="J32" s="18">
        <f>SUM(Table9[[#This Row],[Payment 1]:[Payment 7]])</f>
        <v>141213.24065851039</v>
      </c>
    </row>
    <row r="33" spans="1:10" x14ac:dyDescent="0.3">
      <c r="A33" t="s">
        <v>153</v>
      </c>
      <c r="B33">
        <v>2.3288495771583732E-3</v>
      </c>
      <c r="C33" s="18">
        <f>Table9[[#This Row],[Allergan Adjusted %]]*$C$84</f>
        <v>-113.51596947393053</v>
      </c>
      <c r="D33" s="18">
        <f>Table9[[#This Row],[Allergan Adjusted %]]*$D$84</f>
        <v>3548.3396357047081</v>
      </c>
      <c r="E33" s="18">
        <f>Table9[[#This Row],[Allergan Adjusted %]]*$E$84</f>
        <v>2976.1994236679288</v>
      </c>
      <c r="F33" s="18">
        <f>Table9[[#This Row],[Allergan Adjusted %]]*$F$84</f>
        <v>2976.1994237881386</v>
      </c>
      <c r="G33" s="18">
        <f>Table9[[#This Row],[Allergan Adjusted %]]*$G$84</f>
        <v>2976.1994237881386</v>
      </c>
      <c r="H33" s="18">
        <f>Table9[[#This Row],[Allergan Adjusted %]]*$H$84</f>
        <v>3089.7153932620695</v>
      </c>
      <c r="I33" s="18">
        <f>Table9[[#This Row],[Allergan Adjusted %]]*$I$84</f>
        <v>3089.7153932620695</v>
      </c>
      <c r="J33" s="18">
        <f>SUM(Table9[[#This Row],[Payment 1]:[Payment 7]])</f>
        <v>18542.852723999124</v>
      </c>
    </row>
    <row r="34" spans="1:10" x14ac:dyDescent="0.3">
      <c r="A34" t="s">
        <v>154</v>
      </c>
      <c r="B34">
        <v>8.3142266292569617E-4</v>
      </c>
      <c r="C34" s="18">
        <f>Table9[[#This Row],[Allergan Adjusted %]]*$C$84</f>
        <v>-40.526339936376694</v>
      </c>
      <c r="D34" s="18">
        <f>Table9[[#This Row],[Allergan Adjusted %]]*$D$84</f>
        <v>1266.7928482019674</v>
      </c>
      <c r="E34" s="18">
        <f>Table9[[#This Row],[Allergan Adjusted %]]*$E$84</f>
        <v>1062.533052582655</v>
      </c>
      <c r="F34" s="18">
        <f>Table9[[#This Row],[Allergan Adjusted %]]*$F$84</f>
        <v>1062.5330526255711</v>
      </c>
      <c r="G34" s="18">
        <f>Table9[[#This Row],[Allergan Adjusted %]]*$G$84</f>
        <v>1062.5330526255711</v>
      </c>
      <c r="H34" s="18">
        <f>Table9[[#This Row],[Allergan Adjusted %]]*$H$84</f>
        <v>1103.0593925619478</v>
      </c>
      <c r="I34" s="18">
        <f>Table9[[#This Row],[Allergan Adjusted %]]*$I$84</f>
        <v>1103.0593925619478</v>
      </c>
      <c r="J34" s="18">
        <f>SUM(Table9[[#This Row],[Payment 1]:[Payment 7]])</f>
        <v>6619.9844512232839</v>
      </c>
    </row>
    <row r="35" spans="1:10" x14ac:dyDescent="0.3">
      <c r="A35" t="s">
        <v>156</v>
      </c>
      <c r="B35">
        <v>8.3142266292569617E-4</v>
      </c>
      <c r="C35" s="18">
        <f>Table9[[#This Row],[Allergan Adjusted %]]*$C$84</f>
        <v>-40.526339936376694</v>
      </c>
      <c r="D35" s="18">
        <f>Table9[[#This Row],[Allergan Adjusted %]]*$D$84</f>
        <v>1266.7928482019674</v>
      </c>
      <c r="E35" s="18">
        <f>Table9[[#This Row],[Allergan Adjusted %]]*$E$84</f>
        <v>1062.533052582655</v>
      </c>
      <c r="F35" s="18">
        <f>Table9[[#This Row],[Allergan Adjusted %]]*$F$84</f>
        <v>1062.5330526255711</v>
      </c>
      <c r="G35" s="18">
        <f>Table9[[#This Row],[Allergan Adjusted %]]*$G$84</f>
        <v>1062.5330526255711</v>
      </c>
      <c r="H35" s="18">
        <f>Table9[[#This Row],[Allergan Adjusted %]]*$H$84</f>
        <v>1103.0593925619478</v>
      </c>
      <c r="I35" s="18">
        <f>Table9[[#This Row],[Allergan Adjusted %]]*$I$84</f>
        <v>1103.0593925619478</v>
      </c>
      <c r="J35" s="18">
        <f>SUM(Table9[[#This Row],[Payment 1]:[Payment 7]])</f>
        <v>6619.9844512232839</v>
      </c>
    </row>
    <row r="36" spans="1:10" x14ac:dyDescent="0.3">
      <c r="A36" t="s">
        <v>157</v>
      </c>
      <c r="B36">
        <v>2.0785566573142404E-3</v>
      </c>
      <c r="C36" s="18">
        <f>Table9[[#This Row],[Allergan Adjusted %]]*$C$84</f>
        <v>-101.31584984094172</v>
      </c>
      <c r="D36" s="18">
        <f>Table9[[#This Row],[Allergan Adjusted %]]*$D$84</f>
        <v>3166.9821205049188</v>
      </c>
      <c r="E36" s="18">
        <f>Table9[[#This Row],[Allergan Adjusted %]]*$E$84</f>
        <v>2656.3326314566375</v>
      </c>
      <c r="F36" s="18">
        <f>Table9[[#This Row],[Allergan Adjusted %]]*$F$84</f>
        <v>2656.3326315639274</v>
      </c>
      <c r="G36" s="18">
        <f>Table9[[#This Row],[Allergan Adjusted %]]*$G$84</f>
        <v>2656.3326315639274</v>
      </c>
      <c r="H36" s="18">
        <f>Table9[[#This Row],[Allergan Adjusted %]]*$H$84</f>
        <v>2757.6484814048695</v>
      </c>
      <c r="I36" s="18">
        <f>Table9[[#This Row],[Allergan Adjusted %]]*$I$84</f>
        <v>2757.6484814048695</v>
      </c>
      <c r="J36" s="18">
        <f>SUM(Table9[[#This Row],[Payment 1]:[Payment 7]])</f>
        <v>16549.96112805821</v>
      </c>
    </row>
    <row r="37" spans="1:10" x14ac:dyDescent="0.3">
      <c r="A37" t="s">
        <v>158</v>
      </c>
      <c r="B37">
        <v>1.0408675738089923E-2</v>
      </c>
      <c r="C37" s="18">
        <f>Table9[[#This Row],[Allergan Adjusted %]]*$C$84</f>
        <v>-507.35390080056925</v>
      </c>
      <c r="D37" s="18">
        <f>Table9[[#This Row],[Allergan Adjusted %]]*$D$84</f>
        <v>15859.125054237358</v>
      </c>
      <c r="E37" s="18">
        <f>Table9[[#This Row],[Allergan Adjusted %]]*$E$84</f>
        <v>13301.973230340118</v>
      </c>
      <c r="F37" s="18">
        <f>Table9[[#This Row],[Allergan Adjusted %]]*$F$84</f>
        <v>13301.973230877389</v>
      </c>
      <c r="G37" s="18">
        <f>Table9[[#This Row],[Allergan Adjusted %]]*$G$84</f>
        <v>13301.973230877389</v>
      </c>
      <c r="H37" s="18">
        <f>Table9[[#This Row],[Allergan Adjusted %]]*$H$84</f>
        <v>13809.327131677959</v>
      </c>
      <c r="I37" s="18">
        <f>Table9[[#This Row],[Allergan Adjusted %]]*$I$84</f>
        <v>13809.327131677959</v>
      </c>
      <c r="J37" s="18">
        <f>SUM(Table9[[#This Row],[Payment 1]:[Payment 7]])</f>
        <v>82876.345108887603</v>
      </c>
    </row>
    <row r="38" spans="1:10" x14ac:dyDescent="0.3">
      <c r="A38" t="s">
        <v>159</v>
      </c>
      <c r="B38">
        <v>8.3142266292569617E-4</v>
      </c>
      <c r="C38" s="18">
        <f>Table9[[#This Row],[Allergan Adjusted %]]*$C$84</f>
        <v>-40.526339936376694</v>
      </c>
      <c r="D38" s="18">
        <f>Table9[[#This Row],[Allergan Adjusted %]]*$D$84</f>
        <v>1266.7928482019674</v>
      </c>
      <c r="E38" s="18">
        <f>Table9[[#This Row],[Allergan Adjusted %]]*$E$84</f>
        <v>1062.533052582655</v>
      </c>
      <c r="F38" s="18">
        <f>Table9[[#This Row],[Allergan Adjusted %]]*$F$84</f>
        <v>1062.5330526255711</v>
      </c>
      <c r="G38" s="18">
        <f>Table9[[#This Row],[Allergan Adjusted %]]*$G$84</f>
        <v>1062.5330526255711</v>
      </c>
      <c r="H38" s="18">
        <f>Table9[[#This Row],[Allergan Adjusted %]]*$H$84</f>
        <v>1103.0593925619478</v>
      </c>
      <c r="I38" s="18">
        <f>Table9[[#This Row],[Allergan Adjusted %]]*$I$84</f>
        <v>1103.0593925619478</v>
      </c>
      <c r="J38" s="18">
        <f>SUM(Table9[[#This Row],[Payment 1]:[Payment 7]])</f>
        <v>6619.9844512232839</v>
      </c>
    </row>
    <row r="39" spans="1:10" x14ac:dyDescent="0.3">
      <c r="A39" t="s">
        <v>160</v>
      </c>
      <c r="B39">
        <v>1.2600894577744775E-2</v>
      </c>
      <c r="C39" s="18">
        <f>Table9[[#This Row],[Allergan Adjusted %]]*$C$84</f>
        <v>-614.21002810187861</v>
      </c>
      <c r="D39" s="18">
        <f>Table9[[#This Row],[Allergan Adjusted %]]*$D$84</f>
        <v>19199.287972092014</v>
      </c>
      <c r="E39" s="18">
        <f>Table9[[#This Row],[Allergan Adjusted %]]*$E$84</f>
        <v>16103.562698001579</v>
      </c>
      <c r="F39" s="18">
        <f>Table9[[#This Row],[Allergan Adjusted %]]*$F$84</f>
        <v>16103.562698652007</v>
      </c>
      <c r="G39" s="18">
        <f>Table9[[#This Row],[Allergan Adjusted %]]*$G$84</f>
        <v>16103.562698652007</v>
      </c>
      <c r="H39" s="18">
        <f>Table9[[#This Row],[Allergan Adjusted %]]*$H$84</f>
        <v>16717.772726753887</v>
      </c>
      <c r="I39" s="18">
        <f>Table9[[#This Row],[Allergan Adjusted %]]*$I$84</f>
        <v>16717.772726753887</v>
      </c>
      <c r="J39" s="18">
        <f>SUM(Table9[[#This Row],[Payment 1]:[Payment 7]])</f>
        <v>100331.31149280351</v>
      </c>
    </row>
    <row r="40" spans="1:10" x14ac:dyDescent="0.3">
      <c r="A40" t="s">
        <v>161</v>
      </c>
      <c r="B40">
        <v>2.9054495783305263E-3</v>
      </c>
      <c r="C40" s="18">
        <f>Table9[[#This Row],[Allergan Adjusted %]]*$C$84</f>
        <v>-141.62139490531092</v>
      </c>
      <c r="D40" s="18">
        <f>Table9[[#This Row],[Allergan Adjusted %]]*$D$84</f>
        <v>4426.8732508311077</v>
      </c>
      <c r="E40" s="18">
        <f>Table9[[#This Row],[Allergan Adjusted %]]*$E$84</f>
        <v>3713.0768106863811</v>
      </c>
      <c r="F40" s="18">
        <f>Table9[[#This Row],[Allergan Adjusted %]]*$F$84</f>
        <v>3713.0768108363532</v>
      </c>
      <c r="G40" s="18">
        <f>Table9[[#This Row],[Allergan Adjusted %]]*$G$84</f>
        <v>3713.0768108363532</v>
      </c>
      <c r="H40" s="18">
        <f>Table9[[#This Row],[Allergan Adjusted %]]*$H$84</f>
        <v>3854.6982057416644</v>
      </c>
      <c r="I40" s="18">
        <f>Table9[[#This Row],[Allergan Adjusted %]]*$I$84</f>
        <v>3854.6982057416644</v>
      </c>
      <c r="J40" s="18">
        <f>SUM(Table9[[#This Row],[Payment 1]:[Payment 7]])</f>
        <v>23133.878699768215</v>
      </c>
    </row>
    <row r="41" spans="1:10" x14ac:dyDescent="0.3">
      <c r="A41" t="s">
        <v>162</v>
      </c>
      <c r="B41">
        <v>2.0785566573142404E-3</v>
      </c>
      <c r="C41" s="18">
        <f>Table9[[#This Row],[Allergan Adjusted %]]*$C$84</f>
        <v>-101.31584984094172</v>
      </c>
      <c r="D41" s="18">
        <f>Table9[[#This Row],[Allergan Adjusted %]]*$D$84</f>
        <v>3166.9821205049188</v>
      </c>
      <c r="E41" s="18">
        <f>Table9[[#This Row],[Allergan Adjusted %]]*$E$84</f>
        <v>2656.3326314566375</v>
      </c>
      <c r="F41" s="18">
        <f>Table9[[#This Row],[Allergan Adjusted %]]*$F$84</f>
        <v>2656.3326315639274</v>
      </c>
      <c r="G41" s="18">
        <f>Table9[[#This Row],[Allergan Adjusted %]]*$G$84</f>
        <v>2656.3326315639274</v>
      </c>
      <c r="H41" s="18">
        <f>Table9[[#This Row],[Allergan Adjusted %]]*$H$84</f>
        <v>2757.6484814048695</v>
      </c>
      <c r="I41" s="18">
        <f>Table9[[#This Row],[Allergan Adjusted %]]*$I$84</f>
        <v>2757.6484814048695</v>
      </c>
      <c r="J41" s="18">
        <f>SUM(Table9[[#This Row],[Payment 1]:[Payment 7]])</f>
        <v>16549.96112805821</v>
      </c>
    </row>
    <row r="42" spans="1:10" x14ac:dyDescent="0.3">
      <c r="A42" t="s">
        <v>163</v>
      </c>
      <c r="B42">
        <v>2.4213157288623674E-3</v>
      </c>
      <c r="C42" s="18">
        <f>Table9[[#This Row],[Allergan Adjusted %]]*$C$84</f>
        <v>-118.02308103542947</v>
      </c>
      <c r="D42" s="18">
        <f>Table9[[#This Row],[Allergan Adjusted %]]*$D$84</f>
        <v>3689.2252103980777</v>
      </c>
      <c r="E42" s="18">
        <f>Table9[[#This Row],[Allergan Adjusted %]]*$E$84</f>
        <v>3094.3683728819055</v>
      </c>
      <c r="F42" s="18">
        <f>Table9[[#This Row],[Allergan Adjusted %]]*$F$84</f>
        <v>3094.3683730068879</v>
      </c>
      <c r="G42" s="18">
        <f>Table9[[#This Row],[Allergan Adjusted %]]*$G$84</f>
        <v>3094.3683730068879</v>
      </c>
      <c r="H42" s="18">
        <f>Table9[[#This Row],[Allergan Adjusted %]]*$H$84</f>
        <v>3212.3914540423179</v>
      </c>
      <c r="I42" s="18">
        <f>Table9[[#This Row],[Allergan Adjusted %]]*$I$84</f>
        <v>3212.3914540423179</v>
      </c>
      <c r="J42" s="18">
        <f>SUM(Table9[[#This Row],[Payment 1]:[Payment 7]])</f>
        <v>19279.090156342965</v>
      </c>
    </row>
    <row r="43" spans="1:10" x14ac:dyDescent="0.3">
      <c r="A43" t="s">
        <v>164</v>
      </c>
      <c r="B43">
        <v>3.5630829061509025E-3</v>
      </c>
      <c r="C43" s="18">
        <f>Table9[[#This Row],[Allergan Adjusted %]]*$C$84</f>
        <v>-173.67665751140257</v>
      </c>
      <c r="D43" s="18">
        <f>Table9[[#This Row],[Allergan Adjusted %]]*$D$84</f>
        <v>5428.8728757758572</v>
      </c>
      <c r="E43" s="18">
        <f>Table9[[#This Row],[Allergan Adjusted %]]*$E$84</f>
        <v>4553.5123417918421</v>
      </c>
      <c r="F43" s="18">
        <f>Table9[[#This Row],[Allergan Adjusted %]]*$F$84</f>
        <v>4553.5123419757601</v>
      </c>
      <c r="G43" s="18">
        <f>Table9[[#This Row],[Allergan Adjusted %]]*$G$84</f>
        <v>4553.5123419757601</v>
      </c>
      <c r="H43" s="18">
        <f>Table9[[#This Row],[Allergan Adjusted %]]*$H$84</f>
        <v>4727.1889994871626</v>
      </c>
      <c r="I43" s="18">
        <f>Table9[[#This Row],[Allergan Adjusted %]]*$I$84</f>
        <v>4727.1889994871626</v>
      </c>
      <c r="J43" s="18">
        <f>SUM(Table9[[#This Row],[Payment 1]:[Payment 7]])</f>
        <v>28370.111242982144</v>
      </c>
    </row>
    <row r="44" spans="1:10" x14ac:dyDescent="0.3">
      <c r="A44" t="s">
        <v>165</v>
      </c>
      <c r="B44">
        <v>6.7271250931107236E-3</v>
      </c>
      <c r="C44" s="18">
        <f>Table9[[#This Row],[Allergan Adjusted %]]*$C$84</f>
        <v>-327.90272682559691</v>
      </c>
      <c r="D44" s="18">
        <f>Table9[[#This Row],[Allergan Adjusted %]]*$D$84</f>
        <v>10249.74941977767</v>
      </c>
      <c r="E44" s="18">
        <f>Table9[[#This Row],[Allergan Adjusted %]]*$E$84</f>
        <v>8597.0626962896604</v>
      </c>
      <c r="F44" s="18">
        <f>Table9[[#This Row],[Allergan Adjusted %]]*$F$84</f>
        <v>8597.0626966368982</v>
      </c>
      <c r="G44" s="18">
        <f>Table9[[#This Row],[Allergan Adjusted %]]*$G$84</f>
        <v>8597.0626966368982</v>
      </c>
      <c r="H44" s="18">
        <f>Table9[[#This Row],[Allergan Adjusted %]]*$H$84</f>
        <v>8924.9654234624959</v>
      </c>
      <c r="I44" s="18">
        <f>Table9[[#This Row],[Allergan Adjusted %]]*$I$84</f>
        <v>8924.9654234624959</v>
      </c>
      <c r="J44" s="18">
        <f>SUM(Table9[[#This Row],[Payment 1]:[Payment 7]])</f>
        <v>53562.965629440529</v>
      </c>
    </row>
    <row r="45" spans="1:10" x14ac:dyDescent="0.3">
      <c r="A45" t="s">
        <v>166</v>
      </c>
      <c r="B45">
        <v>2.0785566573142404E-3</v>
      </c>
      <c r="C45" s="18">
        <f>Table9[[#This Row],[Allergan Adjusted %]]*$C$84</f>
        <v>-101.31584984094172</v>
      </c>
      <c r="D45" s="18">
        <f>Table9[[#This Row],[Allergan Adjusted %]]*$D$84</f>
        <v>3166.9821205049188</v>
      </c>
      <c r="E45" s="18">
        <f>Table9[[#This Row],[Allergan Adjusted %]]*$E$84</f>
        <v>2656.3326314566375</v>
      </c>
      <c r="F45" s="18">
        <f>Table9[[#This Row],[Allergan Adjusted %]]*$F$84</f>
        <v>2656.3326315639274</v>
      </c>
      <c r="G45" s="18">
        <f>Table9[[#This Row],[Allergan Adjusted %]]*$G$84</f>
        <v>2656.3326315639274</v>
      </c>
      <c r="H45" s="18">
        <f>Table9[[#This Row],[Allergan Adjusted %]]*$H$84</f>
        <v>2757.6484814048695</v>
      </c>
      <c r="I45" s="18">
        <f>Table9[[#This Row],[Allergan Adjusted %]]*$I$84</f>
        <v>2757.6484814048695</v>
      </c>
      <c r="J45" s="18">
        <f>SUM(Table9[[#This Row],[Payment 1]:[Payment 7]])</f>
        <v>16549.96112805821</v>
      </c>
    </row>
    <row r="46" spans="1:10" x14ac:dyDescent="0.3">
      <c r="A46" t="s">
        <v>167</v>
      </c>
      <c r="B46">
        <v>1.7446596822696982E-2</v>
      </c>
      <c r="C46" s="18">
        <f>Table9[[#This Row],[Allergan Adjusted %]]*$C$84</f>
        <v>-850.405870681343</v>
      </c>
      <c r="D46" s="18">
        <f>Table9[[#This Row],[Allergan Adjusted %]]*$D$84</f>
        <v>26582.41718199457</v>
      </c>
      <c r="E46" s="18">
        <f>Table9[[#This Row],[Allergan Adjusted %]]*$E$84</f>
        <v>22296.223817098151</v>
      </c>
      <c r="F46" s="18">
        <f>Table9[[#This Row],[Allergan Adjusted %]]*$F$84</f>
        <v>22296.2238179987</v>
      </c>
      <c r="G46" s="18">
        <f>Table9[[#This Row],[Allergan Adjusted %]]*$G$84</f>
        <v>22296.2238179987</v>
      </c>
      <c r="H46" s="18">
        <f>Table9[[#This Row],[Allergan Adjusted %]]*$H$84</f>
        <v>23146.629688680045</v>
      </c>
      <c r="I46" s="18">
        <f>Table9[[#This Row],[Allergan Adjusted %]]*$I$84</f>
        <v>23146.629688680045</v>
      </c>
      <c r="J46" s="18">
        <f>SUM(Table9[[#This Row],[Payment 1]:[Payment 7]])</f>
        <v>138913.94214176887</v>
      </c>
    </row>
    <row r="47" spans="1:10" x14ac:dyDescent="0.3">
      <c r="A47" t="s">
        <v>168</v>
      </c>
      <c r="B47">
        <v>6.9553330702260777E-3</v>
      </c>
      <c r="C47" s="18">
        <f>Table9[[#This Row],[Allergan Adjusted %]]*$C$84</f>
        <v>-339.02635199143657</v>
      </c>
      <c r="D47" s="18">
        <f>Table9[[#This Row],[Allergan Adjusted %]]*$D$84</f>
        <v>10597.457326000818</v>
      </c>
      <c r="E47" s="18">
        <f>Table9[[#This Row],[Allergan Adjusted %]]*$E$84</f>
        <v>8888.7055987032545</v>
      </c>
      <c r="F47" s="18">
        <f>Table9[[#This Row],[Allergan Adjusted %]]*$F$84</f>
        <v>8888.7055990622721</v>
      </c>
      <c r="G47" s="18">
        <f>Table9[[#This Row],[Allergan Adjusted %]]*$G$84</f>
        <v>8888.7055990622721</v>
      </c>
      <c r="H47" s="18">
        <f>Table9[[#This Row],[Allergan Adjusted %]]*$H$84</f>
        <v>9227.7319510537091</v>
      </c>
      <c r="I47" s="18">
        <f>Table9[[#This Row],[Allergan Adjusted %]]*$I$84</f>
        <v>9227.7319510537091</v>
      </c>
      <c r="J47" s="18">
        <f>SUM(Table9[[#This Row],[Payment 1]:[Payment 7]])</f>
        <v>55380.011672944587</v>
      </c>
    </row>
    <row r="48" spans="1:10" x14ac:dyDescent="0.3">
      <c r="A48" t="s">
        <v>169</v>
      </c>
      <c r="B48">
        <v>3.0268022409488428E-2</v>
      </c>
      <c r="C48" s="18">
        <f>Table9[[#This Row],[Allergan Adjusted %]]*$C$84</f>
        <v>-1475.3653226775475</v>
      </c>
      <c r="D48" s="18">
        <f>Table9[[#This Row],[Allergan Adjusted %]]*$D$84</f>
        <v>46117.716087543726</v>
      </c>
      <c r="E48" s="18">
        <f>Table9[[#This Row],[Allergan Adjusted %]]*$E$84</f>
        <v>38681.618484181417</v>
      </c>
      <c r="F48" s="18">
        <f>Table9[[#This Row],[Allergan Adjusted %]]*$F$84</f>
        <v>38681.618485743784</v>
      </c>
      <c r="G48" s="18">
        <f>Table9[[#This Row],[Allergan Adjusted %]]*$G$84</f>
        <v>38681.618485743784</v>
      </c>
      <c r="H48" s="18">
        <f>Table9[[#This Row],[Allergan Adjusted %]]*$H$84</f>
        <v>40156.983808421333</v>
      </c>
      <c r="I48" s="18">
        <f>Table9[[#This Row],[Allergan Adjusted %]]*$I$84</f>
        <v>40156.983808421333</v>
      </c>
      <c r="J48" s="18">
        <f>SUM(Table9[[#This Row],[Payment 1]:[Payment 7]])</f>
        <v>241001.17383737784</v>
      </c>
    </row>
    <row r="49" spans="1:10" x14ac:dyDescent="0.3">
      <c r="A49" t="s">
        <v>170</v>
      </c>
      <c r="B49">
        <v>8.3142266292569617E-4</v>
      </c>
      <c r="C49" s="18">
        <f>Table9[[#This Row],[Allergan Adjusted %]]*$C$84</f>
        <v>-40.526339936376694</v>
      </c>
      <c r="D49" s="18">
        <f>Table9[[#This Row],[Allergan Adjusted %]]*$D$84</f>
        <v>1266.7928482019674</v>
      </c>
      <c r="E49" s="18">
        <f>Table9[[#This Row],[Allergan Adjusted %]]*$E$84</f>
        <v>1062.533052582655</v>
      </c>
      <c r="F49" s="18">
        <f>Table9[[#This Row],[Allergan Adjusted %]]*$F$84</f>
        <v>1062.5330526255711</v>
      </c>
      <c r="G49" s="18">
        <f>Table9[[#This Row],[Allergan Adjusted %]]*$G$84</f>
        <v>1062.5330526255711</v>
      </c>
      <c r="H49" s="18">
        <f>Table9[[#This Row],[Allergan Adjusted %]]*$H$84</f>
        <v>1103.0593925619478</v>
      </c>
      <c r="I49" s="18">
        <f>Table9[[#This Row],[Allergan Adjusted %]]*$I$84</f>
        <v>1103.0593925619478</v>
      </c>
      <c r="J49" s="18">
        <f>SUM(Table9[[#This Row],[Payment 1]:[Payment 7]])</f>
        <v>6619.9844512232839</v>
      </c>
    </row>
    <row r="50" spans="1:10" x14ac:dyDescent="0.3">
      <c r="A50" t="s">
        <v>171</v>
      </c>
      <c r="B50">
        <v>2.6812821107250061E-3</v>
      </c>
      <c r="C50" s="18">
        <f>Table9[[#This Row],[Allergan Adjusted %]]*$C$84</f>
        <v>-130.6947177771101</v>
      </c>
      <c r="D50" s="18">
        <f>Table9[[#This Row],[Allergan Adjusted %]]*$D$84</f>
        <v>4085.3216460637527</v>
      </c>
      <c r="E50" s="18">
        <f>Table9[[#This Row],[Allergan Adjusted %]]*$E$84</f>
        <v>3426.5975573948413</v>
      </c>
      <c r="F50" s="18">
        <f>Table9[[#This Row],[Allergan Adjusted %]]*$F$84</f>
        <v>3426.5975575332427</v>
      </c>
      <c r="G50" s="18">
        <f>Table9[[#This Row],[Allergan Adjusted %]]*$G$84</f>
        <v>3426.5975575332427</v>
      </c>
      <c r="H50" s="18">
        <f>Table9[[#This Row],[Allergan Adjusted %]]*$H$84</f>
        <v>3557.292275310353</v>
      </c>
      <c r="I50" s="18">
        <f>Table9[[#This Row],[Allergan Adjusted %]]*$I$84</f>
        <v>3557.292275310353</v>
      </c>
      <c r="J50" s="18">
        <f>SUM(Table9[[#This Row],[Payment 1]:[Payment 7]])</f>
        <v>21349.004151368674</v>
      </c>
    </row>
    <row r="51" spans="1:10" x14ac:dyDescent="0.3">
      <c r="A51" t="s">
        <v>172</v>
      </c>
      <c r="B51">
        <v>2.0785566573142404E-3</v>
      </c>
      <c r="C51" s="18">
        <f>Table9[[#This Row],[Allergan Adjusted %]]*$C$84</f>
        <v>-101.31584984094172</v>
      </c>
      <c r="D51" s="18">
        <f>Table9[[#This Row],[Allergan Adjusted %]]*$D$84</f>
        <v>3166.9821205049188</v>
      </c>
      <c r="E51" s="18">
        <f>Table9[[#This Row],[Allergan Adjusted %]]*$E$84</f>
        <v>2656.3326314566375</v>
      </c>
      <c r="F51" s="18">
        <f>Table9[[#This Row],[Allergan Adjusted %]]*$F$84</f>
        <v>2656.3326315639274</v>
      </c>
      <c r="G51" s="18">
        <f>Table9[[#This Row],[Allergan Adjusted %]]*$G$84</f>
        <v>2656.3326315639274</v>
      </c>
      <c r="H51" s="18">
        <f>Table9[[#This Row],[Allergan Adjusted %]]*$H$84</f>
        <v>2757.6484814048695</v>
      </c>
      <c r="I51" s="18">
        <f>Table9[[#This Row],[Allergan Adjusted %]]*$I$84</f>
        <v>2757.6484814048695</v>
      </c>
      <c r="J51" s="18">
        <f>SUM(Table9[[#This Row],[Payment 1]:[Payment 7]])</f>
        <v>16549.96112805821</v>
      </c>
    </row>
    <row r="52" spans="1:10" x14ac:dyDescent="0.3">
      <c r="A52" t="s">
        <v>173</v>
      </c>
      <c r="B52">
        <v>2.6311313066889618E-2</v>
      </c>
      <c r="C52" s="18">
        <f>Table9[[#This Row],[Allergan Adjusted %]]*$C$84</f>
        <v>-1282.5019873393726</v>
      </c>
      <c r="D52" s="18">
        <f>Table9[[#This Row],[Allergan Adjusted %]]*$D$84</f>
        <v>40089.096323944585</v>
      </c>
      <c r="E52" s="18">
        <f>Table9[[#This Row],[Allergan Adjusted %]]*$E$84</f>
        <v>33625.063444919106</v>
      </c>
      <c r="F52" s="18">
        <f>Table9[[#This Row],[Allergan Adjusted %]]*$F$84</f>
        <v>33625.063446277229</v>
      </c>
      <c r="G52" s="18">
        <f>Table9[[#This Row],[Allergan Adjusted %]]*$G$84</f>
        <v>33625.063446277229</v>
      </c>
      <c r="H52" s="18">
        <f>Table9[[#This Row],[Allergan Adjusted %]]*$H$84</f>
        <v>34907.565433616604</v>
      </c>
      <c r="I52" s="18">
        <f>Table9[[#This Row],[Allergan Adjusted %]]*$I$84</f>
        <v>34907.565433616604</v>
      </c>
      <c r="J52" s="18">
        <f>SUM(Table9[[#This Row],[Payment 1]:[Payment 7]])</f>
        <v>209496.91554131199</v>
      </c>
    </row>
    <row r="53" spans="1:10" x14ac:dyDescent="0.3">
      <c r="A53" t="s">
        <v>174</v>
      </c>
      <c r="B53">
        <v>9.2275539981756163E-3</v>
      </c>
      <c r="C53" s="18">
        <f>Table9[[#This Row],[Allergan Adjusted %]]*$C$84</f>
        <v>-449.78205043799414</v>
      </c>
      <c r="D53" s="18">
        <f>Table9[[#This Row],[Allergan Adjusted %]]*$D$84</f>
        <v>14059.51501268016</v>
      </c>
      <c r="E53" s="18">
        <f>Table9[[#This Row],[Allergan Adjusted %]]*$E$84</f>
        <v>11792.535318981378</v>
      </c>
      <c r="F53" s="18">
        <f>Table9[[#This Row],[Allergan Adjusted %]]*$F$84</f>
        <v>11792.535319457682</v>
      </c>
      <c r="G53" s="18">
        <f>Table9[[#This Row],[Allergan Adjusted %]]*$G$84</f>
        <v>11792.535319457682</v>
      </c>
      <c r="H53" s="18">
        <f>Table9[[#This Row],[Allergan Adjusted %]]*$H$84</f>
        <v>12242.317369895676</v>
      </c>
      <c r="I53" s="18">
        <f>Table9[[#This Row],[Allergan Adjusted %]]*$I$84</f>
        <v>12242.317369895676</v>
      </c>
      <c r="J53" s="18">
        <f>SUM(Table9[[#This Row],[Payment 1]:[Payment 7]])</f>
        <v>73471.973659930256</v>
      </c>
    </row>
    <row r="54" spans="1:10" x14ac:dyDescent="0.3">
      <c r="A54" t="s">
        <v>175</v>
      </c>
      <c r="B54">
        <v>8.3142266292569617E-4</v>
      </c>
      <c r="C54" s="18">
        <f>Table9[[#This Row],[Allergan Adjusted %]]*$C$84</f>
        <v>-40.526339936376694</v>
      </c>
      <c r="D54" s="18">
        <f>Table9[[#This Row],[Allergan Adjusted %]]*$D$84</f>
        <v>1266.7928482019674</v>
      </c>
      <c r="E54" s="18">
        <f>Table9[[#This Row],[Allergan Adjusted %]]*$E$84</f>
        <v>1062.533052582655</v>
      </c>
      <c r="F54" s="18">
        <f>Table9[[#This Row],[Allergan Adjusted %]]*$F$84</f>
        <v>1062.5330526255711</v>
      </c>
      <c r="G54" s="18">
        <f>Table9[[#This Row],[Allergan Adjusted %]]*$G$84</f>
        <v>1062.5330526255711</v>
      </c>
      <c r="H54" s="18">
        <f>Table9[[#This Row],[Allergan Adjusted %]]*$H$84</f>
        <v>1103.0593925619478</v>
      </c>
      <c r="I54" s="18">
        <f>Table9[[#This Row],[Allergan Adjusted %]]*$I$84</f>
        <v>1103.0593925619478</v>
      </c>
      <c r="J54" s="18">
        <f>SUM(Table9[[#This Row],[Payment 1]:[Payment 7]])</f>
        <v>6619.9844512232839</v>
      </c>
    </row>
    <row r="55" spans="1:10" x14ac:dyDescent="0.3">
      <c r="A55" t="s">
        <v>176</v>
      </c>
      <c r="B55">
        <v>8.9418091656402448E-3</v>
      </c>
      <c r="C55" s="18">
        <f>Table9[[#This Row],[Allergan Adjusted %]]*$C$84</f>
        <v>-435.85388521617796</v>
      </c>
      <c r="D55" s="18">
        <f>Table9[[#This Row],[Allergan Adjusted %]]*$D$84</f>
        <v>13624.14137372653</v>
      </c>
      <c r="E55" s="18">
        <f>Table9[[#This Row],[Allergan Adjusted %]]*$E$84</f>
        <v>11427.362053069739</v>
      </c>
      <c r="F55" s="18">
        <f>Table9[[#This Row],[Allergan Adjusted %]]*$F$84</f>
        <v>11427.362053531293</v>
      </c>
      <c r="G55" s="18">
        <f>Table9[[#This Row],[Allergan Adjusted %]]*$G$84</f>
        <v>11427.362053531293</v>
      </c>
      <c r="H55" s="18">
        <f>Table9[[#This Row],[Allergan Adjusted %]]*$H$84</f>
        <v>11863.215938747473</v>
      </c>
      <c r="I55" s="18">
        <f>Table9[[#This Row],[Allergan Adjusted %]]*$I$84</f>
        <v>11863.215938747473</v>
      </c>
      <c r="J55" s="18">
        <f>SUM(Table9[[#This Row],[Payment 1]:[Payment 7]])</f>
        <v>71196.805526137628</v>
      </c>
    </row>
    <row r="56" spans="1:10" x14ac:dyDescent="0.3">
      <c r="A56" t="s">
        <v>177</v>
      </c>
      <c r="B56">
        <v>3.720501156653986E-3</v>
      </c>
      <c r="C56" s="18">
        <f>Table9[[#This Row],[Allergan Adjusted %]]*$C$84</f>
        <v>-181.34975305781037</v>
      </c>
      <c r="D56" s="18">
        <f>Table9[[#This Row],[Allergan Adjusted %]]*$D$84</f>
        <v>5668.7223804935238</v>
      </c>
      <c r="E56" s="18">
        <f>Table9[[#This Row],[Allergan Adjusted %]]*$E$84</f>
        <v>4754.6881115870547</v>
      </c>
      <c r="F56" s="18">
        <f>Table9[[#This Row],[Allergan Adjusted %]]*$F$84</f>
        <v>4754.6881117790981</v>
      </c>
      <c r="G56" s="18">
        <f>Table9[[#This Row],[Allergan Adjusted %]]*$G$84</f>
        <v>4754.6881117790981</v>
      </c>
      <c r="H56" s="18">
        <f>Table9[[#This Row],[Allergan Adjusted %]]*$H$84</f>
        <v>4936.0378648369087</v>
      </c>
      <c r="I56" s="18">
        <f>Table9[[#This Row],[Allergan Adjusted %]]*$I$84</f>
        <v>4936.0378648369087</v>
      </c>
      <c r="J56" s="18">
        <f>SUM(Table9[[#This Row],[Payment 1]:[Payment 7]])</f>
        <v>29623.512692254779</v>
      </c>
    </row>
    <row r="57" spans="1:10" x14ac:dyDescent="0.3">
      <c r="A57" t="s">
        <v>178</v>
      </c>
      <c r="B57">
        <v>1.3602536885232311E-2</v>
      </c>
      <c r="C57" s="18">
        <f>Table9[[#This Row],[Allergan Adjusted %]]*$C$84</f>
        <v>-663.03344663253802</v>
      </c>
      <c r="D57" s="18">
        <f>Table9[[#This Row],[Allergan Adjusted %]]*$D$84</f>
        <v>20725.435102982919</v>
      </c>
      <c r="E57" s="18">
        <f>Table9[[#This Row],[Allergan Adjusted %]]*$E$84</f>
        <v>17383.631315358693</v>
      </c>
      <c r="F57" s="18">
        <f>Table9[[#This Row],[Allergan Adjusted %]]*$F$84</f>
        <v>17383.631316060822</v>
      </c>
      <c r="G57" s="18">
        <f>Table9[[#This Row],[Allergan Adjusted %]]*$G$84</f>
        <v>17383.631316060822</v>
      </c>
      <c r="H57" s="18">
        <f>Table9[[#This Row],[Allergan Adjusted %]]*$H$84</f>
        <v>18046.664762693363</v>
      </c>
      <c r="I57" s="18">
        <f>Table9[[#This Row],[Allergan Adjusted %]]*$I$84</f>
        <v>18046.664762693363</v>
      </c>
      <c r="J57" s="18">
        <f>SUM(Table9[[#This Row],[Payment 1]:[Payment 7]])</f>
        <v>108306.62512921746</v>
      </c>
    </row>
    <row r="58" spans="1:10" x14ac:dyDescent="0.3">
      <c r="A58" t="s">
        <v>179</v>
      </c>
      <c r="B58">
        <v>8.3142266292569628E-4</v>
      </c>
      <c r="C58" s="18">
        <f>Table9[[#This Row],[Allergan Adjusted %]]*$C$84</f>
        <v>-40.526339936376694</v>
      </c>
      <c r="D58" s="18">
        <f>Table9[[#This Row],[Allergan Adjusted %]]*$D$84</f>
        <v>1266.7928482019677</v>
      </c>
      <c r="E58" s="18">
        <f>Table9[[#This Row],[Allergan Adjusted %]]*$E$84</f>
        <v>1062.533052582655</v>
      </c>
      <c r="F58" s="18">
        <f>Table9[[#This Row],[Allergan Adjusted %]]*$F$84</f>
        <v>1062.5330526255711</v>
      </c>
      <c r="G58" s="18">
        <f>Table9[[#This Row],[Allergan Adjusted %]]*$G$84</f>
        <v>1062.5330526255711</v>
      </c>
      <c r="H58" s="18">
        <f>Table9[[#This Row],[Allergan Adjusted %]]*$H$84</f>
        <v>1103.059392561948</v>
      </c>
      <c r="I58" s="18">
        <f>Table9[[#This Row],[Allergan Adjusted %]]*$I$84</f>
        <v>1103.059392561948</v>
      </c>
      <c r="J58" s="18">
        <f>SUM(Table9[[#This Row],[Payment 1]:[Payment 7]])</f>
        <v>6619.9844512232839</v>
      </c>
    </row>
    <row r="59" spans="1:10" x14ac:dyDescent="0.3">
      <c r="A59" t="s">
        <v>180</v>
      </c>
      <c r="B59">
        <v>2.0785566573142404E-3</v>
      </c>
      <c r="C59" s="18">
        <f>Table9[[#This Row],[Allergan Adjusted %]]*$C$84</f>
        <v>-101.31584984094172</v>
      </c>
      <c r="D59" s="18">
        <f>Table9[[#This Row],[Allergan Adjusted %]]*$D$84</f>
        <v>3166.9821205049188</v>
      </c>
      <c r="E59" s="18">
        <f>Table9[[#This Row],[Allergan Adjusted %]]*$E$84</f>
        <v>2656.3326314566375</v>
      </c>
      <c r="F59" s="18">
        <f>Table9[[#This Row],[Allergan Adjusted %]]*$F$84</f>
        <v>2656.3326315639274</v>
      </c>
      <c r="G59" s="18">
        <f>Table9[[#This Row],[Allergan Adjusted %]]*$G$84</f>
        <v>2656.3326315639274</v>
      </c>
      <c r="H59" s="18">
        <f>Table9[[#This Row],[Allergan Adjusted %]]*$H$84</f>
        <v>2757.6484814048695</v>
      </c>
      <c r="I59" s="18">
        <f>Table9[[#This Row],[Allergan Adjusted %]]*$I$84</f>
        <v>2757.6484814048695</v>
      </c>
      <c r="J59" s="18">
        <f>SUM(Table9[[#This Row],[Payment 1]:[Payment 7]])</f>
        <v>16549.96112805821</v>
      </c>
    </row>
    <row r="60" spans="1:10" x14ac:dyDescent="0.3">
      <c r="A60" t="s">
        <v>181</v>
      </c>
      <c r="B60">
        <v>2.0785566573142404E-3</v>
      </c>
      <c r="C60" s="18">
        <f>Table9[[#This Row],[Allergan Adjusted %]]*$C$84</f>
        <v>-101.31584984094172</v>
      </c>
      <c r="D60" s="18">
        <f>Table9[[#This Row],[Allergan Adjusted %]]*$D$84</f>
        <v>3166.9821205049188</v>
      </c>
      <c r="E60" s="18">
        <f>Table9[[#This Row],[Allergan Adjusted %]]*$E$84</f>
        <v>2656.3326314566375</v>
      </c>
      <c r="F60" s="18">
        <f>Table9[[#This Row],[Allergan Adjusted %]]*$F$84</f>
        <v>2656.3326315639274</v>
      </c>
      <c r="G60" s="18">
        <f>Table9[[#This Row],[Allergan Adjusted %]]*$G$84</f>
        <v>2656.3326315639274</v>
      </c>
      <c r="H60" s="18">
        <f>Table9[[#This Row],[Allergan Adjusted %]]*$H$84</f>
        <v>2757.6484814048695</v>
      </c>
      <c r="I60" s="18">
        <f>Table9[[#This Row],[Allergan Adjusted %]]*$I$84</f>
        <v>2757.6484814048695</v>
      </c>
      <c r="J60" s="18">
        <f>SUM(Table9[[#This Row],[Payment 1]:[Payment 7]])</f>
        <v>16549.96112805821</v>
      </c>
    </row>
    <row r="61" spans="1:10" x14ac:dyDescent="0.3">
      <c r="A61" t="s">
        <v>182</v>
      </c>
      <c r="B61">
        <v>2.0785566573142404E-3</v>
      </c>
      <c r="C61" s="18">
        <f>Table9[[#This Row],[Allergan Adjusted %]]*$C$84</f>
        <v>-101.31584984094172</v>
      </c>
      <c r="D61" s="18">
        <f>Table9[[#This Row],[Allergan Adjusted %]]*$D$84</f>
        <v>3166.9821205049188</v>
      </c>
      <c r="E61" s="18">
        <f>Table9[[#This Row],[Allergan Adjusted %]]*$E$84</f>
        <v>2656.3326314566375</v>
      </c>
      <c r="F61" s="18">
        <f>Table9[[#This Row],[Allergan Adjusted %]]*$F$84</f>
        <v>2656.3326315639274</v>
      </c>
      <c r="G61" s="18">
        <f>Table9[[#This Row],[Allergan Adjusted %]]*$G$84</f>
        <v>2656.3326315639274</v>
      </c>
      <c r="H61" s="18">
        <f>Table9[[#This Row],[Allergan Adjusted %]]*$H$84</f>
        <v>2757.6484814048695</v>
      </c>
      <c r="I61" s="18">
        <f>Table9[[#This Row],[Allergan Adjusted %]]*$I$84</f>
        <v>2757.6484814048695</v>
      </c>
      <c r="J61" s="18">
        <f>SUM(Table9[[#This Row],[Payment 1]:[Payment 7]])</f>
        <v>16549.96112805821</v>
      </c>
    </row>
    <row r="62" spans="1:10" x14ac:dyDescent="0.3">
      <c r="A62" t="s">
        <v>183</v>
      </c>
      <c r="B62">
        <v>2.8888026791500155E-3</v>
      </c>
      <c r="C62" s="18">
        <f>Table9[[#This Row],[Allergan Adjusted %]]*$C$84</f>
        <v>-140.80996899023904</v>
      </c>
      <c r="D62" s="18">
        <f>Table9[[#This Row],[Allergan Adjusted %]]*$D$84</f>
        <v>4401.5092888332438</v>
      </c>
      <c r="E62" s="18">
        <f>Table9[[#This Row],[Allergan Adjusted %]]*$E$84</f>
        <v>3691.8025763035198</v>
      </c>
      <c r="F62" s="18">
        <f>Table9[[#This Row],[Allergan Adjusted %]]*$F$84</f>
        <v>3691.8025764526328</v>
      </c>
      <c r="G62" s="18">
        <f>Table9[[#This Row],[Allergan Adjusted %]]*$G$84</f>
        <v>3691.8025764526328</v>
      </c>
      <c r="H62" s="18">
        <f>Table9[[#This Row],[Allergan Adjusted %]]*$H$84</f>
        <v>3832.6125454428725</v>
      </c>
      <c r="I62" s="18">
        <f>Table9[[#This Row],[Allergan Adjusted %]]*$I$84</f>
        <v>3832.6125454428725</v>
      </c>
      <c r="J62" s="18">
        <f>SUM(Table9[[#This Row],[Payment 1]:[Payment 7]])</f>
        <v>23001.332139937535</v>
      </c>
    </row>
    <row r="63" spans="1:10" x14ac:dyDescent="0.3">
      <c r="A63" t="s">
        <v>184</v>
      </c>
      <c r="B63">
        <v>2.5289629832233311E-2</v>
      </c>
      <c r="C63" s="18">
        <f>Table9[[#This Row],[Allergan Adjusted %]]*$C$84</f>
        <v>-1232.7017065420246</v>
      </c>
      <c r="D63" s="18">
        <f>Table9[[#This Row],[Allergan Adjusted %]]*$D$84</f>
        <v>38532.413937832949</v>
      </c>
      <c r="E63" s="18">
        <f>Table9[[#This Row],[Allergan Adjusted %]]*$E$84</f>
        <v>32319.383127916601</v>
      </c>
      <c r="F63" s="18">
        <f>Table9[[#This Row],[Allergan Adjusted %]]*$F$84</f>
        <v>32319.383129221991</v>
      </c>
      <c r="G63" s="18">
        <f>Table9[[#This Row],[Allergan Adjusted %]]*$G$84</f>
        <v>32319.383129221991</v>
      </c>
      <c r="H63" s="18">
        <f>Table9[[#This Row],[Allergan Adjusted %]]*$H$84</f>
        <v>33552.084835764021</v>
      </c>
      <c r="I63" s="18">
        <f>Table9[[#This Row],[Allergan Adjusted %]]*$I$84</f>
        <v>33552.084835764021</v>
      </c>
      <c r="J63" s="18">
        <f>SUM(Table9[[#This Row],[Payment 1]:[Payment 7]])</f>
        <v>201362.03128917955</v>
      </c>
    </row>
    <row r="64" spans="1:10" x14ac:dyDescent="0.3">
      <c r="A64" t="s">
        <v>185</v>
      </c>
      <c r="B64">
        <v>7.4060115009528223E-3</v>
      </c>
      <c r="C64" s="18">
        <f>Table9[[#This Row],[Allergan Adjusted %]]*$C$84</f>
        <v>-360.99393610966877</v>
      </c>
      <c r="D64" s="18">
        <f>Table9[[#This Row],[Allergan Adjusted %]]*$D$84</f>
        <v>11284.131190379891</v>
      </c>
      <c r="E64" s="18">
        <f>Table9[[#This Row],[Allergan Adjusted %]]*$E$84</f>
        <v>9464.6590217771263</v>
      </c>
      <c r="F64" s="18">
        <f>Table9[[#This Row],[Allergan Adjusted %]]*$F$84</f>
        <v>9464.659022159407</v>
      </c>
      <c r="G64" s="18">
        <f>Table9[[#This Row],[Allergan Adjusted %]]*$G$84</f>
        <v>9464.659022159407</v>
      </c>
      <c r="H64" s="18">
        <f>Table9[[#This Row],[Allergan Adjusted %]]*$H$84</f>
        <v>9825.6529582690764</v>
      </c>
      <c r="I64" s="18">
        <f>Table9[[#This Row],[Allergan Adjusted %]]*$I$84</f>
        <v>9825.6529582690764</v>
      </c>
      <c r="J64" s="18">
        <f>SUM(Table9[[#This Row],[Payment 1]:[Payment 7]])</f>
        <v>58968.42023690432</v>
      </c>
    </row>
    <row r="65" spans="1:10" x14ac:dyDescent="0.3">
      <c r="A65" t="s">
        <v>186</v>
      </c>
      <c r="B65">
        <v>0.12960314060682437</v>
      </c>
      <c r="C65" s="18">
        <f>Table9[[#This Row],[Allergan Adjusted %]]*$C$84</f>
        <v>-6317.293438420008</v>
      </c>
      <c r="D65" s="18">
        <f>Table9[[#This Row],[Allergan Adjusted %]]*$D$84</f>
        <v>197469.15611790563</v>
      </c>
      <c r="E65" s="18">
        <f>Table9[[#This Row],[Allergan Adjusted %]]*$E$84</f>
        <v>165628.89942004744</v>
      </c>
      <c r="F65" s="18">
        <f>Table9[[#This Row],[Allergan Adjusted %]]*$F$84</f>
        <v>165628.89942673725</v>
      </c>
      <c r="G65" s="18">
        <f>Table9[[#This Row],[Allergan Adjusted %]]*$G$84</f>
        <v>165628.89942673725</v>
      </c>
      <c r="H65" s="18">
        <f>Table9[[#This Row],[Allergan Adjusted %]]*$H$84</f>
        <v>171946.1928651573</v>
      </c>
      <c r="I65" s="18">
        <f>Table9[[#This Row],[Allergan Adjusted %]]*$I$84</f>
        <v>171946.1928651573</v>
      </c>
      <c r="J65" s="18">
        <f>SUM(Table9[[#This Row],[Payment 1]:[Payment 7]])</f>
        <v>1031930.9466833221</v>
      </c>
    </row>
    <row r="66" spans="1:10" x14ac:dyDescent="0.3">
      <c r="A66" t="s">
        <v>189</v>
      </c>
      <c r="B66">
        <v>8.3142266292569617E-4</v>
      </c>
      <c r="C66" s="18">
        <f>Table9[[#This Row],[Allergan Adjusted %]]*$C$84</f>
        <v>-40.526339936376694</v>
      </c>
      <c r="D66" s="18">
        <f>Table9[[#This Row],[Allergan Adjusted %]]*$D$84</f>
        <v>1266.7928482019674</v>
      </c>
      <c r="E66" s="18">
        <f>Table9[[#This Row],[Allergan Adjusted %]]*$E$84</f>
        <v>1062.533052582655</v>
      </c>
      <c r="F66" s="18">
        <f>Table9[[#This Row],[Allergan Adjusted %]]*$F$84</f>
        <v>1062.5330526255711</v>
      </c>
      <c r="G66" s="18">
        <f>Table9[[#This Row],[Allergan Adjusted %]]*$G$84</f>
        <v>1062.5330526255711</v>
      </c>
      <c r="H66" s="18">
        <f>Table9[[#This Row],[Allergan Adjusted %]]*$H$84</f>
        <v>1103.0593925619478</v>
      </c>
      <c r="I66" s="18">
        <f>Table9[[#This Row],[Allergan Adjusted %]]*$I$84</f>
        <v>1103.0593925619478</v>
      </c>
      <c r="J66" s="18">
        <f>SUM(Table9[[#This Row],[Payment 1]:[Payment 7]])</f>
        <v>6619.9844512232839</v>
      </c>
    </row>
    <row r="67" spans="1:10" x14ac:dyDescent="0.3">
      <c r="A67" t="s">
        <v>191</v>
      </c>
      <c r="B67">
        <v>3.3414852025936359E-2</v>
      </c>
      <c r="C67" s="18">
        <f>Table9[[#This Row],[Allergan Adjusted %]]*$C$84</f>
        <v>-1628.7523933514003</v>
      </c>
      <c r="D67" s="18">
        <f>Table9[[#This Row],[Allergan Adjusted %]]*$D$84</f>
        <v>50912.366787343861</v>
      </c>
      <c r="E67" s="18">
        <f>Table9[[#This Row],[Allergan Adjusted %]]*$E$84</f>
        <v>42703.171693419288</v>
      </c>
      <c r="F67" s="18">
        <f>Table9[[#This Row],[Allergan Adjusted %]]*$F$84</f>
        <v>42703.171695144083</v>
      </c>
      <c r="G67" s="18">
        <f>Table9[[#This Row],[Allergan Adjusted %]]*$G$84</f>
        <v>42703.171695144083</v>
      </c>
      <c r="H67" s="18">
        <f>Table9[[#This Row],[Allergan Adjusted %]]*$H$84</f>
        <v>44331.924088495485</v>
      </c>
      <c r="I67" s="18">
        <f>Table9[[#This Row],[Allergan Adjusted %]]*$I$84</f>
        <v>44331.924088495485</v>
      </c>
      <c r="J67" s="18">
        <f>SUM(Table9[[#This Row],[Payment 1]:[Payment 7]])</f>
        <v>266056.97765469091</v>
      </c>
    </row>
    <row r="68" spans="1:10" x14ac:dyDescent="0.3">
      <c r="A68" t="s">
        <v>192</v>
      </c>
      <c r="B68">
        <v>8.3142266292569617E-4</v>
      </c>
      <c r="C68" s="18">
        <f>Table9[[#This Row],[Allergan Adjusted %]]*$C$84</f>
        <v>-40.526339936376694</v>
      </c>
      <c r="D68" s="18">
        <f>Table9[[#This Row],[Allergan Adjusted %]]*$D$84</f>
        <v>1266.7928482019674</v>
      </c>
      <c r="E68" s="18">
        <f>Table9[[#This Row],[Allergan Adjusted %]]*$E$84</f>
        <v>1062.533052582655</v>
      </c>
      <c r="F68" s="18">
        <f>Table9[[#This Row],[Allergan Adjusted %]]*$F$84</f>
        <v>1062.5330526255711</v>
      </c>
      <c r="G68" s="18">
        <f>Table9[[#This Row],[Allergan Adjusted %]]*$G$84</f>
        <v>1062.5330526255711</v>
      </c>
      <c r="H68" s="18">
        <f>Table9[[#This Row],[Allergan Adjusted %]]*$H$84</f>
        <v>1103.0593925619478</v>
      </c>
      <c r="I68" s="18">
        <f>Table9[[#This Row],[Allergan Adjusted %]]*$I$84</f>
        <v>1103.0593925619478</v>
      </c>
      <c r="J68" s="18">
        <f>SUM(Table9[[#This Row],[Payment 1]:[Payment 7]])</f>
        <v>6619.9844512232839</v>
      </c>
    </row>
    <row r="69" spans="1:10" x14ac:dyDescent="0.3">
      <c r="A69" t="s">
        <v>194</v>
      </c>
      <c r="B69">
        <v>8.3142266292569617E-4</v>
      </c>
      <c r="C69" s="18">
        <f>Table9[[#This Row],[Allergan Adjusted %]]*$C$84</f>
        <v>-40.526339936376694</v>
      </c>
      <c r="D69" s="18">
        <f>Table9[[#This Row],[Allergan Adjusted %]]*$D$84</f>
        <v>1266.7928482019674</v>
      </c>
      <c r="E69" s="18">
        <f>Table9[[#This Row],[Allergan Adjusted %]]*$E$84</f>
        <v>1062.533052582655</v>
      </c>
      <c r="F69" s="18">
        <f>Table9[[#This Row],[Allergan Adjusted %]]*$F$84</f>
        <v>1062.5330526255711</v>
      </c>
      <c r="G69" s="18">
        <f>Table9[[#This Row],[Allergan Adjusted %]]*$G$84</f>
        <v>1062.5330526255711</v>
      </c>
      <c r="H69" s="18">
        <f>Table9[[#This Row],[Allergan Adjusted %]]*$H$84</f>
        <v>1103.0593925619478</v>
      </c>
      <c r="I69" s="18">
        <f>Table9[[#This Row],[Allergan Adjusted %]]*$I$84</f>
        <v>1103.0593925619478</v>
      </c>
      <c r="J69" s="18">
        <f>SUM(Table9[[#This Row],[Payment 1]:[Payment 7]])</f>
        <v>6619.9844512232839</v>
      </c>
    </row>
    <row r="70" spans="1:10" x14ac:dyDescent="0.3">
      <c r="A70" t="s">
        <v>195</v>
      </c>
      <c r="B70">
        <v>8.3142266292569617E-4</v>
      </c>
      <c r="C70" s="18">
        <f>Table9[[#This Row],[Allergan Adjusted %]]*$C$84</f>
        <v>-40.526339936376694</v>
      </c>
      <c r="D70" s="18">
        <f>Table9[[#This Row],[Allergan Adjusted %]]*$D$84</f>
        <v>1266.7928482019674</v>
      </c>
      <c r="E70" s="18">
        <f>Table9[[#This Row],[Allergan Adjusted %]]*$E$84</f>
        <v>1062.533052582655</v>
      </c>
      <c r="F70" s="18">
        <f>Table9[[#This Row],[Allergan Adjusted %]]*$F$84</f>
        <v>1062.5330526255711</v>
      </c>
      <c r="G70" s="18">
        <f>Table9[[#This Row],[Allergan Adjusted %]]*$G$84</f>
        <v>1062.5330526255711</v>
      </c>
      <c r="H70" s="18">
        <f>Table9[[#This Row],[Allergan Adjusted %]]*$H$84</f>
        <v>1103.0593925619478</v>
      </c>
      <c r="I70" s="18">
        <f>Table9[[#This Row],[Allergan Adjusted %]]*$I$84</f>
        <v>1103.0593925619478</v>
      </c>
      <c r="J70" s="18">
        <f>SUM(Table9[[#This Row],[Payment 1]:[Payment 7]])</f>
        <v>6619.9844512232839</v>
      </c>
    </row>
    <row r="71" spans="1:10" x14ac:dyDescent="0.3">
      <c r="A71" t="s">
        <v>196</v>
      </c>
      <c r="B71">
        <v>2.7154648211781909E-3</v>
      </c>
      <c r="C71" s="18">
        <f>Table9[[#This Row],[Allergan Adjusted %]]*$C$84</f>
        <v>-132.36089817553437</v>
      </c>
      <c r="D71" s="18">
        <f>Table9[[#This Row],[Allergan Adjusted %]]*$D$84</f>
        <v>4137.4039563797551</v>
      </c>
      <c r="E71" s="18">
        <f>Table9[[#This Row],[Allergan Adjusted %]]*$E$84</f>
        <v>3470.2820289674155</v>
      </c>
      <c r="F71" s="18">
        <f>Table9[[#This Row],[Allergan Adjusted %]]*$F$84</f>
        <v>3470.2820291075814</v>
      </c>
      <c r="G71" s="18">
        <f>Table9[[#This Row],[Allergan Adjusted %]]*$G$84</f>
        <v>3470.2820291075814</v>
      </c>
      <c r="H71" s="18">
        <f>Table9[[#This Row],[Allergan Adjusted %]]*$H$84</f>
        <v>3602.642927283116</v>
      </c>
      <c r="I71" s="18">
        <f>Table9[[#This Row],[Allergan Adjusted %]]*$I$84</f>
        <v>3602.642927283116</v>
      </c>
      <c r="J71" s="18">
        <f>SUM(Table9[[#This Row],[Payment 1]:[Payment 7]])</f>
        <v>21621.174999953029</v>
      </c>
    </row>
    <row r="72" spans="1:10" x14ac:dyDescent="0.3">
      <c r="A72" t="s">
        <v>197</v>
      </c>
      <c r="B72">
        <v>2.071892466452032E-3</v>
      </c>
      <c r="C72" s="18">
        <f>Table9[[#This Row],[Allergan Adjusted %]]*$C$84</f>
        <v>-100.99101474042573</v>
      </c>
      <c r="D72" s="18">
        <f>Table9[[#This Row],[Allergan Adjusted %]]*$D$84</f>
        <v>3156.8282605011618</v>
      </c>
      <c r="E72" s="18">
        <f>Table9[[#This Row],[Allergan Adjusted %]]*$E$84</f>
        <v>2647.8159968067007</v>
      </c>
      <c r="F72" s="18">
        <f>Table9[[#This Row],[Allergan Adjusted %]]*$F$84</f>
        <v>2647.8159969136468</v>
      </c>
      <c r="G72" s="18">
        <f>Table9[[#This Row],[Allergan Adjusted %]]*$G$84</f>
        <v>2647.8159969136468</v>
      </c>
      <c r="H72" s="18">
        <f>Table9[[#This Row],[Allergan Adjusted %]]*$H$84</f>
        <v>2748.807011654073</v>
      </c>
      <c r="I72" s="18">
        <f>Table9[[#This Row],[Allergan Adjusted %]]*$I$84</f>
        <v>2748.807011654073</v>
      </c>
      <c r="J72" s="18">
        <f>SUM(Table9[[#This Row],[Payment 1]:[Payment 7]])</f>
        <v>16496.899259702877</v>
      </c>
    </row>
    <row r="73" spans="1:10" x14ac:dyDescent="0.3">
      <c r="A73" t="s">
        <v>198</v>
      </c>
      <c r="B73">
        <v>1.6917532507479485E-2</v>
      </c>
      <c r="C73" s="18">
        <f>Table9[[#This Row],[Allergan Adjusted %]]*$C$84</f>
        <v>-824.61749463291812</v>
      </c>
      <c r="D73" s="18">
        <f>Table9[[#This Row],[Allergan Adjusted %]]*$D$84</f>
        <v>25776.311069373132</v>
      </c>
      <c r="E73" s="18">
        <f>Table9[[#This Row],[Allergan Adjusted %]]*$E$84</f>
        <v>21620.095601056441</v>
      </c>
      <c r="F73" s="18">
        <f>Table9[[#This Row],[Allergan Adjusted %]]*$F$84</f>
        <v>21620.095601929683</v>
      </c>
      <c r="G73" s="18">
        <f>Table9[[#This Row],[Allergan Adjusted %]]*$G$84</f>
        <v>21620.095601929683</v>
      </c>
      <c r="H73" s="18">
        <f>Table9[[#This Row],[Allergan Adjusted %]]*$H$84</f>
        <v>22444.713096562602</v>
      </c>
      <c r="I73" s="18">
        <f>Table9[[#This Row],[Allergan Adjusted %]]*$I$84</f>
        <v>22444.713096562602</v>
      </c>
      <c r="J73" s="18">
        <f>SUM(Table9[[#This Row],[Payment 1]:[Payment 7]])</f>
        <v>134701.40657278124</v>
      </c>
    </row>
    <row r="74" spans="1:10" x14ac:dyDescent="0.3">
      <c r="A74" t="s">
        <v>199</v>
      </c>
      <c r="B74">
        <v>2.0785566573142404E-3</v>
      </c>
      <c r="C74" s="18">
        <f>Table9[[#This Row],[Allergan Adjusted %]]*$C$84</f>
        <v>-101.31584984094172</v>
      </c>
      <c r="D74" s="18">
        <f>Table9[[#This Row],[Allergan Adjusted %]]*$D$84</f>
        <v>3166.9821205049188</v>
      </c>
      <c r="E74" s="18">
        <f>Table9[[#This Row],[Allergan Adjusted %]]*$E$84</f>
        <v>2656.3326314566375</v>
      </c>
      <c r="F74" s="18">
        <f>Table9[[#This Row],[Allergan Adjusted %]]*$F$84</f>
        <v>2656.3326315639274</v>
      </c>
      <c r="G74" s="18">
        <f>Table9[[#This Row],[Allergan Adjusted %]]*$G$84</f>
        <v>2656.3326315639274</v>
      </c>
      <c r="H74" s="18">
        <f>Table9[[#This Row],[Allergan Adjusted %]]*$H$84</f>
        <v>2757.6484814048695</v>
      </c>
      <c r="I74" s="18">
        <f>Table9[[#This Row],[Allergan Adjusted %]]*$I$84</f>
        <v>2757.6484814048695</v>
      </c>
      <c r="J74" s="18">
        <f>SUM(Table9[[#This Row],[Payment 1]:[Payment 7]])</f>
        <v>16549.96112805821</v>
      </c>
    </row>
    <row r="75" spans="1:10" x14ac:dyDescent="0.3">
      <c r="A75" t="s">
        <v>200</v>
      </c>
      <c r="B75">
        <v>8.3142266292569617E-4</v>
      </c>
      <c r="C75" s="18">
        <f>Table9[[#This Row],[Allergan Adjusted %]]*$C$84</f>
        <v>-40.526339936376694</v>
      </c>
      <c r="D75" s="18">
        <f>Table9[[#This Row],[Allergan Adjusted %]]*$D$84</f>
        <v>1266.7928482019674</v>
      </c>
      <c r="E75" s="18">
        <f>Table9[[#This Row],[Allergan Adjusted %]]*$E$84</f>
        <v>1062.533052582655</v>
      </c>
      <c r="F75" s="18">
        <f>Table9[[#This Row],[Allergan Adjusted %]]*$F$84</f>
        <v>1062.5330526255711</v>
      </c>
      <c r="G75" s="18">
        <f>Table9[[#This Row],[Allergan Adjusted %]]*$G$84</f>
        <v>1062.5330526255711</v>
      </c>
      <c r="H75" s="18">
        <f>Table9[[#This Row],[Allergan Adjusted %]]*$H$84</f>
        <v>1103.0593925619478</v>
      </c>
      <c r="I75" s="18">
        <f>Table9[[#This Row],[Allergan Adjusted %]]*$I$84</f>
        <v>1103.0593925619478</v>
      </c>
      <c r="J75" s="18">
        <f>SUM(Table9[[#This Row],[Payment 1]:[Payment 7]])</f>
        <v>6619.9844512232839</v>
      </c>
    </row>
    <row r="76" spans="1:10" x14ac:dyDescent="0.3">
      <c r="A76" t="s">
        <v>201</v>
      </c>
      <c r="B76">
        <v>2.8660384485716176E-2</v>
      </c>
      <c r="C76" s="18">
        <f>Table9[[#This Row],[Allergan Adjusted %]]*$C$84</f>
        <v>-1397.0036374618203</v>
      </c>
      <c r="D76" s="18">
        <f>Table9[[#This Row],[Allergan Adjusted %]]*$D$84</f>
        <v>43668.2468643131</v>
      </c>
      <c r="E76" s="18">
        <f>Table9[[#This Row],[Allergan Adjusted %]]*$E$84</f>
        <v>36627.105771498689</v>
      </c>
      <c r="F76" s="18">
        <f>Table9[[#This Row],[Allergan Adjusted %]]*$F$84</f>
        <v>36627.105772978066</v>
      </c>
      <c r="G76" s="18">
        <f>Table9[[#This Row],[Allergan Adjusted %]]*$G$84</f>
        <v>36627.105772978066</v>
      </c>
      <c r="H76" s="18">
        <f>Table9[[#This Row],[Allergan Adjusted %]]*$H$84</f>
        <v>38024.109410439894</v>
      </c>
      <c r="I76" s="18">
        <f>Table9[[#This Row],[Allergan Adjusted %]]*$I$84</f>
        <v>38024.109410439894</v>
      </c>
      <c r="J76" s="18">
        <f>SUM(Table9[[#This Row],[Payment 1]:[Payment 7]])</f>
        <v>228200.77936518594</v>
      </c>
    </row>
    <row r="77" spans="1:10" x14ac:dyDescent="0.3">
      <c r="A77" t="s">
        <v>202</v>
      </c>
      <c r="B77">
        <v>8.3142266292569617E-4</v>
      </c>
      <c r="C77" s="18">
        <f>Table9[[#This Row],[Allergan Adjusted %]]*$C$84</f>
        <v>-40.526339936376694</v>
      </c>
      <c r="D77" s="18">
        <f>Table9[[#This Row],[Allergan Adjusted %]]*$D$84</f>
        <v>1266.7928482019674</v>
      </c>
      <c r="E77" s="18">
        <f>Table9[[#This Row],[Allergan Adjusted %]]*$E$84</f>
        <v>1062.533052582655</v>
      </c>
      <c r="F77" s="18">
        <f>Table9[[#This Row],[Allergan Adjusted %]]*$F$84</f>
        <v>1062.5330526255711</v>
      </c>
      <c r="G77" s="18">
        <f>Table9[[#This Row],[Allergan Adjusted %]]*$G$84</f>
        <v>1062.5330526255711</v>
      </c>
      <c r="H77" s="18">
        <f>Table9[[#This Row],[Allergan Adjusted %]]*$H$84</f>
        <v>1103.0593925619478</v>
      </c>
      <c r="I77" s="18">
        <f>Table9[[#This Row],[Allergan Adjusted %]]*$I$84</f>
        <v>1103.0593925619478</v>
      </c>
      <c r="J77" s="18">
        <f>SUM(Table9[[#This Row],[Payment 1]:[Payment 7]])</f>
        <v>6619.9844512232839</v>
      </c>
    </row>
    <row r="78" spans="1:10" x14ac:dyDescent="0.3">
      <c r="A78" t="s">
        <v>203</v>
      </c>
      <c r="B78">
        <v>3.5821541110373136E-3</v>
      </c>
      <c r="C78" s="18">
        <f>Table9[[#This Row],[Allergan Adjusted %]]*$C$84</f>
        <v>-174.60625224905775</v>
      </c>
      <c r="D78" s="18">
        <f>Table9[[#This Row],[Allergan Adjusted %]]*$D$84</f>
        <v>5457.9306186471977</v>
      </c>
      <c r="E78" s="18">
        <f>Table9[[#This Row],[Allergan Adjusted %]]*$E$84</f>
        <v>4577.8847656479365</v>
      </c>
      <c r="F78" s="18">
        <f>Table9[[#This Row],[Allergan Adjusted %]]*$F$84</f>
        <v>4577.8847658328386</v>
      </c>
      <c r="G78" s="18">
        <f>Table9[[#This Row],[Allergan Adjusted %]]*$G$84</f>
        <v>4577.8847658328386</v>
      </c>
      <c r="H78" s="18">
        <f>Table9[[#This Row],[Allergan Adjusted %]]*$H$84</f>
        <v>4752.491018081897</v>
      </c>
      <c r="I78" s="18">
        <f>Table9[[#This Row],[Allergan Adjusted %]]*$I$84</f>
        <v>4752.491018081897</v>
      </c>
      <c r="J78" s="18">
        <f>SUM(Table9[[#This Row],[Payment 1]:[Payment 7]])</f>
        <v>28521.960699875548</v>
      </c>
    </row>
    <row r="79" spans="1:10" x14ac:dyDescent="0.3">
      <c r="A79" t="s">
        <v>204</v>
      </c>
      <c r="B79">
        <v>8.3142266292569617E-4</v>
      </c>
      <c r="C79" s="18">
        <f>Table9[[#This Row],[Allergan Adjusted %]]*$C$84</f>
        <v>-40.526339936376694</v>
      </c>
      <c r="D79" s="18">
        <f>Table9[[#This Row],[Allergan Adjusted %]]*$D$84</f>
        <v>1266.7928482019674</v>
      </c>
      <c r="E79" s="18">
        <f>Table9[[#This Row],[Allergan Adjusted %]]*$E$84</f>
        <v>1062.533052582655</v>
      </c>
      <c r="F79" s="18">
        <f>Table9[[#This Row],[Allergan Adjusted %]]*$F$84</f>
        <v>1062.5330526255711</v>
      </c>
      <c r="G79" s="18">
        <f>Table9[[#This Row],[Allergan Adjusted %]]*$G$84</f>
        <v>1062.5330526255711</v>
      </c>
      <c r="H79" s="18">
        <f>Table9[[#This Row],[Allergan Adjusted %]]*$H$84</f>
        <v>1103.0593925619478</v>
      </c>
      <c r="I79" s="18">
        <f>Table9[[#This Row],[Allergan Adjusted %]]*$I$84</f>
        <v>1103.0593925619478</v>
      </c>
      <c r="J79" s="18">
        <f>SUM(Table9[[#This Row],[Payment 1]:[Payment 7]])</f>
        <v>6619.9844512232839</v>
      </c>
    </row>
    <row r="80" spans="1:10" x14ac:dyDescent="0.3">
      <c r="A80" t="s">
        <v>205</v>
      </c>
      <c r="B80">
        <v>8.3142266292569617E-4</v>
      </c>
      <c r="C80" s="18">
        <f>Table9[[#This Row],[Allergan Adjusted %]]*$C$84</f>
        <v>-40.526339936376694</v>
      </c>
      <c r="D80" s="18">
        <f>Table9[[#This Row],[Allergan Adjusted %]]*$D$84</f>
        <v>1266.7928482019674</v>
      </c>
      <c r="E80" s="18">
        <f>Table9[[#This Row],[Allergan Adjusted %]]*$E$84</f>
        <v>1062.533052582655</v>
      </c>
      <c r="F80" s="18">
        <f>Table9[[#This Row],[Allergan Adjusted %]]*$F$84</f>
        <v>1062.5330526255711</v>
      </c>
      <c r="G80" s="18">
        <f>Table9[[#This Row],[Allergan Adjusted %]]*$G$84</f>
        <v>1062.5330526255711</v>
      </c>
      <c r="H80" s="18">
        <f>Table9[[#This Row],[Allergan Adjusted %]]*$H$84</f>
        <v>1103.0593925619478</v>
      </c>
      <c r="I80" s="18">
        <f>Table9[[#This Row],[Allergan Adjusted %]]*$I$84</f>
        <v>1103.0593925619478</v>
      </c>
      <c r="J80" s="18">
        <f>SUM(Table9[[#This Row],[Payment 1]:[Payment 7]])</f>
        <v>6619.9844512232839</v>
      </c>
    </row>
    <row r="81" spans="1:10" x14ac:dyDescent="0.3">
      <c r="A81" t="s">
        <v>206</v>
      </c>
      <c r="B81">
        <v>2.1066408482365941E-3</v>
      </c>
      <c r="C81" s="18">
        <f>Table9[[#This Row],[Allergan Adjusted %]]*$C$84</f>
        <v>-102.68476786411946</v>
      </c>
      <c r="D81" s="18">
        <f>Table9[[#This Row],[Allergan Adjusted %]]*$D$84</f>
        <v>3209.7724530209762</v>
      </c>
      <c r="E81" s="18">
        <f>Table9[[#This Row],[Allergan Adjusted %]]*$E$84</f>
        <v>2692.2233792563634</v>
      </c>
      <c r="F81" s="18">
        <f>Table9[[#This Row],[Allergan Adjusted %]]*$F$84</f>
        <v>2692.223379365103</v>
      </c>
      <c r="G81" s="18">
        <f>Table9[[#This Row],[Allergan Adjusted %]]*$G$84</f>
        <v>2692.223379365103</v>
      </c>
      <c r="H81" s="18">
        <f>Table9[[#This Row],[Allergan Adjusted %]]*$H$84</f>
        <v>2794.9081472292228</v>
      </c>
      <c r="I81" s="18">
        <f>Table9[[#This Row],[Allergan Adjusted %]]*$I$84</f>
        <v>2794.9081472292228</v>
      </c>
      <c r="J81" s="18">
        <f>SUM(Table9[[#This Row],[Payment 1]:[Payment 7]])</f>
        <v>16773.574117601875</v>
      </c>
    </row>
    <row r="82" spans="1:10" x14ac:dyDescent="0.3">
      <c r="A82" t="s">
        <v>207</v>
      </c>
      <c r="B82">
        <v>3.6884841592980722E-2</v>
      </c>
      <c r="C82" s="18">
        <f>Table9[[#This Row],[Allergan Adjusted %]]*$C$84</f>
        <v>-1797.8913680756052</v>
      </c>
      <c r="D82" s="18">
        <f>Table9[[#This Row],[Allergan Adjusted %]]*$D$84</f>
        <v>56199.398477578274</v>
      </c>
      <c r="E82" s="18">
        <f>Table9[[#This Row],[Allergan Adjusted %]]*$E$84</f>
        <v>47137.71355943902</v>
      </c>
      <c r="F82" s="18">
        <f>Table9[[#This Row],[Allergan Adjusted %]]*$F$84</f>
        <v>47137.713561342927</v>
      </c>
      <c r="G82" s="18">
        <f>Table9[[#This Row],[Allergan Adjusted %]]*$G$84</f>
        <v>47137.713561342927</v>
      </c>
      <c r="H82" s="18">
        <f>Table9[[#This Row],[Allergan Adjusted %]]*$H$84</f>
        <v>48935.604929418536</v>
      </c>
      <c r="I82" s="18">
        <f>Table9[[#This Row],[Allergan Adjusted %]]*$I$84</f>
        <v>48935.604929418536</v>
      </c>
      <c r="J82" s="18">
        <f>SUM(Table9[[#This Row],[Payment 1]:[Payment 7]])</f>
        <v>293685.85765046458</v>
      </c>
    </row>
    <row r="84" spans="1:10" x14ac:dyDescent="0.3">
      <c r="A84" t="s">
        <v>6</v>
      </c>
      <c r="C84" s="7">
        <f>'Teva Allergan Lit Breakdown'!H2</f>
        <v>-48743.366934175705</v>
      </c>
      <c r="D84" s="7">
        <f>'Teva Allergan Lit Breakdown'!H3</f>
        <v>1523644.8375658244</v>
      </c>
      <c r="E84" s="7">
        <f>'Teva Allergan Lit Breakdown'!H4</f>
        <v>1277969.797989032</v>
      </c>
      <c r="F84" s="7">
        <f>'Teva Allergan Lit Breakdown'!H5</f>
        <v>1277969.7980406496</v>
      </c>
      <c r="G84" s="7">
        <f>'Teva Allergan Lit Breakdown'!H6</f>
        <v>1277969.7980406496</v>
      </c>
      <c r="H84" s="7">
        <f>'Teva Allergan Lit Breakdown'!H7</f>
        <v>1326713.1649748255</v>
      </c>
      <c r="I84" s="7">
        <f>'Teva Allergan Lit Breakdown'!H8</f>
        <v>1326713.1649748255</v>
      </c>
      <c r="J84" s="7">
        <f>SUM(C84:I84)</f>
        <v>7962237.1946516316</v>
      </c>
    </row>
    <row r="86" spans="1:10" x14ac:dyDescent="0.3">
      <c r="A86" t="s">
        <v>214</v>
      </c>
    </row>
    <row r="87" spans="1:10" x14ac:dyDescent="0.3">
      <c r="A87" t="s">
        <v>6</v>
      </c>
      <c r="C87" s="7">
        <f>'Teva Allergan Lit Breakdown'!G2</f>
        <v>-16247.788978058568</v>
      </c>
      <c r="D87" s="7">
        <f>'Teva Allergan Lit Breakdown'!G3</f>
        <v>507881.61252194142</v>
      </c>
      <c r="E87" s="7">
        <f>'Teva Allergan Lit Breakdown'!G4</f>
        <v>425989.93266301067</v>
      </c>
      <c r="F87" s="7">
        <f>'Teva Allergan Lit Breakdown'!G5</f>
        <v>425989.93268021656</v>
      </c>
      <c r="G87" s="7">
        <f>'Teva Allergan Lit Breakdown'!G6</f>
        <v>425989.93268021656</v>
      </c>
      <c r="H87" s="7">
        <f>'Teva Allergan Lit Breakdown'!G7</f>
        <v>442237.72165827511</v>
      </c>
      <c r="I87" s="7">
        <f>'Teva Allergan Lit Breakdown'!G8</f>
        <v>442237.72165827511</v>
      </c>
      <c r="J87" s="7">
        <f>SUM(C87:I87)</f>
        <v>2654079.0648838771</v>
      </c>
    </row>
    <row r="89" spans="1:10" x14ac:dyDescent="0.3">
      <c r="A89" s="13" t="s">
        <v>214</v>
      </c>
      <c r="B89" s="13" t="s">
        <v>215</v>
      </c>
      <c r="C89" t="s">
        <v>93</v>
      </c>
      <c r="D89" t="s">
        <v>94</v>
      </c>
      <c r="E89" t="s">
        <v>95</v>
      </c>
      <c r="F89" t="s">
        <v>96</v>
      </c>
      <c r="G89" t="s">
        <v>97</v>
      </c>
      <c r="H89" t="s">
        <v>98</v>
      </c>
      <c r="I89" t="s">
        <v>99</v>
      </c>
      <c r="J89" t="s">
        <v>6</v>
      </c>
    </row>
    <row r="90" spans="1:10" x14ac:dyDescent="0.3">
      <c r="A90" s="14" t="s">
        <v>76</v>
      </c>
      <c r="B90" s="14">
        <v>0.7</v>
      </c>
      <c r="C90" s="7">
        <f>Table13[[#This Row],[Bellwether Percent]]*$C$87</f>
        <v>-11373.452284640996</v>
      </c>
      <c r="D90" s="7">
        <f>Table13[[#This Row],[Bellwether Percent]]*$D$87</f>
        <v>355517.128765359</v>
      </c>
      <c r="E90" s="7">
        <f>Table13[[#This Row],[Bellwether Percent]]*$E$87</f>
        <v>298192.95286410744</v>
      </c>
      <c r="F90" s="7">
        <f>Table13[[#This Row],[Bellwether Percent]]*$F$87</f>
        <v>298192.9528761516</v>
      </c>
      <c r="G90" s="7">
        <f>Table13[[#This Row],[Bellwether Percent]]*$G$87</f>
        <v>298192.9528761516</v>
      </c>
      <c r="H90" s="7">
        <f>Table13[[#This Row],[Bellwether Percent]]*$H$87</f>
        <v>309566.40516079258</v>
      </c>
      <c r="I90" s="7">
        <f>Table13[[#This Row],[Bellwether Percent]]*$I$87</f>
        <v>309566.40516079258</v>
      </c>
      <c r="J90" s="7">
        <f>Table13[[#This Row],[Bellwether Percent]]*$J$87</f>
        <v>1857855.3454187138</v>
      </c>
    </row>
    <row r="91" spans="1:10" x14ac:dyDescent="0.3">
      <c r="A91" s="15" t="s">
        <v>48</v>
      </c>
      <c r="B91" s="15">
        <v>0.25</v>
      </c>
      <c r="C91" s="7">
        <f>Table13[[#This Row],[Bellwether Percent]]*$C$87</f>
        <v>-4061.9472445146421</v>
      </c>
      <c r="D91" s="7">
        <f>Table13[[#This Row],[Bellwether Percent]]*$D$87</f>
        <v>126970.40313048536</v>
      </c>
      <c r="E91" s="7">
        <f>Table13[[#This Row],[Bellwether Percent]]*$E$87</f>
        <v>106497.48316575267</v>
      </c>
      <c r="F91" s="7">
        <f>Table13[[#This Row],[Bellwether Percent]]*$F$87</f>
        <v>106497.48317005414</v>
      </c>
      <c r="G91" s="7">
        <f>Table13[[#This Row],[Bellwether Percent]]*$G$87</f>
        <v>106497.48317005414</v>
      </c>
      <c r="H91" s="7">
        <f>Table13[[#This Row],[Bellwether Percent]]*$H$87</f>
        <v>110559.43041456878</v>
      </c>
      <c r="I91" s="7">
        <f>Table13[[#This Row],[Bellwether Percent]]*$I$87</f>
        <v>110559.43041456878</v>
      </c>
      <c r="J91" s="7">
        <f>Table13[[#This Row],[Bellwether Percent]]*$J$87</f>
        <v>663519.76622096926</v>
      </c>
    </row>
    <row r="92" spans="1:10" x14ac:dyDescent="0.3">
      <c r="A92" s="14" t="s">
        <v>38</v>
      </c>
      <c r="B92" s="14">
        <v>0.05</v>
      </c>
      <c r="C92" s="7">
        <f>Table13[[#This Row],[Bellwether Percent]]*$C$87</f>
        <v>-812.38944890292851</v>
      </c>
      <c r="D92" s="7">
        <f>Table13[[#This Row],[Bellwether Percent]]*$D$87</f>
        <v>25394.080626097071</v>
      </c>
      <c r="E92" s="7">
        <f>Table13[[#This Row],[Bellwether Percent]]*$E$87</f>
        <v>21299.496633150535</v>
      </c>
      <c r="F92" s="7">
        <f>Table13[[#This Row],[Bellwether Percent]]*$F$87</f>
        <v>21299.496634010829</v>
      </c>
      <c r="G92" s="7">
        <f>Table13[[#This Row],[Bellwether Percent]]*$G$87</f>
        <v>21299.496634010829</v>
      </c>
      <c r="H92" s="7">
        <f>Table13[[#This Row],[Bellwether Percent]]*$H$87</f>
        <v>22111.886082913756</v>
      </c>
      <c r="I92" s="7">
        <f>Table13[[#This Row],[Bellwether Percent]]*$I$87</f>
        <v>22111.886082913756</v>
      </c>
      <c r="J92" s="7">
        <f>Table13[[#This Row],[Bellwether Percent]]*$J$87</f>
        <v>132703.95324419386</v>
      </c>
    </row>
    <row r="94" spans="1:10" x14ac:dyDescent="0.3">
      <c r="A94" t="s">
        <v>225</v>
      </c>
    </row>
    <row r="96" spans="1:10" x14ac:dyDescent="0.3">
      <c r="A96" t="s">
        <v>226</v>
      </c>
      <c r="B96" t="s">
        <v>227</v>
      </c>
    </row>
    <row r="97" spans="1:2" x14ac:dyDescent="0.3">
      <c r="A97" t="s">
        <v>121</v>
      </c>
      <c r="B97" s="18">
        <v>513017.07150383887</v>
      </c>
    </row>
    <row r="98" spans="1:2" x14ac:dyDescent="0.3">
      <c r="A98" t="s">
        <v>134</v>
      </c>
      <c r="B98" s="18">
        <v>33048.463442098189</v>
      </c>
    </row>
    <row r="99" spans="1:2" x14ac:dyDescent="0.3">
      <c r="A99" t="s">
        <v>139</v>
      </c>
      <c r="B99" s="18">
        <v>117488.55512872525</v>
      </c>
    </row>
    <row r="100" spans="1:2" x14ac:dyDescent="0.3">
      <c r="A100" t="s">
        <v>155</v>
      </c>
      <c r="B100" s="18">
        <v>111119.82800007184</v>
      </c>
    </row>
    <row r="101" spans="1:2" x14ac:dyDescent="0.3">
      <c r="A101" t="s">
        <v>187</v>
      </c>
      <c r="B101" s="18">
        <v>25520.34415279821</v>
      </c>
    </row>
    <row r="102" spans="1:2" x14ac:dyDescent="0.3">
      <c r="A102" t="s">
        <v>188</v>
      </c>
      <c r="B102" s="18">
        <v>124285.96630565193</v>
      </c>
    </row>
    <row r="103" spans="1:2" x14ac:dyDescent="0.3">
      <c r="A103" t="s">
        <v>190</v>
      </c>
      <c r="B103" s="18">
        <v>58682.128632962238</v>
      </c>
    </row>
    <row r="104" spans="1:2" x14ac:dyDescent="0.3">
      <c r="A104" t="s">
        <v>193</v>
      </c>
      <c r="B104" s="18">
        <v>16837.642833853679</v>
      </c>
    </row>
    <row r="106" spans="1:2" x14ac:dyDescent="0.3">
      <c r="A106" t="s">
        <v>6</v>
      </c>
      <c r="B106" s="18">
        <f>SUM(Table17[Allergan Modified Allocation])</f>
        <v>1000000.0000000002</v>
      </c>
    </row>
    <row r="108" spans="1:2" x14ac:dyDescent="0.3">
      <c r="A108" t="s">
        <v>233</v>
      </c>
    </row>
  </sheetData>
  <pageMargins left="0.7" right="0.7" top="0.75" bottom="0.75" header="0.3" footer="0.3"/>
  <customProperties>
    <customPr name="OrphanNamesChecked" r:id="rId1"/>
  </customProperties>
  <tableParts count="3">
    <tablePart r:id="rId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91"/>
  <sheetViews>
    <sheetView topLeftCell="A58" workbookViewId="0">
      <selection activeCell="C76" sqref="C76:E76"/>
    </sheetView>
  </sheetViews>
  <sheetFormatPr defaultRowHeight="14.4" x14ac:dyDescent="0.3"/>
  <cols>
    <col min="1" max="1" width="30.44140625" customWidth="1"/>
    <col min="2" max="2" width="20.33203125" customWidth="1"/>
    <col min="3" max="18" width="16.6640625" customWidth="1"/>
  </cols>
  <sheetData>
    <row r="1" spans="1:18" x14ac:dyDescent="0.3">
      <c r="A1" t="s">
        <v>117</v>
      </c>
      <c r="B1" t="s">
        <v>218</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119</v>
      </c>
      <c r="B2">
        <v>1.6898834612310891E-2</v>
      </c>
      <c r="C2" s="18">
        <f>Table15[[#This Row],[Adjusted %]]*$C$84</f>
        <v>-1100.8079633746297</v>
      </c>
      <c r="D2" s="18">
        <f>Table15[[#This Row],[Adjusted %]]*$D$84</f>
        <v>55422.686626085138</v>
      </c>
      <c r="E2" s="18">
        <f>Table15[[#This Row],[Adjusted %]]*$E$84</f>
        <v>41123.808354090768</v>
      </c>
      <c r="F2" s="18">
        <f>Table15[[#This Row],[Adjusted %]]*$F$84</f>
        <v>41123.808354090768</v>
      </c>
      <c r="G2" s="18">
        <f>Table15[[#This Row],[Adjusted %]]*$G$84</f>
        <v>41123.808354090768</v>
      </c>
      <c r="H2" s="18">
        <f>Table15[[#This Row],[Adjusted %]]*$H$84</f>
        <v>52153.536616522353</v>
      </c>
      <c r="I2" s="18">
        <f>Table15[[#This Row],[Adjusted %]]*$I$84</f>
        <v>50833.936636572536</v>
      </c>
      <c r="J2" s="18">
        <f>Table15[[#This Row],[Adjusted %]]*$J$84</f>
        <v>55280.65163091931</v>
      </c>
      <c r="K2" s="18">
        <f>Table15[[#This Row],[Adjusted %]]*$K$84</f>
        <v>55259.708785111114</v>
      </c>
      <c r="L2" s="18">
        <f>Table15[[#This Row],[Adjusted %]]*$L$84</f>
        <v>55259.708831632684</v>
      </c>
      <c r="M2" s="18">
        <f>Table15[[#This Row],[Adjusted %]]*$M$84</f>
        <v>26729.149589329958</v>
      </c>
      <c r="N2" s="18">
        <f>Table15[[#This Row],[Adjusted %]]*$N$84</f>
        <v>26729.149589329958</v>
      </c>
      <c r="O2" s="18">
        <f>Table15[[#This Row],[Adjusted %]]*$O$84</f>
        <v>26729.149589329958</v>
      </c>
      <c r="P2" s="18">
        <f>Table15[[#This Row],[Adjusted %]]*$P$84</f>
        <v>26729.149589329958</v>
      </c>
      <c r="Q2" s="18">
        <f>Table15[[#This Row],[Adjusted %]]*$Q$84</f>
        <v>26729.149589329958</v>
      </c>
      <c r="R2" s="18">
        <f>SUM(Table15[[#This Row],[Payment 1]:[Payment 15]])</f>
        <v>580126.59417239064</v>
      </c>
    </row>
    <row r="3" spans="1:18" x14ac:dyDescent="0.3">
      <c r="A3" t="s">
        <v>121</v>
      </c>
      <c r="B3">
        <v>8.9986420618649629E-2</v>
      </c>
      <c r="C3" s="18">
        <f>Table15[[#This Row],[Adjusted %]]*$C$84</f>
        <v>-5861.8106328127724</v>
      </c>
      <c r="D3" s="18">
        <f>Table15[[#This Row],[Adjusted %]]*$D$84</f>
        <v>295126.22053341108</v>
      </c>
      <c r="E3" s="18">
        <f>Table15[[#This Row],[Adjusted %]]*$E$84</f>
        <v>218984.58685997518</v>
      </c>
      <c r="F3" s="18">
        <f>Table15[[#This Row],[Adjusted %]]*$F$84</f>
        <v>218984.58685997518</v>
      </c>
      <c r="G3" s="18">
        <f>Table15[[#This Row],[Adjusted %]]*$G$84</f>
        <v>218984.58685997518</v>
      </c>
      <c r="H3" s="18">
        <f>Table15[[#This Row],[Adjusted %]]*$H$84</f>
        <v>277717.97229766188</v>
      </c>
      <c r="I3" s="18">
        <f>Table15[[#This Row],[Adjusted %]]*$I$84</f>
        <v>270691.09254125436</v>
      </c>
      <c r="J3" s="18">
        <f>Table15[[#This Row],[Adjusted %]]*$J$84</f>
        <v>294369.88312253135</v>
      </c>
      <c r="K3" s="18">
        <f>Table15[[#This Row],[Adjusted %]]*$K$84</f>
        <v>294258.36231206823</v>
      </c>
      <c r="L3" s="18">
        <f>Table15[[#This Row],[Adjusted %]]*$L$84</f>
        <v>294258.3625597959</v>
      </c>
      <c r="M3" s="18">
        <f>Table15[[#This Row],[Adjusted %]]*$M$84</f>
        <v>142332.92134665939</v>
      </c>
      <c r="N3" s="18">
        <f>Table15[[#This Row],[Adjusted %]]*$N$84</f>
        <v>142332.92134665939</v>
      </c>
      <c r="O3" s="18">
        <f>Table15[[#This Row],[Adjusted %]]*$O$84</f>
        <v>142332.92134665939</v>
      </c>
      <c r="P3" s="18">
        <f>Table15[[#This Row],[Adjusted %]]*$P$84</f>
        <v>142332.92134665939</v>
      </c>
      <c r="Q3" s="18">
        <f>Table15[[#This Row],[Adjusted %]]*$Q$84</f>
        <v>142332.92134665939</v>
      </c>
      <c r="R3" s="18">
        <f>SUM(Table15[[#This Row],[Payment 1]:[Payment 15]])</f>
        <v>3089178.4500471321</v>
      </c>
    </row>
    <row r="4" spans="1:18" x14ac:dyDescent="0.3">
      <c r="A4" t="s">
        <v>123</v>
      </c>
      <c r="B4">
        <v>8.4494173061554455E-3</v>
      </c>
      <c r="C4" s="18">
        <f>Table15[[#This Row],[Adjusted %]]*$C$84</f>
        <v>-550.40398168731485</v>
      </c>
      <c r="D4" s="18">
        <f>Table15[[#This Row],[Adjusted %]]*$D$84</f>
        <v>27711.343313042569</v>
      </c>
      <c r="E4" s="18">
        <f>Table15[[#This Row],[Adjusted %]]*$E$84</f>
        <v>20561.904177045384</v>
      </c>
      <c r="F4" s="18">
        <f>Table15[[#This Row],[Adjusted %]]*$F$84</f>
        <v>20561.904177045384</v>
      </c>
      <c r="G4" s="18">
        <f>Table15[[#This Row],[Adjusted %]]*$G$84</f>
        <v>20561.904177045384</v>
      </c>
      <c r="H4" s="18">
        <f>Table15[[#This Row],[Adjusted %]]*$H$84</f>
        <v>26076.768308261177</v>
      </c>
      <c r="I4" s="18">
        <f>Table15[[#This Row],[Adjusted %]]*$I$84</f>
        <v>25416.968318286268</v>
      </c>
      <c r="J4" s="18">
        <f>Table15[[#This Row],[Adjusted %]]*$J$84</f>
        <v>27640.325815459655</v>
      </c>
      <c r="K4" s="18">
        <f>Table15[[#This Row],[Adjusted %]]*$K$84</f>
        <v>27629.854392555557</v>
      </c>
      <c r="L4" s="18">
        <f>Table15[[#This Row],[Adjusted %]]*$L$84</f>
        <v>27629.854415816342</v>
      </c>
      <c r="M4" s="18">
        <f>Table15[[#This Row],[Adjusted %]]*$M$84</f>
        <v>13364.574794664979</v>
      </c>
      <c r="N4" s="18">
        <f>Table15[[#This Row],[Adjusted %]]*$N$84</f>
        <v>13364.574794664979</v>
      </c>
      <c r="O4" s="18">
        <f>Table15[[#This Row],[Adjusted %]]*$O$84</f>
        <v>13364.574794664979</v>
      </c>
      <c r="P4" s="18">
        <f>Table15[[#This Row],[Adjusted %]]*$P$84</f>
        <v>13364.574794664979</v>
      </c>
      <c r="Q4" s="18">
        <f>Table15[[#This Row],[Adjusted %]]*$Q$84</f>
        <v>13364.574794664979</v>
      </c>
      <c r="R4" s="18">
        <f>SUM(Table15[[#This Row],[Payment 1]:[Payment 15]])</f>
        <v>290063.29708619532</v>
      </c>
    </row>
    <row r="5" spans="1:18" x14ac:dyDescent="0.3">
      <c r="A5" t="s">
        <v>124</v>
      </c>
      <c r="B5">
        <v>1.6898834612310891E-2</v>
      </c>
      <c r="C5" s="18">
        <f>Table15[[#This Row],[Adjusted %]]*$C$84</f>
        <v>-1100.8079633746297</v>
      </c>
      <c r="D5" s="18">
        <f>Table15[[#This Row],[Adjusted %]]*$D$84</f>
        <v>55422.686626085138</v>
      </c>
      <c r="E5" s="18">
        <f>Table15[[#This Row],[Adjusted %]]*$E$84</f>
        <v>41123.808354090768</v>
      </c>
      <c r="F5" s="18">
        <f>Table15[[#This Row],[Adjusted %]]*$F$84</f>
        <v>41123.808354090768</v>
      </c>
      <c r="G5" s="18">
        <f>Table15[[#This Row],[Adjusted %]]*$G$84</f>
        <v>41123.808354090768</v>
      </c>
      <c r="H5" s="18">
        <f>Table15[[#This Row],[Adjusted %]]*$H$84</f>
        <v>52153.536616522353</v>
      </c>
      <c r="I5" s="18">
        <f>Table15[[#This Row],[Adjusted %]]*$I$84</f>
        <v>50833.936636572536</v>
      </c>
      <c r="J5" s="18">
        <f>Table15[[#This Row],[Adjusted %]]*$J$84</f>
        <v>55280.65163091931</v>
      </c>
      <c r="K5" s="18">
        <f>Table15[[#This Row],[Adjusted %]]*$K$84</f>
        <v>55259.708785111114</v>
      </c>
      <c r="L5" s="18">
        <f>Table15[[#This Row],[Adjusted %]]*$L$84</f>
        <v>55259.708831632684</v>
      </c>
      <c r="M5" s="18">
        <f>Table15[[#This Row],[Adjusted %]]*$M$84</f>
        <v>26729.149589329958</v>
      </c>
      <c r="N5" s="18">
        <f>Table15[[#This Row],[Adjusted %]]*$N$84</f>
        <v>26729.149589329958</v>
      </c>
      <c r="O5" s="18">
        <f>Table15[[#This Row],[Adjusted %]]*$O$84</f>
        <v>26729.149589329958</v>
      </c>
      <c r="P5" s="18">
        <f>Table15[[#This Row],[Adjusted %]]*$P$84</f>
        <v>26729.149589329958</v>
      </c>
      <c r="Q5" s="18">
        <f>Table15[[#This Row],[Adjusted %]]*$Q$84</f>
        <v>26729.149589329958</v>
      </c>
      <c r="R5" s="18">
        <f>SUM(Table15[[#This Row],[Payment 1]:[Payment 15]])</f>
        <v>580126.59417239064</v>
      </c>
    </row>
    <row r="6" spans="1:18" x14ac:dyDescent="0.3">
      <c r="A6" t="s">
        <v>125</v>
      </c>
      <c r="B6">
        <v>4.2379722473701292E-3</v>
      </c>
      <c r="C6" s="18">
        <f>Table15[[#This Row],[Adjusted %]]*$C$84</f>
        <v>-276.06599540699074</v>
      </c>
      <c r="D6" s="18">
        <f>Table15[[#This Row],[Adjusted %]]*$D$84</f>
        <v>13899.171936088967</v>
      </c>
      <c r="E6" s="18">
        <f>Table15[[#This Row],[Adjusted %]]*$E$84</f>
        <v>10313.229433220176</v>
      </c>
      <c r="F6" s="18">
        <f>Table15[[#This Row],[Adjusted %]]*$F$84</f>
        <v>10313.229433220176</v>
      </c>
      <c r="G6" s="18">
        <f>Table15[[#This Row],[Adjusted %]]*$G$84</f>
        <v>10313.229433220176</v>
      </c>
      <c r="H6" s="18">
        <f>Table15[[#This Row],[Adjusted %]]*$H$84</f>
        <v>13079.318536084465</v>
      </c>
      <c r="I6" s="18">
        <f>Table15[[#This Row],[Adjusted %]]*$I$84</f>
        <v>12748.382810576895</v>
      </c>
      <c r="J6" s="18">
        <f>Table15[[#This Row],[Adjusted %]]*$J$84</f>
        <v>13863.551706559672</v>
      </c>
      <c r="K6" s="18">
        <f>Table15[[#This Row],[Adjusted %]]*$K$84</f>
        <v>13858.299557440974</v>
      </c>
      <c r="L6" s="18">
        <f>Table15[[#This Row],[Adjusted %]]*$L$84</f>
        <v>13858.29956910788</v>
      </c>
      <c r="M6" s="18">
        <f>Table15[[#This Row],[Adjusted %]]*$M$84</f>
        <v>6703.2666307570025</v>
      </c>
      <c r="N6" s="18">
        <f>Table15[[#This Row],[Adjusted %]]*$N$84</f>
        <v>6703.2666307570025</v>
      </c>
      <c r="O6" s="18">
        <f>Table15[[#This Row],[Adjusted %]]*$O$84</f>
        <v>6703.2666307570025</v>
      </c>
      <c r="P6" s="18">
        <f>Table15[[#This Row],[Adjusted %]]*$P$84</f>
        <v>6703.2666307570025</v>
      </c>
      <c r="Q6" s="18">
        <f>Table15[[#This Row],[Adjusted %]]*$Q$84</f>
        <v>6703.2666307570025</v>
      </c>
      <c r="R6" s="18">
        <f>SUM(Table15[[#This Row],[Payment 1]:[Payment 15]])</f>
        <v>145486.97957389738</v>
      </c>
    </row>
    <row r="7" spans="1:18" x14ac:dyDescent="0.3">
      <c r="A7" t="s">
        <v>126</v>
      </c>
      <c r="B7">
        <v>8.4494173061554455E-3</v>
      </c>
      <c r="C7" s="18">
        <f>Table15[[#This Row],[Adjusted %]]*$C$84</f>
        <v>-550.40398168731485</v>
      </c>
      <c r="D7" s="18">
        <f>Table15[[#This Row],[Adjusted %]]*$D$84</f>
        <v>27711.343313042569</v>
      </c>
      <c r="E7" s="18">
        <f>Table15[[#This Row],[Adjusted %]]*$E$84</f>
        <v>20561.904177045384</v>
      </c>
      <c r="F7" s="18">
        <f>Table15[[#This Row],[Adjusted %]]*$F$84</f>
        <v>20561.904177045384</v>
      </c>
      <c r="G7" s="18">
        <f>Table15[[#This Row],[Adjusted %]]*$G$84</f>
        <v>20561.904177045384</v>
      </c>
      <c r="H7" s="18">
        <f>Table15[[#This Row],[Adjusted %]]*$H$84</f>
        <v>26076.768308261177</v>
      </c>
      <c r="I7" s="18">
        <f>Table15[[#This Row],[Adjusted %]]*$I$84</f>
        <v>25416.968318286268</v>
      </c>
      <c r="J7" s="18">
        <f>Table15[[#This Row],[Adjusted %]]*$J$84</f>
        <v>27640.325815459655</v>
      </c>
      <c r="K7" s="18">
        <f>Table15[[#This Row],[Adjusted %]]*$K$84</f>
        <v>27629.854392555557</v>
      </c>
      <c r="L7" s="18">
        <f>Table15[[#This Row],[Adjusted %]]*$L$84</f>
        <v>27629.854415816342</v>
      </c>
      <c r="M7" s="18">
        <f>Table15[[#This Row],[Adjusted %]]*$M$84</f>
        <v>13364.574794664979</v>
      </c>
      <c r="N7" s="18">
        <f>Table15[[#This Row],[Adjusted %]]*$N$84</f>
        <v>13364.574794664979</v>
      </c>
      <c r="O7" s="18">
        <f>Table15[[#This Row],[Adjusted %]]*$O$84</f>
        <v>13364.574794664979</v>
      </c>
      <c r="P7" s="18">
        <f>Table15[[#This Row],[Adjusted %]]*$P$84</f>
        <v>13364.574794664979</v>
      </c>
      <c r="Q7" s="18">
        <f>Table15[[#This Row],[Adjusted %]]*$Q$84</f>
        <v>13364.574794664979</v>
      </c>
      <c r="R7" s="18">
        <f>SUM(Table15[[#This Row],[Payment 1]:[Payment 15]])</f>
        <v>290063.29708619532</v>
      </c>
    </row>
    <row r="8" spans="1:18" x14ac:dyDescent="0.3">
      <c r="A8" t="s">
        <v>127</v>
      </c>
      <c r="B8">
        <v>8.4494173061554455E-3</v>
      </c>
      <c r="C8" s="18">
        <f>Table15[[#This Row],[Adjusted %]]*$C$84</f>
        <v>-550.40398168731485</v>
      </c>
      <c r="D8" s="18">
        <f>Table15[[#This Row],[Adjusted %]]*$D$84</f>
        <v>27711.343313042569</v>
      </c>
      <c r="E8" s="18">
        <f>Table15[[#This Row],[Adjusted %]]*$E$84</f>
        <v>20561.904177045384</v>
      </c>
      <c r="F8" s="18">
        <f>Table15[[#This Row],[Adjusted %]]*$F$84</f>
        <v>20561.904177045384</v>
      </c>
      <c r="G8" s="18">
        <f>Table15[[#This Row],[Adjusted %]]*$G$84</f>
        <v>20561.904177045384</v>
      </c>
      <c r="H8" s="18">
        <f>Table15[[#This Row],[Adjusted %]]*$H$84</f>
        <v>26076.768308261177</v>
      </c>
      <c r="I8" s="18">
        <f>Table15[[#This Row],[Adjusted %]]*$I$84</f>
        <v>25416.968318286268</v>
      </c>
      <c r="J8" s="18">
        <f>Table15[[#This Row],[Adjusted %]]*$J$84</f>
        <v>27640.325815459655</v>
      </c>
      <c r="K8" s="18">
        <f>Table15[[#This Row],[Adjusted %]]*$K$84</f>
        <v>27629.854392555557</v>
      </c>
      <c r="L8" s="18">
        <f>Table15[[#This Row],[Adjusted %]]*$L$84</f>
        <v>27629.854415816342</v>
      </c>
      <c r="M8" s="18">
        <f>Table15[[#This Row],[Adjusted %]]*$M$84</f>
        <v>13364.574794664979</v>
      </c>
      <c r="N8" s="18">
        <f>Table15[[#This Row],[Adjusted %]]*$N$84</f>
        <v>13364.574794664979</v>
      </c>
      <c r="O8" s="18">
        <f>Table15[[#This Row],[Adjusted %]]*$O$84</f>
        <v>13364.574794664979</v>
      </c>
      <c r="P8" s="18">
        <f>Table15[[#This Row],[Adjusted %]]*$P$84</f>
        <v>13364.574794664979</v>
      </c>
      <c r="Q8" s="18">
        <f>Table15[[#This Row],[Adjusted %]]*$Q$84</f>
        <v>13364.574794664979</v>
      </c>
      <c r="R8" s="18">
        <f>SUM(Table15[[#This Row],[Payment 1]:[Payment 15]])</f>
        <v>290063.29708619532</v>
      </c>
    </row>
    <row r="9" spans="1:18" x14ac:dyDescent="0.3">
      <c r="A9" t="s">
        <v>128</v>
      </c>
      <c r="B9">
        <v>8.4494173061554472E-3</v>
      </c>
      <c r="C9" s="18">
        <f>Table15[[#This Row],[Adjusted %]]*$C$84</f>
        <v>-550.40398168731497</v>
      </c>
      <c r="D9" s="18">
        <f>Table15[[#This Row],[Adjusted %]]*$D$84</f>
        <v>27711.343313042573</v>
      </c>
      <c r="E9" s="18">
        <f>Table15[[#This Row],[Adjusted %]]*$E$84</f>
        <v>20561.904177045388</v>
      </c>
      <c r="F9" s="18">
        <f>Table15[[#This Row],[Adjusted %]]*$F$84</f>
        <v>20561.904177045388</v>
      </c>
      <c r="G9" s="18">
        <f>Table15[[#This Row],[Adjusted %]]*$G$84</f>
        <v>20561.904177045388</v>
      </c>
      <c r="H9" s="18">
        <f>Table15[[#This Row],[Adjusted %]]*$H$84</f>
        <v>26076.768308261184</v>
      </c>
      <c r="I9" s="18">
        <f>Table15[[#This Row],[Adjusted %]]*$I$84</f>
        <v>25416.968318286272</v>
      </c>
      <c r="J9" s="18">
        <f>Table15[[#This Row],[Adjusted %]]*$J$84</f>
        <v>27640.325815459659</v>
      </c>
      <c r="K9" s="18">
        <f>Table15[[#This Row],[Adjusted %]]*$K$84</f>
        <v>27629.854392555564</v>
      </c>
      <c r="L9" s="18">
        <f>Table15[[#This Row],[Adjusted %]]*$L$84</f>
        <v>27629.85441581635</v>
      </c>
      <c r="M9" s="18">
        <f>Table15[[#This Row],[Adjusted %]]*$M$84</f>
        <v>13364.574794664981</v>
      </c>
      <c r="N9" s="18">
        <f>Table15[[#This Row],[Adjusted %]]*$N$84</f>
        <v>13364.574794664981</v>
      </c>
      <c r="O9" s="18">
        <f>Table15[[#This Row],[Adjusted %]]*$O$84</f>
        <v>13364.574794664981</v>
      </c>
      <c r="P9" s="18">
        <f>Table15[[#This Row],[Adjusted %]]*$P$84</f>
        <v>13364.574794664981</v>
      </c>
      <c r="Q9" s="18">
        <f>Table15[[#This Row],[Adjusted %]]*$Q$84</f>
        <v>13364.574794664981</v>
      </c>
      <c r="R9" s="18">
        <f>SUM(Table15[[#This Row],[Payment 1]:[Payment 15]])</f>
        <v>290063.29708619538</v>
      </c>
    </row>
    <row r="10" spans="1:18" x14ac:dyDescent="0.3">
      <c r="A10" t="s">
        <v>129</v>
      </c>
      <c r="B10">
        <v>4.6522200465657068E-2</v>
      </c>
      <c r="C10" s="18">
        <f>Table15[[#This Row],[Adjusted %]]*$C$84</f>
        <v>-3030.5053526589336</v>
      </c>
      <c r="D10" s="18">
        <f>Table15[[#This Row],[Adjusted %]]*$D$84</f>
        <v>152577.70116796435</v>
      </c>
      <c r="E10" s="18">
        <f>Table15[[#This Row],[Adjusted %]]*$E$84</f>
        <v>113213.13570147133</v>
      </c>
      <c r="F10" s="18">
        <f>Table15[[#This Row],[Adjusted %]]*$F$84</f>
        <v>113213.13570147133</v>
      </c>
      <c r="G10" s="18">
        <f>Table15[[#This Row],[Adjusted %]]*$G$84</f>
        <v>113213.13570147133</v>
      </c>
      <c r="H10" s="18">
        <f>Table15[[#This Row],[Adjusted %]]*$H$84</f>
        <v>143577.7875297548</v>
      </c>
      <c r="I10" s="18">
        <f>Table15[[#This Row],[Adjusted %]]*$I$84</f>
        <v>139944.95152596437</v>
      </c>
      <c r="J10" s="18">
        <f>Table15[[#This Row],[Adjusted %]]*$J$84</f>
        <v>152186.68127399901</v>
      </c>
      <c r="K10" s="18">
        <f>Table15[[#This Row],[Adjusted %]]*$K$84</f>
        <v>152129.0259804026</v>
      </c>
      <c r="L10" s="18">
        <f>Table15[[#This Row],[Adjusted %]]*$L$84</f>
        <v>152129.02610847569</v>
      </c>
      <c r="M10" s="18">
        <f>Table15[[#This Row],[Adjusted %]]*$M$84</f>
        <v>73584.888189002566</v>
      </c>
      <c r="N10" s="18">
        <f>Table15[[#This Row],[Adjusted %]]*$N$84</f>
        <v>73584.888189002566</v>
      </c>
      <c r="O10" s="18">
        <f>Table15[[#This Row],[Adjusted %]]*$O$84</f>
        <v>73584.888189002566</v>
      </c>
      <c r="P10" s="18">
        <f>Table15[[#This Row],[Adjusted %]]*$P$84</f>
        <v>73584.888189002566</v>
      </c>
      <c r="Q10" s="18">
        <f>Table15[[#This Row],[Adjusted %]]*$Q$84</f>
        <v>73584.888189002566</v>
      </c>
      <c r="R10" s="18">
        <f>SUM(Table15[[#This Row],[Payment 1]:[Payment 15]])</f>
        <v>1597078.5162833291</v>
      </c>
    </row>
    <row r="11" spans="1:18" x14ac:dyDescent="0.3">
      <c r="A11" t="s">
        <v>130</v>
      </c>
      <c r="B11">
        <v>1.6898834612310891E-2</v>
      </c>
      <c r="C11" s="18">
        <f>Table15[[#This Row],[Adjusted %]]*$C$84</f>
        <v>-1100.8079633746297</v>
      </c>
      <c r="D11" s="18">
        <f>Table15[[#This Row],[Adjusted %]]*$D$84</f>
        <v>55422.686626085138</v>
      </c>
      <c r="E11" s="18">
        <f>Table15[[#This Row],[Adjusted %]]*$E$84</f>
        <v>41123.808354090768</v>
      </c>
      <c r="F11" s="18">
        <f>Table15[[#This Row],[Adjusted %]]*$F$84</f>
        <v>41123.808354090768</v>
      </c>
      <c r="G11" s="18">
        <f>Table15[[#This Row],[Adjusted %]]*$G$84</f>
        <v>41123.808354090768</v>
      </c>
      <c r="H11" s="18">
        <f>Table15[[#This Row],[Adjusted %]]*$H$84</f>
        <v>52153.536616522353</v>
      </c>
      <c r="I11" s="18">
        <f>Table15[[#This Row],[Adjusted %]]*$I$84</f>
        <v>50833.936636572536</v>
      </c>
      <c r="J11" s="18">
        <f>Table15[[#This Row],[Adjusted %]]*$J$84</f>
        <v>55280.65163091931</v>
      </c>
      <c r="K11" s="18">
        <f>Table15[[#This Row],[Adjusted %]]*$K$84</f>
        <v>55259.708785111114</v>
      </c>
      <c r="L11" s="18">
        <f>Table15[[#This Row],[Adjusted %]]*$L$84</f>
        <v>55259.708831632684</v>
      </c>
      <c r="M11" s="18">
        <f>Table15[[#This Row],[Adjusted %]]*$M$84</f>
        <v>26729.149589329958</v>
      </c>
      <c r="N11" s="18">
        <f>Table15[[#This Row],[Adjusted %]]*$N$84</f>
        <v>26729.149589329958</v>
      </c>
      <c r="O11" s="18">
        <f>Table15[[#This Row],[Adjusted %]]*$O$84</f>
        <v>26729.149589329958</v>
      </c>
      <c r="P11" s="18">
        <f>Table15[[#This Row],[Adjusted %]]*$P$84</f>
        <v>26729.149589329958</v>
      </c>
      <c r="Q11" s="18">
        <f>Table15[[#This Row],[Adjusted %]]*$Q$84</f>
        <v>26729.149589329958</v>
      </c>
      <c r="R11" s="18">
        <f>SUM(Table15[[#This Row],[Payment 1]:[Payment 15]])</f>
        <v>580126.59417239064</v>
      </c>
    </row>
    <row r="12" spans="1:18" x14ac:dyDescent="0.3">
      <c r="A12" t="s">
        <v>131</v>
      </c>
      <c r="B12">
        <v>8.4494173061554455E-3</v>
      </c>
      <c r="C12" s="18">
        <f>Table15[[#This Row],[Adjusted %]]*$C$84</f>
        <v>-550.40398168731485</v>
      </c>
      <c r="D12" s="18">
        <f>Table15[[#This Row],[Adjusted %]]*$D$84</f>
        <v>27711.343313042569</v>
      </c>
      <c r="E12" s="18">
        <f>Table15[[#This Row],[Adjusted %]]*$E$84</f>
        <v>20561.904177045384</v>
      </c>
      <c r="F12" s="18">
        <f>Table15[[#This Row],[Adjusted %]]*$F$84</f>
        <v>20561.904177045384</v>
      </c>
      <c r="G12" s="18">
        <f>Table15[[#This Row],[Adjusted %]]*$G$84</f>
        <v>20561.904177045384</v>
      </c>
      <c r="H12" s="18">
        <f>Table15[[#This Row],[Adjusted %]]*$H$84</f>
        <v>26076.768308261177</v>
      </c>
      <c r="I12" s="18">
        <f>Table15[[#This Row],[Adjusted %]]*$I$84</f>
        <v>25416.968318286268</v>
      </c>
      <c r="J12" s="18">
        <f>Table15[[#This Row],[Adjusted %]]*$J$84</f>
        <v>27640.325815459655</v>
      </c>
      <c r="K12" s="18">
        <f>Table15[[#This Row],[Adjusted %]]*$K$84</f>
        <v>27629.854392555557</v>
      </c>
      <c r="L12" s="18">
        <f>Table15[[#This Row],[Adjusted %]]*$L$84</f>
        <v>27629.854415816342</v>
      </c>
      <c r="M12" s="18">
        <f>Table15[[#This Row],[Adjusted %]]*$M$84</f>
        <v>13364.574794664979</v>
      </c>
      <c r="N12" s="18">
        <f>Table15[[#This Row],[Adjusted %]]*$N$84</f>
        <v>13364.574794664979</v>
      </c>
      <c r="O12" s="18">
        <f>Table15[[#This Row],[Adjusted %]]*$O$84</f>
        <v>13364.574794664979</v>
      </c>
      <c r="P12" s="18">
        <f>Table15[[#This Row],[Adjusted %]]*$P$84</f>
        <v>13364.574794664979</v>
      </c>
      <c r="Q12" s="18">
        <f>Table15[[#This Row],[Adjusted %]]*$Q$84</f>
        <v>13364.574794664979</v>
      </c>
      <c r="R12" s="18">
        <f>SUM(Table15[[#This Row],[Payment 1]:[Payment 15]])</f>
        <v>290063.29708619532</v>
      </c>
    </row>
    <row r="13" spans="1:18" x14ac:dyDescent="0.3">
      <c r="A13" t="s">
        <v>132</v>
      </c>
      <c r="B13">
        <v>0</v>
      </c>
      <c r="C13" s="18">
        <f>Table15[[#This Row],[Adjusted %]]*$C$84</f>
        <v>0</v>
      </c>
      <c r="D13" s="18">
        <f>Table15[[#This Row],[Adjusted %]]*$D$84</f>
        <v>0</v>
      </c>
      <c r="E13" s="18">
        <f>Table15[[#This Row],[Adjusted %]]*$E$84</f>
        <v>0</v>
      </c>
      <c r="F13" s="18">
        <f>Table15[[#This Row],[Adjusted %]]*$F$84</f>
        <v>0</v>
      </c>
      <c r="G13" s="18">
        <f>Table15[[#This Row],[Adjusted %]]*$G$84</f>
        <v>0</v>
      </c>
      <c r="H13" s="18">
        <f>Table15[[#This Row],[Adjusted %]]*$H$84</f>
        <v>0</v>
      </c>
      <c r="I13" s="18">
        <f>Table15[[#This Row],[Adjusted %]]*$I$84</f>
        <v>0</v>
      </c>
      <c r="J13" s="18">
        <f>Table15[[#This Row],[Adjusted %]]*$J$84</f>
        <v>0</v>
      </c>
      <c r="K13" s="18">
        <f>Table15[[#This Row],[Adjusted %]]*$K$84</f>
        <v>0</v>
      </c>
      <c r="L13" s="18">
        <f>Table15[[#This Row],[Adjusted %]]*$L$84</f>
        <v>0</v>
      </c>
      <c r="M13" s="18">
        <f>Table15[[#This Row],[Adjusted %]]*$M$84</f>
        <v>0</v>
      </c>
      <c r="N13" s="18">
        <f>Table15[[#This Row],[Adjusted %]]*$N$84</f>
        <v>0</v>
      </c>
      <c r="O13" s="18">
        <f>Table15[[#This Row],[Adjusted %]]*$O$84</f>
        <v>0</v>
      </c>
      <c r="P13" s="18">
        <f>Table15[[#This Row],[Adjusted %]]*$P$84</f>
        <v>0</v>
      </c>
      <c r="Q13" s="18">
        <f>Table15[[#This Row],[Adjusted %]]*$Q$84</f>
        <v>0</v>
      </c>
      <c r="R13" s="18">
        <f>SUM(Table15[[#This Row],[Payment 1]:[Payment 15]])</f>
        <v>0</v>
      </c>
    </row>
    <row r="14" spans="1:18" x14ac:dyDescent="0.3">
      <c r="A14" t="s">
        <v>133</v>
      </c>
      <c r="B14">
        <v>4.2247086530777227E-3</v>
      </c>
      <c r="C14" s="18">
        <f>Table15[[#This Row],[Adjusted %]]*$C$84</f>
        <v>-275.20199084365743</v>
      </c>
      <c r="D14" s="18">
        <f>Table15[[#This Row],[Adjusted %]]*$D$84</f>
        <v>13855.671656521285</v>
      </c>
      <c r="E14" s="18">
        <f>Table15[[#This Row],[Adjusted %]]*$E$84</f>
        <v>10280.952088522692</v>
      </c>
      <c r="F14" s="18">
        <f>Table15[[#This Row],[Adjusted %]]*$F$84</f>
        <v>10280.952088522692</v>
      </c>
      <c r="G14" s="18">
        <f>Table15[[#This Row],[Adjusted %]]*$G$84</f>
        <v>10280.952088522692</v>
      </c>
      <c r="H14" s="18">
        <f>Table15[[#This Row],[Adjusted %]]*$H$84</f>
        <v>13038.384154130588</v>
      </c>
      <c r="I14" s="18">
        <f>Table15[[#This Row],[Adjusted %]]*$I$84</f>
        <v>12708.484159143134</v>
      </c>
      <c r="J14" s="18">
        <f>Table15[[#This Row],[Adjusted %]]*$J$84</f>
        <v>13820.162907729828</v>
      </c>
      <c r="K14" s="18">
        <f>Table15[[#This Row],[Adjusted %]]*$K$84</f>
        <v>13814.927196277778</v>
      </c>
      <c r="L14" s="18">
        <f>Table15[[#This Row],[Adjusted %]]*$L$84</f>
        <v>13814.927207908171</v>
      </c>
      <c r="M14" s="18">
        <f>Table15[[#This Row],[Adjusted %]]*$M$84</f>
        <v>6682.2873973324895</v>
      </c>
      <c r="N14" s="18">
        <f>Table15[[#This Row],[Adjusted %]]*$N$84</f>
        <v>6682.2873973324895</v>
      </c>
      <c r="O14" s="18">
        <f>Table15[[#This Row],[Adjusted %]]*$O$84</f>
        <v>6682.2873973324895</v>
      </c>
      <c r="P14" s="18">
        <f>Table15[[#This Row],[Adjusted %]]*$P$84</f>
        <v>6682.2873973324895</v>
      </c>
      <c r="Q14" s="18">
        <f>Table15[[#This Row],[Adjusted %]]*$Q$84</f>
        <v>6682.2873973324895</v>
      </c>
      <c r="R14" s="18">
        <f>SUM(Table15[[#This Row],[Payment 1]:[Payment 15]])</f>
        <v>145031.64854309766</v>
      </c>
    </row>
    <row r="15" spans="1:18" x14ac:dyDescent="0.3">
      <c r="A15" t="s">
        <v>135</v>
      </c>
      <c r="B15">
        <v>4.2247086530777227E-3</v>
      </c>
      <c r="C15" s="18">
        <f>Table15[[#This Row],[Adjusted %]]*$C$84</f>
        <v>-275.20199084365743</v>
      </c>
      <c r="D15" s="18">
        <f>Table15[[#This Row],[Adjusted %]]*$D$84</f>
        <v>13855.671656521285</v>
      </c>
      <c r="E15" s="18">
        <f>Table15[[#This Row],[Adjusted %]]*$E$84</f>
        <v>10280.952088522692</v>
      </c>
      <c r="F15" s="18">
        <f>Table15[[#This Row],[Adjusted %]]*$F$84</f>
        <v>10280.952088522692</v>
      </c>
      <c r="G15" s="18">
        <f>Table15[[#This Row],[Adjusted %]]*$G$84</f>
        <v>10280.952088522692</v>
      </c>
      <c r="H15" s="18">
        <f>Table15[[#This Row],[Adjusted %]]*$H$84</f>
        <v>13038.384154130588</v>
      </c>
      <c r="I15" s="18">
        <f>Table15[[#This Row],[Adjusted %]]*$I$84</f>
        <v>12708.484159143134</v>
      </c>
      <c r="J15" s="18">
        <f>Table15[[#This Row],[Adjusted %]]*$J$84</f>
        <v>13820.162907729828</v>
      </c>
      <c r="K15" s="18">
        <f>Table15[[#This Row],[Adjusted %]]*$K$84</f>
        <v>13814.927196277778</v>
      </c>
      <c r="L15" s="18">
        <f>Table15[[#This Row],[Adjusted %]]*$L$84</f>
        <v>13814.927207908171</v>
      </c>
      <c r="M15" s="18">
        <f>Table15[[#This Row],[Adjusted %]]*$M$84</f>
        <v>6682.2873973324895</v>
      </c>
      <c r="N15" s="18">
        <f>Table15[[#This Row],[Adjusted %]]*$N$84</f>
        <v>6682.2873973324895</v>
      </c>
      <c r="O15" s="18">
        <f>Table15[[#This Row],[Adjusted %]]*$O$84</f>
        <v>6682.2873973324895</v>
      </c>
      <c r="P15" s="18">
        <f>Table15[[#This Row],[Adjusted %]]*$P$84</f>
        <v>6682.2873973324895</v>
      </c>
      <c r="Q15" s="18">
        <f>Table15[[#This Row],[Adjusted %]]*$Q$84</f>
        <v>6682.2873973324895</v>
      </c>
      <c r="R15" s="18">
        <f>SUM(Table15[[#This Row],[Payment 1]:[Payment 15]])</f>
        <v>145031.64854309766</v>
      </c>
    </row>
    <row r="16" spans="1:18" x14ac:dyDescent="0.3">
      <c r="A16" t="s">
        <v>136</v>
      </c>
      <c r="B16">
        <v>4.2247086530777227E-3</v>
      </c>
      <c r="C16" s="18">
        <f>Table15[[#This Row],[Adjusted %]]*$C$84</f>
        <v>-275.20199084365743</v>
      </c>
      <c r="D16" s="18">
        <f>Table15[[#This Row],[Adjusted %]]*$D$84</f>
        <v>13855.671656521285</v>
      </c>
      <c r="E16" s="18">
        <f>Table15[[#This Row],[Adjusted %]]*$E$84</f>
        <v>10280.952088522692</v>
      </c>
      <c r="F16" s="18">
        <f>Table15[[#This Row],[Adjusted %]]*$F$84</f>
        <v>10280.952088522692</v>
      </c>
      <c r="G16" s="18">
        <f>Table15[[#This Row],[Adjusted %]]*$G$84</f>
        <v>10280.952088522692</v>
      </c>
      <c r="H16" s="18">
        <f>Table15[[#This Row],[Adjusted %]]*$H$84</f>
        <v>13038.384154130588</v>
      </c>
      <c r="I16" s="18">
        <f>Table15[[#This Row],[Adjusted %]]*$I$84</f>
        <v>12708.484159143134</v>
      </c>
      <c r="J16" s="18">
        <f>Table15[[#This Row],[Adjusted %]]*$J$84</f>
        <v>13820.162907729828</v>
      </c>
      <c r="K16" s="18">
        <f>Table15[[#This Row],[Adjusted %]]*$K$84</f>
        <v>13814.927196277778</v>
      </c>
      <c r="L16" s="18">
        <f>Table15[[#This Row],[Adjusted %]]*$L$84</f>
        <v>13814.927207908171</v>
      </c>
      <c r="M16" s="18">
        <f>Table15[[#This Row],[Adjusted %]]*$M$84</f>
        <v>6682.2873973324895</v>
      </c>
      <c r="N16" s="18">
        <f>Table15[[#This Row],[Adjusted %]]*$N$84</f>
        <v>6682.2873973324895</v>
      </c>
      <c r="O16" s="18">
        <f>Table15[[#This Row],[Adjusted %]]*$O$84</f>
        <v>6682.2873973324895</v>
      </c>
      <c r="P16" s="18">
        <f>Table15[[#This Row],[Adjusted %]]*$P$84</f>
        <v>6682.2873973324895</v>
      </c>
      <c r="Q16" s="18">
        <f>Table15[[#This Row],[Adjusted %]]*$Q$84</f>
        <v>6682.2873973324895</v>
      </c>
      <c r="R16" s="18">
        <f>SUM(Table15[[#This Row],[Payment 1]:[Payment 15]])</f>
        <v>145031.64854309766</v>
      </c>
    </row>
    <row r="17" spans="1:18" x14ac:dyDescent="0.3">
      <c r="A17" t="s">
        <v>137</v>
      </c>
      <c r="B17">
        <v>8.4494173061554455E-3</v>
      </c>
      <c r="C17" s="18">
        <f>Table15[[#This Row],[Adjusted %]]*$C$84</f>
        <v>-550.40398168731485</v>
      </c>
      <c r="D17" s="18">
        <f>Table15[[#This Row],[Adjusted %]]*$D$84</f>
        <v>27711.343313042569</v>
      </c>
      <c r="E17" s="18">
        <f>Table15[[#This Row],[Adjusted %]]*$E$84</f>
        <v>20561.904177045384</v>
      </c>
      <c r="F17" s="18">
        <f>Table15[[#This Row],[Adjusted %]]*$F$84</f>
        <v>20561.904177045384</v>
      </c>
      <c r="G17" s="18">
        <f>Table15[[#This Row],[Adjusted %]]*$G$84</f>
        <v>20561.904177045384</v>
      </c>
      <c r="H17" s="18">
        <f>Table15[[#This Row],[Adjusted %]]*$H$84</f>
        <v>26076.768308261177</v>
      </c>
      <c r="I17" s="18">
        <f>Table15[[#This Row],[Adjusted %]]*$I$84</f>
        <v>25416.968318286268</v>
      </c>
      <c r="J17" s="18">
        <f>Table15[[#This Row],[Adjusted %]]*$J$84</f>
        <v>27640.325815459655</v>
      </c>
      <c r="K17" s="18">
        <f>Table15[[#This Row],[Adjusted %]]*$K$84</f>
        <v>27629.854392555557</v>
      </c>
      <c r="L17" s="18">
        <f>Table15[[#This Row],[Adjusted %]]*$L$84</f>
        <v>27629.854415816342</v>
      </c>
      <c r="M17" s="18">
        <f>Table15[[#This Row],[Adjusted %]]*$M$84</f>
        <v>13364.574794664979</v>
      </c>
      <c r="N17" s="18">
        <f>Table15[[#This Row],[Adjusted %]]*$N$84</f>
        <v>13364.574794664979</v>
      </c>
      <c r="O17" s="18">
        <f>Table15[[#This Row],[Adjusted %]]*$O$84</f>
        <v>13364.574794664979</v>
      </c>
      <c r="P17" s="18">
        <f>Table15[[#This Row],[Adjusted %]]*$P$84</f>
        <v>13364.574794664979</v>
      </c>
      <c r="Q17" s="18">
        <f>Table15[[#This Row],[Adjusted %]]*$Q$84</f>
        <v>13364.574794664979</v>
      </c>
      <c r="R17" s="18">
        <f>SUM(Table15[[#This Row],[Payment 1]:[Payment 15]])</f>
        <v>290063.29708619532</v>
      </c>
    </row>
    <row r="18" spans="1:18" x14ac:dyDescent="0.3">
      <c r="A18" t="s">
        <v>139</v>
      </c>
      <c r="B18">
        <v>2.0608231435065922E-2</v>
      </c>
      <c r="C18" s="18">
        <f>Table15[[#This Row],[Adjusted %]]*$C$84</f>
        <v>-1342.4419964594058</v>
      </c>
      <c r="D18" s="18">
        <f>Table15[[#This Row],[Adjusted %]]*$D$84</f>
        <v>67588.302918322137</v>
      </c>
      <c r="E18" s="18">
        <f>Table15[[#This Row],[Adjusted %]]*$E$84</f>
        <v>50150.734029611704</v>
      </c>
      <c r="F18" s="18">
        <f>Table15[[#This Row],[Adjusted %]]*$F$84</f>
        <v>50150.734029611704</v>
      </c>
      <c r="G18" s="18">
        <f>Table15[[#This Row],[Adjusted %]]*$G$84</f>
        <v>50150.734029611704</v>
      </c>
      <c r="H18" s="18">
        <f>Table15[[#This Row],[Adjusted %]]*$H$84</f>
        <v>63601.554628357968</v>
      </c>
      <c r="I18" s="18">
        <f>Table15[[#This Row],[Adjusted %]]*$I$84</f>
        <v>61992.294438977638</v>
      </c>
      <c r="J18" s="18">
        <f>Table15[[#This Row],[Adjusted %]]*$J$84</f>
        <v>67415.090379149566</v>
      </c>
      <c r="K18" s="18">
        <f>Table15[[#This Row],[Adjusted %]]*$K$84</f>
        <v>67389.550451502146</v>
      </c>
      <c r="L18" s="18">
        <f>Table15[[#This Row],[Adjusted %]]*$L$84</f>
        <v>67389.550508235479</v>
      </c>
      <c r="M18" s="18">
        <f>Table15[[#This Row],[Adjusted %]]*$M$84</f>
        <v>32596.36024830486</v>
      </c>
      <c r="N18" s="18">
        <f>Table15[[#This Row],[Adjusted %]]*$N$84</f>
        <v>32596.36024830486</v>
      </c>
      <c r="O18" s="18">
        <f>Table15[[#This Row],[Adjusted %]]*$O$84</f>
        <v>32596.36024830486</v>
      </c>
      <c r="P18" s="18">
        <f>Table15[[#This Row],[Adjusted %]]*$P$84</f>
        <v>32596.36024830486</v>
      </c>
      <c r="Q18" s="18">
        <f>Table15[[#This Row],[Adjusted %]]*$Q$84</f>
        <v>32596.36024830486</v>
      </c>
      <c r="R18" s="18">
        <f>SUM(Table15[[#This Row],[Payment 1]:[Payment 15]])</f>
        <v>707467.90465844516</v>
      </c>
    </row>
    <row r="19" spans="1:18" x14ac:dyDescent="0.3">
      <c r="A19" t="s">
        <v>140</v>
      </c>
      <c r="B19">
        <v>4.1506301090740168E-2</v>
      </c>
      <c r="C19" s="18">
        <f>Table15[[#This Row],[Adjusted %]]*$C$84</f>
        <v>-2703.7643612196848</v>
      </c>
      <c r="D19" s="18">
        <f>Table15[[#This Row],[Adjusted %]]*$D$84</f>
        <v>136127.18102372461</v>
      </c>
      <c r="E19" s="18">
        <f>Table15[[#This Row],[Adjusted %]]*$E$84</f>
        <v>101006.79784742692</v>
      </c>
      <c r="F19" s="18">
        <f>Table15[[#This Row],[Adjusted %]]*$F$84</f>
        <v>101006.79784742692</v>
      </c>
      <c r="G19" s="18">
        <f>Table15[[#This Row],[Adjusted %]]*$G$84</f>
        <v>101006.79784742692</v>
      </c>
      <c r="H19" s="18">
        <f>Table15[[#This Row],[Adjusted %]]*$H$84</f>
        <v>128097.61403163998</v>
      </c>
      <c r="I19" s="18">
        <f>Table15[[#This Row],[Adjusted %]]*$I$84</f>
        <v>124856.46070102922</v>
      </c>
      <c r="J19" s="18">
        <f>Table15[[#This Row],[Adjusted %]]*$J$84</f>
        <v>135778.31985015707</v>
      </c>
      <c r="K19" s="18">
        <f>Table15[[#This Row],[Adjusted %]]*$K$84</f>
        <v>135726.88079629603</v>
      </c>
      <c r="L19" s="18">
        <f>Table15[[#This Row],[Adjusted %]]*$L$84</f>
        <v>135726.88091056061</v>
      </c>
      <c r="M19" s="18">
        <f>Table15[[#This Row],[Adjusted %]]*$M$84</f>
        <v>65651.162118951019</v>
      </c>
      <c r="N19" s="18">
        <f>Table15[[#This Row],[Adjusted %]]*$N$84</f>
        <v>65651.162118951019</v>
      </c>
      <c r="O19" s="18">
        <f>Table15[[#This Row],[Adjusted %]]*$O$84</f>
        <v>65651.162118951019</v>
      </c>
      <c r="P19" s="18">
        <f>Table15[[#This Row],[Adjusted %]]*$P$84</f>
        <v>65651.162118951019</v>
      </c>
      <c r="Q19" s="18">
        <f>Table15[[#This Row],[Adjusted %]]*$Q$84</f>
        <v>65651.162118951019</v>
      </c>
      <c r="R19" s="18">
        <f>SUM(Table15[[#This Row],[Payment 1]:[Payment 15]])</f>
        <v>1424885.777089224</v>
      </c>
    </row>
    <row r="20" spans="1:18" x14ac:dyDescent="0.3">
      <c r="A20" t="s">
        <v>141</v>
      </c>
      <c r="B20">
        <v>0</v>
      </c>
      <c r="C20" s="155">
        <f>Table15[[#This Row],[Adjusted %]]*$C$84</f>
        <v>0</v>
      </c>
      <c r="D20" s="155">
        <f>Table15[[#This Row],[Adjusted %]]*$D$84</f>
        <v>0</v>
      </c>
      <c r="E20" s="155">
        <f>Table15[[#This Row],[Adjusted %]]*$E$84</f>
        <v>0</v>
      </c>
      <c r="F20" s="18">
        <f>Table15[[#This Row],[Adjusted %]]*$F$84</f>
        <v>0</v>
      </c>
      <c r="G20" s="18">
        <f>Table15[[#This Row],[Adjusted %]]*$G$84</f>
        <v>0</v>
      </c>
      <c r="H20" s="18">
        <f>Table15[[#This Row],[Adjusted %]]*$H$84</f>
        <v>0</v>
      </c>
      <c r="I20" s="18">
        <f>Table15[[#This Row],[Adjusted %]]*$I$84</f>
        <v>0</v>
      </c>
      <c r="J20" s="18">
        <f>Table15[[#This Row],[Adjusted %]]*$J$84</f>
        <v>0</v>
      </c>
      <c r="K20" s="18">
        <f>Table15[[#This Row],[Adjusted %]]*$K$84</f>
        <v>0</v>
      </c>
      <c r="L20" s="18">
        <f>Table15[[#This Row],[Adjusted %]]*$L$84</f>
        <v>0</v>
      </c>
      <c r="M20" s="18">
        <f>Table15[[#This Row],[Adjusted %]]*$M$84</f>
        <v>0</v>
      </c>
      <c r="N20" s="18">
        <f>Table15[[#This Row],[Adjusted %]]*$N$84</f>
        <v>0</v>
      </c>
      <c r="O20" s="18">
        <f>Table15[[#This Row],[Adjusted %]]*$O$84</f>
        <v>0</v>
      </c>
      <c r="P20" s="18">
        <f>Table15[[#This Row],[Adjusted %]]*$P$84</f>
        <v>0</v>
      </c>
      <c r="Q20" s="18">
        <f>Table15[[#This Row],[Adjusted %]]*$Q$84</f>
        <v>0</v>
      </c>
      <c r="R20" s="18">
        <f>SUM(Table15[[#This Row],[Payment 1]:[Payment 15]])</f>
        <v>0</v>
      </c>
    </row>
    <row r="21" spans="1:18" x14ac:dyDescent="0.3">
      <c r="A21" t="s">
        <v>219</v>
      </c>
      <c r="B21">
        <v>1.2655466448598492E-2</v>
      </c>
      <c r="C21" s="155">
        <f>Table15[[#This Row],[Adjusted %]]*$C$84</f>
        <v>-824.39047226893888</v>
      </c>
      <c r="D21" s="155">
        <f>Table15[[#This Row],[Adjusted %]]*$D$84</f>
        <v>41505.817837677117</v>
      </c>
      <c r="E21" s="155">
        <f>Table15[[#This Row],[Adjusted %]]*$E$84</f>
        <v>30797.447800610233</v>
      </c>
      <c r="F21" s="18">
        <f>Table15[[#This Row],[Adjusted %]]*$F$84</f>
        <v>30797.447800610233</v>
      </c>
      <c r="G21" s="18">
        <f>Table15[[#This Row],[Adjusted %]]*$G$84</f>
        <v>30797.447800610233</v>
      </c>
      <c r="H21" s="18">
        <f>Table15[[#This Row],[Adjusted %]]*$H$84</f>
        <v>39057.565090631644</v>
      </c>
      <c r="I21" s="18">
        <f>Table15[[#This Row],[Adjusted %]]*$I$84</f>
        <v>38069.322193712585</v>
      </c>
      <c r="J21" s="18">
        <f>Table15[[#This Row],[Adjusted %]]*$J$84</f>
        <v>41399.448424810122</v>
      </c>
      <c r="K21" s="18">
        <f>Table15[[#This Row],[Adjusted %]]*$K$84</f>
        <v>41383.764415318088</v>
      </c>
      <c r="L21" s="18">
        <f>Table15[[#This Row],[Adjusted %]]*$L$84</f>
        <v>41383.764450157898</v>
      </c>
      <c r="M21" s="18">
        <f>Table15[[#This Row],[Adjusted %]]*$M$84</f>
        <v>20017.348153753988</v>
      </c>
      <c r="N21" s="18">
        <f>Table15[[#This Row],[Adjusted %]]*$N$84</f>
        <v>20017.348153753988</v>
      </c>
      <c r="O21" s="18">
        <f>Table15[[#This Row],[Adjusted %]]*$O$84</f>
        <v>20017.348153753988</v>
      </c>
      <c r="P21" s="18">
        <f>Table15[[#This Row],[Adjusted %]]*$P$84</f>
        <v>20017.348153753988</v>
      </c>
      <c r="Q21" s="18">
        <f>Table15[[#This Row],[Adjusted %]]*$Q$84</f>
        <v>20017.348153753988</v>
      </c>
      <c r="R21" s="18">
        <f>SUM(Table15[[#This Row],[Payment 1]:[Payment 15]])</f>
        <v>434454.37611063902</v>
      </c>
    </row>
    <row r="22" spans="1:18" x14ac:dyDescent="0.3">
      <c r="A22" t="s">
        <v>142</v>
      </c>
      <c r="B22">
        <v>2.6152043847903653E-2</v>
      </c>
      <c r="C22" s="155">
        <f>Table15[[#This Row],[Adjusted %]]*$C$84</f>
        <v>-1703.5718016508872</v>
      </c>
      <c r="D22" s="155">
        <f>Table15[[#This Row],[Adjusted %]]*$D$84</f>
        <v>85770.206293284515</v>
      </c>
      <c r="E22" s="155">
        <f>Table15[[#This Row],[Adjusted %]]*$E$84</f>
        <v>63641.763703958706</v>
      </c>
      <c r="F22" s="18">
        <f>Table15[[#This Row],[Adjusted %]]*$F$84</f>
        <v>63641.763703958706</v>
      </c>
      <c r="G22" s="18">
        <f>Table15[[#This Row],[Adjusted %]]*$G$84</f>
        <v>63641.763703958706</v>
      </c>
      <c r="H22" s="18">
        <f>Table15[[#This Row],[Adjusted %]]*$H$84</f>
        <v>80710.984379059912</v>
      </c>
      <c r="I22" s="18">
        <f>Table15[[#This Row],[Adjusted %]]*$I$84</f>
        <v>78668.817725023342</v>
      </c>
      <c r="J22" s="18">
        <f>Table15[[#This Row],[Adjusted %]]*$J$84</f>
        <v>85550.397915563168</v>
      </c>
      <c r="K22" s="18">
        <f>Table15[[#This Row],[Adjusted %]]*$K$84</f>
        <v>85517.987501801457</v>
      </c>
      <c r="L22" s="18">
        <f>Table15[[#This Row],[Adjusted %]]*$L$84</f>
        <v>85517.987573796607</v>
      </c>
      <c r="M22" s="18">
        <f>Table15[[#This Row],[Adjusted %]]*$M$84</f>
        <v>41365.094582799917</v>
      </c>
      <c r="N22" s="18">
        <f>Table15[[#This Row],[Adjusted %]]*$N$84</f>
        <v>41365.094582799917</v>
      </c>
      <c r="O22" s="18">
        <f>Table15[[#This Row],[Adjusted %]]*$O$84</f>
        <v>41365.094582799917</v>
      </c>
      <c r="P22" s="18">
        <f>Table15[[#This Row],[Adjusted %]]*$P$84</f>
        <v>41365.094582799917</v>
      </c>
      <c r="Q22" s="18">
        <f>Table15[[#This Row],[Adjusted %]]*$Q$84</f>
        <v>41365.094582799917</v>
      </c>
      <c r="R22" s="18">
        <f>SUM(Table15[[#This Row],[Payment 1]:[Payment 15]])</f>
        <v>897783.573612754</v>
      </c>
    </row>
    <row r="23" spans="1:18" x14ac:dyDescent="0.3">
      <c r="A23" t="s">
        <v>143</v>
      </c>
      <c r="B23">
        <v>3.9427141313926189E-2</v>
      </c>
      <c r="C23" s="155">
        <f>Table15[[#This Row],[Adjusted %]]*$C$84</f>
        <v>-2568.325693882372</v>
      </c>
      <c r="D23" s="155">
        <f>Table15[[#This Row],[Adjusted %]]*$D$84</f>
        <v>129308.21253272734</v>
      </c>
      <c r="E23" s="155">
        <f>Table15[[#This Row],[Adjusted %]]*$E$84</f>
        <v>95947.101710928677</v>
      </c>
      <c r="F23" s="18">
        <f>Table15[[#This Row],[Adjusted %]]*$F$84</f>
        <v>95947.101710928677</v>
      </c>
      <c r="G23" s="18">
        <f>Table15[[#This Row],[Adjusted %]]*$G$84</f>
        <v>95947.101710928677</v>
      </c>
      <c r="H23" s="18">
        <f>Table15[[#This Row],[Adjusted %]]*$H$84</f>
        <v>121680.86766780064</v>
      </c>
      <c r="I23" s="18">
        <f>Table15[[#This Row],[Adjusted %]]*$I$84</f>
        <v>118602.07223125422</v>
      </c>
      <c r="J23" s="18">
        <f>Table15[[#This Row],[Adjusted %]]*$J$84</f>
        <v>128976.82673279494</v>
      </c>
      <c r="K23" s="18">
        <f>Table15[[#This Row],[Adjusted %]]*$K$84</f>
        <v>128927.96439641858</v>
      </c>
      <c r="L23" s="18">
        <f>Table15[[#This Row],[Adjusted %]]*$L$84</f>
        <v>128927.96450495934</v>
      </c>
      <c r="M23" s="18">
        <f>Table15[[#This Row],[Adjusted %]]*$M$84</f>
        <v>62362.522755968399</v>
      </c>
      <c r="N23" s="18">
        <f>Table15[[#This Row],[Adjusted %]]*$N$84</f>
        <v>62362.522755968399</v>
      </c>
      <c r="O23" s="18">
        <f>Table15[[#This Row],[Adjusted %]]*$O$84</f>
        <v>62362.522755968399</v>
      </c>
      <c r="P23" s="18">
        <f>Table15[[#This Row],[Adjusted %]]*$P$84</f>
        <v>62362.522755968399</v>
      </c>
      <c r="Q23" s="18">
        <f>Table15[[#This Row],[Adjusted %]]*$Q$84</f>
        <v>62362.522755968399</v>
      </c>
      <c r="R23" s="18">
        <f>SUM(Table15[[#This Row],[Payment 1]:[Payment 15]])</f>
        <v>1353509.5012847006</v>
      </c>
    </row>
    <row r="24" spans="1:18" x14ac:dyDescent="0.3">
      <c r="A24" t="s">
        <v>220</v>
      </c>
      <c r="B24">
        <v>1.3474674937241388E-2</v>
      </c>
      <c r="C24" s="155">
        <f>Table15[[#This Row],[Adjusted %]]*$C$84</f>
        <v>-877.75457983321041</v>
      </c>
      <c r="D24" s="155">
        <f>Table15[[#This Row],[Adjusted %]]*$D$84</f>
        <v>44192.555496758519</v>
      </c>
      <c r="E24" s="155">
        <f>Table15[[#This Row],[Adjusted %]]*$E$84</f>
        <v>32791.015621225044</v>
      </c>
      <c r="F24" s="18">
        <f>Table15[[#This Row],[Adjusted %]]*$F$84</f>
        <v>32791.015621225044</v>
      </c>
      <c r="G24" s="18">
        <f>Table15[[#This Row],[Adjusted %]]*$G$84</f>
        <v>32791.015621225044</v>
      </c>
      <c r="H24" s="18">
        <f>Table15[[#This Row],[Adjusted %]]*$H$84</f>
        <v>41585.823452180317</v>
      </c>
      <c r="I24" s="18">
        <f>Table15[[#This Row],[Adjusted %]]*$I$84</f>
        <v>40533.61001942322</v>
      </c>
      <c r="J24" s="18">
        <f>Table15[[#This Row],[Adjusted %]]*$J$84</f>
        <v>44079.300622474002</v>
      </c>
      <c r="K24" s="18">
        <f>Table15[[#This Row],[Adjusted %]]*$K$84</f>
        <v>44062.601362081186</v>
      </c>
      <c r="L24" s="18">
        <f>Table15[[#This Row],[Adjusted %]]*$L$84</f>
        <v>44062.601399176223</v>
      </c>
      <c r="M24" s="18">
        <f>Table15[[#This Row],[Adjusted %]]*$M$84</f>
        <v>21313.102964078778</v>
      </c>
      <c r="N24" s="18">
        <f>Table15[[#This Row],[Adjusted %]]*$N$84</f>
        <v>21313.102964078778</v>
      </c>
      <c r="O24" s="18">
        <f>Table15[[#This Row],[Adjusted %]]*$O$84</f>
        <v>21313.102964078778</v>
      </c>
      <c r="P24" s="18">
        <f>Table15[[#This Row],[Adjusted %]]*$P$84</f>
        <v>21313.102964078778</v>
      </c>
      <c r="Q24" s="18">
        <f>Table15[[#This Row],[Adjusted %]]*$Q$84</f>
        <v>21313.102964078778</v>
      </c>
      <c r="R24" s="18">
        <f>SUM(Table15[[#This Row],[Payment 1]:[Payment 15]])</f>
        <v>462577.29945632926</v>
      </c>
    </row>
    <row r="25" spans="1:18" x14ac:dyDescent="0.3">
      <c r="A25" t="s">
        <v>144</v>
      </c>
      <c r="B25">
        <v>3.2589541327809404E-2</v>
      </c>
      <c r="C25" s="155">
        <f>Table15[[#This Row],[Adjusted %]]*$C$84</f>
        <v>-2122.9171975116083</v>
      </c>
      <c r="D25" s="155">
        <f>Table15[[#This Row],[Adjusted %]]*$D$84</f>
        <v>106883.10630504691</v>
      </c>
      <c r="E25" s="155">
        <f>Table15[[#This Row],[Adjusted %]]*$E$84</f>
        <v>79307.602131108346</v>
      </c>
      <c r="F25" s="18">
        <f>Table15[[#This Row],[Adjusted %]]*$F$84</f>
        <v>79307.602131108346</v>
      </c>
      <c r="G25" s="18">
        <f>Table15[[#This Row],[Adjusted %]]*$G$84</f>
        <v>79307.602131108346</v>
      </c>
      <c r="H25" s="18">
        <f>Table15[[#This Row],[Adjusted %]]*$H$84</f>
        <v>100578.52366442862</v>
      </c>
      <c r="I25" s="18">
        <f>Table15[[#This Row],[Adjusted %]]*$I$84</f>
        <v>98033.664266170366</v>
      </c>
      <c r="J25" s="18">
        <f>Table15[[#This Row],[Adjusted %]]*$J$84</f>
        <v>106609.19065043841</v>
      </c>
      <c r="K25" s="18">
        <f>Table15[[#This Row],[Adjusted %]]*$K$84</f>
        <v>106568.80220030878</v>
      </c>
      <c r="L25" s="18">
        <f>Table15[[#This Row],[Adjusted %]]*$L$84</f>
        <v>106568.80229002601</v>
      </c>
      <c r="M25" s="18">
        <f>Table15[[#This Row],[Adjusted %]]*$M$84</f>
        <v>51547.384490293443</v>
      </c>
      <c r="N25" s="18">
        <f>Table15[[#This Row],[Adjusted %]]*$N$84</f>
        <v>51547.384490293443</v>
      </c>
      <c r="O25" s="18">
        <f>Table15[[#This Row],[Adjusted %]]*$O$84</f>
        <v>51547.384490293443</v>
      </c>
      <c r="P25" s="18">
        <f>Table15[[#This Row],[Adjusted %]]*$P$84</f>
        <v>51547.384490293443</v>
      </c>
      <c r="Q25" s="18">
        <f>Table15[[#This Row],[Adjusted %]]*$Q$84</f>
        <v>51547.384490293443</v>
      </c>
      <c r="R25" s="18">
        <f>SUM(Table15[[#This Row],[Payment 1]:[Payment 15]])</f>
        <v>1118778.9010236997</v>
      </c>
    </row>
    <row r="26" spans="1:18" x14ac:dyDescent="0.3">
      <c r="A26" t="s">
        <v>145</v>
      </c>
      <c r="B26">
        <v>6.2390815152689461E-3</v>
      </c>
      <c r="C26" s="155">
        <f>Table15[[#This Row],[Adjusted %]]*$C$84</f>
        <v>-406.42037002646981</v>
      </c>
      <c r="D26" s="155">
        <f>Table15[[#This Row],[Adjusted %]]*$D$84</f>
        <v>20462.160118629941</v>
      </c>
      <c r="E26" s="155">
        <f>Table15[[#This Row],[Adjusted %]]*$E$84</f>
        <v>15182.987373138398</v>
      </c>
      <c r="F26" s="18">
        <f>Table15[[#This Row],[Adjusted %]]*$F$84</f>
        <v>15182.987373138398</v>
      </c>
      <c r="G26" s="18">
        <f>Table15[[#This Row],[Adjusted %]]*$G$84</f>
        <v>15182.987373138398</v>
      </c>
      <c r="H26" s="18">
        <f>Table15[[#This Row],[Adjusted %]]*$H$84</f>
        <v>19255.183787821574</v>
      </c>
      <c r="I26" s="18">
        <f>Table15[[#This Row],[Adjusted %]]*$I$84</f>
        <v>18767.98499386117</v>
      </c>
      <c r="J26" s="18">
        <f>Table15[[#This Row],[Adjusted %]]*$J$84</f>
        <v>20409.7205313335</v>
      </c>
      <c r="K26" s="18">
        <f>Table15[[#This Row],[Adjusted %]]*$K$84</f>
        <v>20401.988393280393</v>
      </c>
      <c r="L26" s="18">
        <f>Table15[[#This Row],[Adjusted %]]*$L$84</f>
        <v>20401.988410456244</v>
      </c>
      <c r="M26" s="18">
        <f>Table15[[#This Row],[Adjusted %]]*$M$84</f>
        <v>9868.4522896127783</v>
      </c>
      <c r="N26" s="18">
        <f>Table15[[#This Row],[Adjusted %]]*$N$84</f>
        <v>9868.4522896127783</v>
      </c>
      <c r="O26" s="18">
        <f>Table15[[#This Row],[Adjusted %]]*$O$84</f>
        <v>9868.4522896127783</v>
      </c>
      <c r="P26" s="18">
        <f>Table15[[#This Row],[Adjusted %]]*$P$84</f>
        <v>9868.4522896127783</v>
      </c>
      <c r="Q26" s="18">
        <f>Table15[[#This Row],[Adjusted %]]*$Q$84</f>
        <v>9868.4522896127783</v>
      </c>
      <c r="R26" s="18">
        <f>SUM(Table15[[#This Row],[Payment 1]:[Payment 15]])</f>
        <v>214183.82943283548</v>
      </c>
    </row>
    <row r="27" spans="1:18" x14ac:dyDescent="0.3">
      <c r="A27" t="s">
        <v>146</v>
      </c>
      <c r="B27">
        <v>2.4060007399784249E-2</v>
      </c>
      <c r="C27" s="155">
        <f>Table15[[#This Row],[Adjusted %]]*$C$84</f>
        <v>-1567.294334322926</v>
      </c>
      <c r="D27" s="155">
        <f>Table15[[#This Row],[Adjusted %]]*$D$84</f>
        <v>78909.006504394783</v>
      </c>
      <c r="E27" s="155">
        <f>Table15[[#This Row],[Adjusted %]]*$E$84</f>
        <v>58550.731811170073</v>
      </c>
      <c r="F27" s="18">
        <f>Table15[[#This Row],[Adjusted %]]*$F$84</f>
        <v>58550.731811170073</v>
      </c>
      <c r="G27" s="18">
        <f>Table15[[#This Row],[Adjusted %]]*$G$84</f>
        <v>58550.731811170073</v>
      </c>
      <c r="H27" s="18">
        <f>Table15[[#This Row],[Adjusted %]]*$H$84</f>
        <v>74254.497763076972</v>
      </c>
      <c r="I27" s="18">
        <f>Table15[[#This Row],[Adjusted %]]*$I$84</f>
        <v>72375.694519496014</v>
      </c>
      <c r="J27" s="18">
        <f>Table15[[#This Row],[Adjusted %]]*$J$84</f>
        <v>78706.781728952075</v>
      </c>
      <c r="K27" s="18">
        <f>Table15[[#This Row],[Adjusted %]]*$K$84</f>
        <v>78676.963990825301</v>
      </c>
      <c r="L27" s="18">
        <f>Table15[[#This Row],[Adjusted %]]*$L$84</f>
        <v>78676.964057061181</v>
      </c>
      <c r="M27" s="18">
        <f>Table15[[#This Row],[Adjusted %]]*$M$84</f>
        <v>38056.087988500374</v>
      </c>
      <c r="N27" s="18">
        <f>Table15[[#This Row],[Adjusted %]]*$N$84</f>
        <v>38056.087988500374</v>
      </c>
      <c r="O27" s="18">
        <f>Table15[[#This Row],[Adjusted %]]*$O$84</f>
        <v>38056.087988500374</v>
      </c>
      <c r="P27" s="18">
        <f>Table15[[#This Row],[Adjusted %]]*$P$84</f>
        <v>38056.087988500374</v>
      </c>
      <c r="Q27" s="18">
        <f>Table15[[#This Row],[Adjusted %]]*$Q$84</f>
        <v>38056.087988500374</v>
      </c>
      <c r="R27" s="18">
        <f>SUM(Table15[[#This Row],[Payment 1]:[Payment 15]])</f>
        <v>825965.24960549537</v>
      </c>
    </row>
    <row r="28" spans="1:18" x14ac:dyDescent="0.3">
      <c r="A28" t="s">
        <v>147</v>
      </c>
      <c r="B28">
        <v>3.51762122630256E-2</v>
      </c>
      <c r="C28" s="155">
        <f>Table15[[#This Row],[Adjusted %]]*$C$84</f>
        <v>-2291.4156785868249</v>
      </c>
      <c r="D28" s="155">
        <f>Table15[[#This Row],[Adjusted %]]*$D$84</f>
        <v>115366.546491085</v>
      </c>
      <c r="E28" s="155">
        <f>Table15[[#This Row],[Adjusted %]]*$E$84</f>
        <v>85602.341517304463</v>
      </c>
      <c r="F28" s="18">
        <f>Table15[[#This Row],[Adjusted %]]*$F$84</f>
        <v>85602.341517304463</v>
      </c>
      <c r="G28" s="18">
        <f>Table15[[#This Row],[Adjusted %]]*$G$84</f>
        <v>85602.341517304463</v>
      </c>
      <c r="H28" s="18">
        <f>Table15[[#This Row],[Adjusted %]]*$H$84</f>
        <v>108561.56157382467</v>
      </c>
      <c r="I28" s="18">
        <f>Table15[[#This Row],[Adjusted %]]*$I$84</f>
        <v>105814.71363656022</v>
      </c>
      <c r="J28" s="18">
        <f>Table15[[#This Row],[Adjusted %]]*$J$84</f>
        <v>115070.88982283813</v>
      </c>
      <c r="K28" s="18">
        <f>Table15[[#This Row],[Adjusted %]]*$K$84</f>
        <v>115027.29569303914</v>
      </c>
      <c r="L28" s="18">
        <f>Table15[[#This Row],[Adjusted %]]*$L$84</f>
        <v>115027.29578987732</v>
      </c>
      <c r="M28" s="18">
        <f>Table15[[#This Row],[Adjusted %]]*$M$84</f>
        <v>55638.762147507579</v>
      </c>
      <c r="N28" s="18">
        <f>Table15[[#This Row],[Adjusted %]]*$N$84</f>
        <v>55638.762147507579</v>
      </c>
      <c r="O28" s="18">
        <f>Table15[[#This Row],[Adjusted %]]*$O$84</f>
        <v>55638.762147507579</v>
      </c>
      <c r="P28" s="18">
        <f>Table15[[#This Row],[Adjusted %]]*$P$84</f>
        <v>55638.762147507579</v>
      </c>
      <c r="Q28" s="18">
        <f>Table15[[#This Row],[Adjusted %]]*$Q$84</f>
        <v>55638.762147507579</v>
      </c>
      <c r="R28" s="18">
        <f>SUM(Table15[[#This Row],[Payment 1]:[Payment 15]])</f>
        <v>1207577.7226180891</v>
      </c>
    </row>
    <row r="29" spans="1:18" x14ac:dyDescent="0.3">
      <c r="A29" t="s">
        <v>148</v>
      </c>
      <c r="B29">
        <v>5.1558829009968827E-3</v>
      </c>
      <c r="C29" s="155">
        <f>Table15[[#This Row],[Adjusted %]]*$C$84</f>
        <v>-335.85966641212786</v>
      </c>
      <c r="D29" s="155">
        <f>Table15[[#This Row],[Adjusted %]]*$D$84</f>
        <v>16909.620625233438</v>
      </c>
      <c r="E29" s="155">
        <f>Table15[[#This Row],[Adjusted %]]*$E$84</f>
        <v>12546.991859560818</v>
      </c>
      <c r="F29" s="18">
        <f>Table15[[#This Row],[Adjusted %]]*$F$84</f>
        <v>12546.991859560818</v>
      </c>
      <c r="G29" s="18">
        <f>Table15[[#This Row],[Adjusted %]]*$G$84</f>
        <v>12546.991859560818</v>
      </c>
      <c r="H29" s="18">
        <f>Table15[[#This Row],[Adjusted %]]*$H$84</f>
        <v>15912.193582375743</v>
      </c>
      <c r="I29" s="18">
        <f>Table15[[#This Row],[Adjusted %]]*$I$84</f>
        <v>15509.57984427675</v>
      </c>
      <c r="J29" s="18">
        <f>Table15[[#This Row],[Adjusted %]]*$J$84</f>
        <v>16866.28534089465</v>
      </c>
      <c r="K29" s="18">
        <f>Table15[[#This Row],[Adjusted %]]*$K$84</f>
        <v>16859.89561858078</v>
      </c>
      <c r="L29" s="18">
        <f>Table15[[#This Row],[Adjusted %]]*$L$84</f>
        <v>16859.895632774645</v>
      </c>
      <c r="M29" s="18">
        <f>Table15[[#This Row],[Adjusted %]]*$M$84</f>
        <v>8155.1401908754779</v>
      </c>
      <c r="N29" s="18">
        <f>Table15[[#This Row],[Adjusted %]]*$N$84</f>
        <v>8155.1401908754779</v>
      </c>
      <c r="O29" s="18">
        <f>Table15[[#This Row],[Adjusted %]]*$O$84</f>
        <v>8155.1401908754779</v>
      </c>
      <c r="P29" s="18">
        <f>Table15[[#This Row],[Adjusted %]]*$P$84</f>
        <v>8155.1401908754779</v>
      </c>
      <c r="Q29" s="18">
        <f>Table15[[#This Row],[Adjusted %]]*$Q$84</f>
        <v>8155.1401908754779</v>
      </c>
      <c r="R29" s="18">
        <f>SUM(Table15[[#This Row],[Payment 1]:[Payment 15]])</f>
        <v>176998.28751078373</v>
      </c>
    </row>
    <row r="30" spans="1:18" x14ac:dyDescent="0.3">
      <c r="A30" t="s">
        <v>221</v>
      </c>
      <c r="B30">
        <v>6.376803589261017E-3</v>
      </c>
      <c r="C30" s="155">
        <f>Table15[[#This Row],[Adjusted %]]*$C$84</f>
        <v>-415.39173161802574</v>
      </c>
      <c r="D30" s="155">
        <f>Table15[[#This Row],[Adjusted %]]*$D$84</f>
        <v>20913.843771584121</v>
      </c>
      <c r="E30" s="155">
        <f>Table15[[#This Row],[Adjusted %]]*$E$84</f>
        <v>15518.138068846836</v>
      </c>
      <c r="F30" s="18">
        <f>Table15[[#This Row],[Adjusted %]]*$F$84</f>
        <v>15518.138068846836</v>
      </c>
      <c r="G30" s="18">
        <f>Table15[[#This Row],[Adjusted %]]*$G$84</f>
        <v>15518.138068846836</v>
      </c>
      <c r="H30" s="18">
        <f>Table15[[#This Row],[Adjusted %]]*$H$84</f>
        <v>19680.224531377717</v>
      </c>
      <c r="I30" s="18">
        <f>Table15[[#This Row],[Adjusted %]]*$I$84</f>
        <v>19182.271265274827</v>
      </c>
      <c r="J30" s="18">
        <f>Table15[[#This Row],[Adjusted %]]*$J$84</f>
        <v>20860.246627890301</v>
      </c>
      <c r="K30" s="18">
        <f>Table15[[#This Row],[Adjusted %]]*$K$84</f>
        <v>20852.343809892322</v>
      </c>
      <c r="L30" s="18">
        <f>Table15[[#This Row],[Adjusted %]]*$L$84</f>
        <v>20852.343827447312</v>
      </c>
      <c r="M30" s="18">
        <f>Table15[[#This Row],[Adjusted %]]*$M$84</f>
        <v>10086.289436489467</v>
      </c>
      <c r="N30" s="18">
        <f>Table15[[#This Row],[Adjusted %]]*$N$84</f>
        <v>10086.289436489467</v>
      </c>
      <c r="O30" s="18">
        <f>Table15[[#This Row],[Adjusted %]]*$O$84</f>
        <v>10086.289436489467</v>
      </c>
      <c r="P30" s="18">
        <f>Table15[[#This Row],[Adjusted %]]*$P$84</f>
        <v>10086.289436489467</v>
      </c>
      <c r="Q30" s="18">
        <f>Table15[[#This Row],[Adjusted %]]*$Q$84</f>
        <v>10086.289436489467</v>
      </c>
      <c r="R30" s="18">
        <f>SUM(Table15[[#This Row],[Payment 1]:[Payment 15]])</f>
        <v>218911.74349083638</v>
      </c>
    </row>
    <row r="31" spans="1:18" x14ac:dyDescent="0.3">
      <c r="A31" t="s">
        <v>149</v>
      </c>
      <c r="B31">
        <v>2.6264260695870859E-2</v>
      </c>
      <c r="C31" s="155">
        <f>Table15[[#This Row],[Adjusted %]]*$C$84</f>
        <v>-1710.8817258380325</v>
      </c>
      <c r="D31" s="155">
        <f>Table15[[#This Row],[Adjusted %]]*$D$84</f>
        <v>86138.241092235839</v>
      </c>
      <c r="E31" s="155">
        <f>Table15[[#This Row],[Adjusted %]]*$E$84</f>
        <v>63914.846686056277</v>
      </c>
      <c r="F31" s="18">
        <f>Table15[[#This Row],[Adjusted %]]*$F$84</f>
        <v>63914.846686056277</v>
      </c>
      <c r="G31" s="18">
        <f>Table15[[#This Row],[Adjusted %]]*$G$84</f>
        <v>63914.846686056277</v>
      </c>
      <c r="H31" s="18">
        <f>Table15[[#This Row],[Adjusted %]]*$H$84</f>
        <v>81057.310360922886</v>
      </c>
      <c r="I31" s="18">
        <f>Table15[[#This Row],[Adjusted %]]*$I$84</f>
        <v>79006.380892542889</v>
      </c>
      <c r="J31" s="18">
        <f>Table15[[#This Row],[Adjusted %]]*$J$84</f>
        <v>85917.489529979925</v>
      </c>
      <c r="K31" s="18">
        <f>Table15[[#This Row],[Adjusted %]]*$K$84</f>
        <v>85884.940045081181</v>
      </c>
      <c r="L31" s="18">
        <f>Table15[[#This Row],[Adjusted %]]*$L$84</f>
        <v>85884.940117385253</v>
      </c>
      <c r="M31" s="18">
        <f>Table15[[#This Row],[Adjusted %]]*$M$84</f>
        <v>41542.589716906587</v>
      </c>
      <c r="N31" s="18">
        <f>Table15[[#This Row],[Adjusted %]]*$N$84</f>
        <v>41542.589716906587</v>
      </c>
      <c r="O31" s="18">
        <f>Table15[[#This Row],[Adjusted %]]*$O$84</f>
        <v>41542.589716906587</v>
      </c>
      <c r="P31" s="18">
        <f>Table15[[#This Row],[Adjusted %]]*$P$84</f>
        <v>41542.589716906587</v>
      </c>
      <c r="Q31" s="18">
        <f>Table15[[#This Row],[Adjusted %]]*$Q$84</f>
        <v>41542.589716906587</v>
      </c>
      <c r="R31" s="18">
        <f>SUM(Table15[[#This Row],[Payment 1]:[Payment 15]])</f>
        <v>901635.90895501152</v>
      </c>
    </row>
    <row r="32" spans="1:18" x14ac:dyDescent="0.3">
      <c r="A32" t="s">
        <v>150</v>
      </c>
      <c r="B32">
        <v>2.4723863802197009E-2</v>
      </c>
      <c r="C32" s="155">
        <f>Table15[[#This Row],[Adjusted %]]*$C$84</f>
        <v>-1610.5386426482364</v>
      </c>
      <c r="D32" s="155">
        <f>Table15[[#This Row],[Adjusted %]]*$D$84</f>
        <v>81086.239798863448</v>
      </c>
      <c r="E32" s="155">
        <f>Table15[[#This Row],[Adjusted %]]*$E$84</f>
        <v>60166.245785581668</v>
      </c>
      <c r="F32" s="18">
        <f>Table15[[#This Row],[Adjusted %]]*$F$84</f>
        <v>60166.245785581668</v>
      </c>
      <c r="G32" s="18">
        <f>Table15[[#This Row],[Adjusted %]]*$G$84</f>
        <v>60166.245785581668</v>
      </c>
      <c r="H32" s="18">
        <f>Table15[[#This Row],[Adjusted %]]*$H$84</f>
        <v>76303.30526878059</v>
      </c>
      <c r="I32" s="18">
        <f>Table15[[#This Row],[Adjusted %]]*$I$84</f>
        <v>74372.662657846144</v>
      </c>
      <c r="J32" s="18">
        <f>Table15[[#This Row],[Adjusted %]]*$J$84</f>
        <v>80878.435298956261</v>
      </c>
      <c r="K32" s="18">
        <f>Table15[[#This Row],[Adjusted %]]*$K$84</f>
        <v>80847.794838873</v>
      </c>
      <c r="L32" s="18">
        <f>Table15[[#This Row],[Adjusted %]]*$L$84</f>
        <v>80847.79490693644</v>
      </c>
      <c r="M32" s="18">
        <f>Table15[[#This Row],[Adjusted %]]*$M$84</f>
        <v>39106.119987334081</v>
      </c>
      <c r="N32" s="18">
        <f>Table15[[#This Row],[Adjusted %]]*$N$84</f>
        <v>39106.119987334081</v>
      </c>
      <c r="O32" s="18">
        <f>Table15[[#This Row],[Adjusted %]]*$O$84</f>
        <v>39106.119987334081</v>
      </c>
      <c r="P32" s="18">
        <f>Table15[[#This Row],[Adjusted %]]*$P$84</f>
        <v>39106.119987334081</v>
      </c>
      <c r="Q32" s="18">
        <f>Table15[[#This Row],[Adjusted %]]*$Q$84</f>
        <v>39106.119987334081</v>
      </c>
      <c r="R32" s="18">
        <f>SUM(Table15[[#This Row],[Payment 1]:[Payment 15]])</f>
        <v>848755.0314210233</v>
      </c>
    </row>
    <row r="33" spans="1:18" x14ac:dyDescent="0.3">
      <c r="A33" t="s">
        <v>151</v>
      </c>
      <c r="B33">
        <v>0</v>
      </c>
      <c r="C33" s="155">
        <f>Table15[[#This Row],[Adjusted %]]*$C$84</f>
        <v>0</v>
      </c>
      <c r="D33" s="155">
        <f>Table15[[#This Row],[Adjusted %]]*$D$84</f>
        <v>0</v>
      </c>
      <c r="E33" s="155">
        <f>Table15[[#This Row],[Adjusted %]]*$E$84</f>
        <v>0</v>
      </c>
      <c r="F33" s="18">
        <f>Table15[[#This Row],[Adjusted %]]*$F$84</f>
        <v>0</v>
      </c>
      <c r="G33" s="18">
        <f>Table15[[#This Row],[Adjusted %]]*$G$84</f>
        <v>0</v>
      </c>
      <c r="H33" s="18">
        <f>Table15[[#This Row],[Adjusted %]]*$H$84</f>
        <v>0</v>
      </c>
      <c r="I33" s="18">
        <f>Table15[[#This Row],[Adjusted %]]*$I$84</f>
        <v>0</v>
      </c>
      <c r="J33" s="18">
        <f>Table15[[#This Row],[Adjusted %]]*$J$84</f>
        <v>0</v>
      </c>
      <c r="K33" s="18">
        <f>Table15[[#This Row],[Adjusted %]]*$K$84</f>
        <v>0</v>
      </c>
      <c r="L33" s="18">
        <f>Table15[[#This Row],[Adjusted %]]*$L$84</f>
        <v>0</v>
      </c>
      <c r="M33" s="18">
        <f>Table15[[#This Row],[Adjusted %]]*$M$84</f>
        <v>0</v>
      </c>
      <c r="N33" s="18">
        <f>Table15[[#This Row],[Adjusted %]]*$N$84</f>
        <v>0</v>
      </c>
      <c r="O33" s="18">
        <f>Table15[[#This Row],[Adjusted %]]*$O$84</f>
        <v>0</v>
      </c>
      <c r="P33" s="18">
        <f>Table15[[#This Row],[Adjusted %]]*$P$84</f>
        <v>0</v>
      </c>
      <c r="Q33" s="18">
        <f>Table15[[#This Row],[Adjusted %]]*$Q$84</f>
        <v>0</v>
      </c>
      <c r="R33" s="18">
        <f>SUM(Table15[[#This Row],[Payment 1]:[Payment 15]])</f>
        <v>0</v>
      </c>
    </row>
    <row r="34" spans="1:18" x14ac:dyDescent="0.3">
      <c r="A34" t="s">
        <v>152</v>
      </c>
      <c r="B34">
        <v>2.5766830968202328E-2</v>
      </c>
      <c r="C34" s="164">
        <f>Table15[[#This Row],[Adjusted %]]*$C$84</f>
        <v>-1678.4786271629393</v>
      </c>
      <c r="D34" s="164">
        <f>Table15[[#This Row],[Adjusted %]]*$D$84</f>
        <v>84506.833214263723</v>
      </c>
      <c r="E34" s="164">
        <f>Table15[[#This Row],[Adjusted %]]*$E$84</f>
        <v>62704.336892951032</v>
      </c>
      <c r="F34" s="18">
        <f>Table15[[#This Row],[Adjusted %]]*$F$84</f>
        <v>62704.336892951032</v>
      </c>
      <c r="G34" s="18">
        <f>Table15[[#This Row],[Adjusted %]]*$G$84</f>
        <v>62704.336892951032</v>
      </c>
      <c r="H34" s="18">
        <f>Table15[[#This Row],[Adjusted %]]*$H$84</f>
        <v>79522.132337628413</v>
      </c>
      <c r="I34" s="18">
        <f>Table15[[#This Row],[Adjusted %]]*$I$84</f>
        <v>77510.046273170476</v>
      </c>
      <c r="J34" s="18">
        <f>Table15[[#This Row],[Adjusted %]]*$J$84</f>
        <v>84290.26255741257</v>
      </c>
      <c r="K34" s="18">
        <f>Table15[[#This Row],[Adjusted %]]*$K$84</f>
        <v>84258.329540709761</v>
      </c>
      <c r="L34" s="18">
        <f>Table15[[#This Row],[Adjusted %]]*$L$84</f>
        <v>84258.32961164444</v>
      </c>
      <c r="M34" s="18">
        <f>Table15[[#This Row],[Adjusted %]]*$M$84</f>
        <v>40755.797378496121</v>
      </c>
      <c r="N34" s="18">
        <f>Table15[[#This Row],[Adjusted %]]*$N$84</f>
        <v>40755.797378496121</v>
      </c>
      <c r="O34" s="18">
        <f>Table15[[#This Row],[Adjusted %]]*$O$84</f>
        <v>40755.797378496121</v>
      </c>
      <c r="P34" s="18">
        <f>Table15[[#This Row],[Adjusted %]]*$P$84</f>
        <v>40755.797378496121</v>
      </c>
      <c r="Q34" s="18">
        <f>Table15[[#This Row],[Adjusted %]]*$Q$84</f>
        <v>40755.797378496121</v>
      </c>
      <c r="R34" s="18">
        <f>SUM(Table15[[#This Row],[Payment 1]:[Payment 15]])</f>
        <v>884559.45247900032</v>
      </c>
    </row>
    <row r="35" spans="1:18" x14ac:dyDescent="0.3">
      <c r="A35" t="s">
        <v>153</v>
      </c>
      <c r="B35">
        <v>4.8765381278234217E-3</v>
      </c>
      <c r="C35" s="155">
        <f>Table15[[#This Row],[Adjusted %]]*$C$84</f>
        <v>-317.66285237783899</v>
      </c>
      <c r="D35" s="155">
        <f>Table15[[#This Row],[Adjusted %]]*$D$84</f>
        <v>15993.460536125944</v>
      </c>
      <c r="E35" s="155">
        <f>Table15[[#This Row],[Adjusted %]]*$E$84</f>
        <v>11867.198182644572</v>
      </c>
      <c r="F35" s="18">
        <f>Table15[[#This Row],[Adjusted %]]*$F$84</f>
        <v>11867.198182644572</v>
      </c>
      <c r="G35" s="18">
        <f>Table15[[#This Row],[Adjusted %]]*$G$84</f>
        <v>11867.198182644572</v>
      </c>
      <c r="H35" s="18">
        <f>Table15[[#This Row],[Adjusted %]]*$H$84</f>
        <v>15050.073904269491</v>
      </c>
      <c r="I35" s="18">
        <f>Table15[[#This Row],[Adjusted %]]*$I$84</f>
        <v>14669.273703348397</v>
      </c>
      <c r="J35" s="18">
        <f>Table15[[#This Row],[Adjusted %]]*$J$84</f>
        <v>15952.47314940362</v>
      </c>
      <c r="K35" s="18">
        <f>Table15[[#This Row],[Adjusted %]]*$K$84</f>
        <v>15946.429621052004</v>
      </c>
      <c r="L35" s="18">
        <f>Table15[[#This Row],[Adjusted %]]*$L$84</f>
        <v>15946.429634476846</v>
      </c>
      <c r="M35" s="18">
        <f>Table15[[#This Row],[Adjusted %]]*$M$84</f>
        <v>7713.2962175809298</v>
      </c>
      <c r="N35" s="18">
        <f>Table15[[#This Row],[Adjusted %]]*$N$84</f>
        <v>7713.2962175809298</v>
      </c>
      <c r="O35" s="18">
        <f>Table15[[#This Row],[Adjusted %]]*$O$84</f>
        <v>7713.2962175809298</v>
      </c>
      <c r="P35" s="18">
        <f>Table15[[#This Row],[Adjusted %]]*$P$84</f>
        <v>7713.2962175809298</v>
      </c>
      <c r="Q35" s="18">
        <f>Table15[[#This Row],[Adjusted %]]*$Q$84</f>
        <v>7713.2962175809298</v>
      </c>
      <c r="R35" s="18">
        <f>SUM(Table15[[#This Row],[Payment 1]:[Payment 15]])</f>
        <v>167408.55333213686</v>
      </c>
    </row>
    <row r="36" spans="1:18" x14ac:dyDescent="0.3">
      <c r="A36" t="s">
        <v>154</v>
      </c>
      <c r="B36">
        <v>1.689883461231089E-3</v>
      </c>
      <c r="C36" s="164">
        <f>Table15[[#This Row],[Adjusted %]]*$C$84</f>
        <v>-110.08079633746297</v>
      </c>
      <c r="D36" s="164">
        <f>Table15[[#This Row],[Adjusted %]]*$D$84</f>
        <v>5542.2686626085133</v>
      </c>
      <c r="E36" s="164">
        <f>Table15[[#This Row],[Adjusted %]]*$E$84</f>
        <v>4112.380835409077</v>
      </c>
      <c r="F36" s="18">
        <f>Table15[[#This Row],[Adjusted %]]*$F$84</f>
        <v>4112.380835409077</v>
      </c>
      <c r="G36" s="18">
        <f>Table15[[#This Row],[Adjusted %]]*$G$84</f>
        <v>4112.380835409077</v>
      </c>
      <c r="H36" s="18">
        <f>Table15[[#This Row],[Adjusted %]]*$H$84</f>
        <v>5215.3536616522351</v>
      </c>
      <c r="I36" s="18">
        <f>Table15[[#This Row],[Adjusted %]]*$I$84</f>
        <v>5083.3936636572535</v>
      </c>
      <c r="J36" s="18">
        <f>Table15[[#This Row],[Adjusted %]]*$J$84</f>
        <v>5528.065163091931</v>
      </c>
      <c r="K36" s="18">
        <f>Table15[[#This Row],[Adjusted %]]*$K$84</f>
        <v>5525.9708785111116</v>
      </c>
      <c r="L36" s="18">
        <f>Table15[[#This Row],[Adjusted %]]*$L$84</f>
        <v>5525.9708831632679</v>
      </c>
      <c r="M36" s="18">
        <f>Table15[[#This Row],[Adjusted %]]*$M$84</f>
        <v>2672.9149589329954</v>
      </c>
      <c r="N36" s="18">
        <f>Table15[[#This Row],[Adjusted %]]*$N$84</f>
        <v>2672.9149589329954</v>
      </c>
      <c r="O36" s="18">
        <f>Table15[[#This Row],[Adjusted %]]*$O$84</f>
        <v>2672.9149589329954</v>
      </c>
      <c r="P36" s="18">
        <f>Table15[[#This Row],[Adjusted %]]*$P$84</f>
        <v>2672.9149589329954</v>
      </c>
      <c r="Q36" s="18">
        <f>Table15[[#This Row],[Adjusted %]]*$Q$84</f>
        <v>2672.9149589329954</v>
      </c>
      <c r="R36" s="18">
        <f>SUM(Table15[[#This Row],[Payment 1]:[Payment 15]])</f>
        <v>58012.659417239069</v>
      </c>
    </row>
    <row r="37" spans="1:18" x14ac:dyDescent="0.3">
      <c r="A37" t="s">
        <v>155</v>
      </c>
      <c r="B37">
        <v>1.9491116644861282E-2</v>
      </c>
      <c r="C37" s="155">
        <f>Table15[[#This Row],[Adjusted %]]*$C$84</f>
        <v>-1269.671957265994</v>
      </c>
      <c r="D37" s="155">
        <f>Table15[[#This Row],[Adjusted %]]*$D$84</f>
        <v>63924.529388177507</v>
      </c>
      <c r="E37" s="155">
        <f>Table15[[#This Row],[Adjusted %]]*$E$84</f>
        <v>47432.202509785573</v>
      </c>
      <c r="F37" s="18">
        <f>Table15[[#This Row],[Adjusted %]]*$F$84</f>
        <v>47432.202509785573</v>
      </c>
      <c r="G37" s="18">
        <f>Table15[[#This Row],[Adjusted %]]*$G$84</f>
        <v>47432.202509785573</v>
      </c>
      <c r="H37" s="18">
        <f>Table15[[#This Row],[Adjusted %]]*$H$84</f>
        <v>60153.89161179986</v>
      </c>
      <c r="I37" s="18">
        <f>Table15[[#This Row],[Adjusted %]]*$I$84</f>
        <v>58631.864932219178</v>
      </c>
      <c r="J37" s="18">
        <f>Table15[[#This Row],[Adjusted %]]*$J$84</f>
        <v>63760.706218003827</v>
      </c>
      <c r="K37" s="18">
        <f>Table15[[#This Row],[Adjusted %]]*$K$84</f>
        <v>63736.550738653466</v>
      </c>
      <c r="L37" s="18">
        <f>Table15[[#This Row],[Adjusted %]]*$L$84</f>
        <v>63736.550792311442</v>
      </c>
      <c r="M37" s="18">
        <f>Table15[[#This Row],[Adjusted %]]*$M$84</f>
        <v>30829.402406485402</v>
      </c>
      <c r="N37" s="18">
        <f>Table15[[#This Row],[Adjusted %]]*$N$84</f>
        <v>30829.402406485402</v>
      </c>
      <c r="O37" s="18">
        <f>Table15[[#This Row],[Adjusted %]]*$O$84</f>
        <v>30829.402406485402</v>
      </c>
      <c r="P37" s="18">
        <f>Table15[[#This Row],[Adjusted %]]*$P$84</f>
        <v>30829.402406485402</v>
      </c>
      <c r="Q37" s="18">
        <f>Table15[[#This Row],[Adjusted %]]*$Q$84</f>
        <v>30829.402406485402</v>
      </c>
      <c r="R37" s="18">
        <f>SUM(Table15[[#This Row],[Payment 1]:[Payment 15]])</f>
        <v>669118.04128568294</v>
      </c>
    </row>
    <row r="38" spans="1:18" x14ac:dyDescent="0.3">
      <c r="A38" t="s">
        <v>156</v>
      </c>
      <c r="B38">
        <v>1.689883461231089E-3</v>
      </c>
      <c r="C38" s="164">
        <f>Table15[[#This Row],[Adjusted %]]*$C$84</f>
        <v>-110.08079633746297</v>
      </c>
      <c r="D38" s="164">
        <f>Table15[[#This Row],[Adjusted %]]*$D$84</f>
        <v>5542.2686626085133</v>
      </c>
      <c r="E38" s="164">
        <f>Table15[[#This Row],[Adjusted %]]*$E$84</f>
        <v>4112.380835409077</v>
      </c>
      <c r="F38" s="18">
        <f>Table15[[#This Row],[Adjusted %]]*$F$84</f>
        <v>4112.380835409077</v>
      </c>
      <c r="G38" s="18">
        <f>Table15[[#This Row],[Adjusted %]]*$G$84</f>
        <v>4112.380835409077</v>
      </c>
      <c r="H38" s="18">
        <f>Table15[[#This Row],[Adjusted %]]*$H$84</f>
        <v>5215.3536616522351</v>
      </c>
      <c r="I38" s="18">
        <f>Table15[[#This Row],[Adjusted %]]*$I$84</f>
        <v>5083.3936636572535</v>
      </c>
      <c r="J38" s="18">
        <f>Table15[[#This Row],[Adjusted %]]*$J$84</f>
        <v>5528.065163091931</v>
      </c>
      <c r="K38" s="18">
        <f>Table15[[#This Row],[Adjusted %]]*$K$84</f>
        <v>5525.9708785111116</v>
      </c>
      <c r="L38" s="18">
        <f>Table15[[#This Row],[Adjusted %]]*$L$84</f>
        <v>5525.9708831632679</v>
      </c>
      <c r="M38" s="18">
        <f>Table15[[#This Row],[Adjusted %]]*$M$84</f>
        <v>2672.9149589329954</v>
      </c>
      <c r="N38" s="18">
        <f>Table15[[#This Row],[Adjusted %]]*$N$84</f>
        <v>2672.9149589329954</v>
      </c>
      <c r="O38" s="18">
        <f>Table15[[#This Row],[Adjusted %]]*$O$84</f>
        <v>2672.9149589329954</v>
      </c>
      <c r="P38" s="18">
        <f>Table15[[#This Row],[Adjusted %]]*$P$84</f>
        <v>2672.9149589329954</v>
      </c>
      <c r="Q38" s="18">
        <f>Table15[[#This Row],[Adjusted %]]*$Q$84</f>
        <v>2672.9149589329954</v>
      </c>
      <c r="R38" s="18">
        <f>SUM(Table15[[#This Row],[Payment 1]:[Payment 15]])</f>
        <v>58012.659417239069</v>
      </c>
    </row>
    <row r="39" spans="1:18" x14ac:dyDescent="0.3">
      <c r="A39" t="s">
        <v>157</v>
      </c>
      <c r="B39">
        <v>4.2247086530777227E-3</v>
      </c>
      <c r="C39" s="155">
        <f>Table15[[#This Row],[Adjusted %]]*$C$84</f>
        <v>-275.20199084365743</v>
      </c>
      <c r="D39" s="155">
        <f>Table15[[#This Row],[Adjusted %]]*$D$84</f>
        <v>13855.671656521285</v>
      </c>
      <c r="E39" s="155">
        <f>Table15[[#This Row],[Adjusted %]]*$E$84</f>
        <v>10280.952088522692</v>
      </c>
      <c r="F39" s="18">
        <f>Table15[[#This Row],[Adjusted %]]*$F$84</f>
        <v>10280.952088522692</v>
      </c>
      <c r="G39" s="18">
        <f>Table15[[#This Row],[Adjusted %]]*$G$84</f>
        <v>10280.952088522692</v>
      </c>
      <c r="H39" s="18">
        <f>Table15[[#This Row],[Adjusted %]]*$H$84</f>
        <v>13038.384154130588</v>
      </c>
      <c r="I39" s="18">
        <f>Table15[[#This Row],[Adjusted %]]*$I$84</f>
        <v>12708.484159143134</v>
      </c>
      <c r="J39" s="18">
        <f>Table15[[#This Row],[Adjusted %]]*$J$84</f>
        <v>13820.162907729828</v>
      </c>
      <c r="K39" s="18">
        <f>Table15[[#This Row],[Adjusted %]]*$K$84</f>
        <v>13814.927196277778</v>
      </c>
      <c r="L39" s="18">
        <f>Table15[[#This Row],[Adjusted %]]*$L$84</f>
        <v>13814.927207908171</v>
      </c>
      <c r="M39" s="18">
        <f>Table15[[#This Row],[Adjusted %]]*$M$84</f>
        <v>6682.2873973324895</v>
      </c>
      <c r="N39" s="18">
        <f>Table15[[#This Row],[Adjusted %]]*$N$84</f>
        <v>6682.2873973324895</v>
      </c>
      <c r="O39" s="18">
        <f>Table15[[#This Row],[Adjusted %]]*$O$84</f>
        <v>6682.2873973324895</v>
      </c>
      <c r="P39" s="18">
        <f>Table15[[#This Row],[Adjusted %]]*$P$84</f>
        <v>6682.2873973324895</v>
      </c>
      <c r="Q39" s="18">
        <f>Table15[[#This Row],[Adjusted %]]*$Q$84</f>
        <v>6682.2873973324895</v>
      </c>
      <c r="R39" s="18">
        <f>SUM(Table15[[#This Row],[Payment 1]:[Payment 15]])</f>
        <v>145031.64854309766</v>
      </c>
    </row>
    <row r="40" spans="1:18" x14ac:dyDescent="0.3">
      <c r="A40" t="s">
        <v>158</v>
      </c>
      <c r="B40">
        <v>1.6898834612310891E-2</v>
      </c>
      <c r="C40" s="164">
        <f>Table15[[#This Row],[Adjusted %]]*$C$84</f>
        <v>-1100.8079633746297</v>
      </c>
      <c r="D40" s="164">
        <f>Table15[[#This Row],[Adjusted %]]*$D$84</f>
        <v>55422.686626085138</v>
      </c>
      <c r="E40" s="164">
        <f>Table15[[#This Row],[Adjusted %]]*$E$84</f>
        <v>41123.808354090768</v>
      </c>
      <c r="F40" s="18">
        <f>Table15[[#This Row],[Adjusted %]]*$F$84</f>
        <v>41123.808354090768</v>
      </c>
      <c r="G40" s="18">
        <f>Table15[[#This Row],[Adjusted %]]*$G$84</f>
        <v>41123.808354090768</v>
      </c>
      <c r="H40" s="18">
        <f>Table15[[#This Row],[Adjusted %]]*$H$84</f>
        <v>52153.536616522353</v>
      </c>
      <c r="I40" s="18">
        <f>Table15[[#This Row],[Adjusted %]]*$I$84</f>
        <v>50833.936636572536</v>
      </c>
      <c r="J40" s="18">
        <f>Table15[[#This Row],[Adjusted %]]*$J$84</f>
        <v>55280.65163091931</v>
      </c>
      <c r="K40" s="18">
        <f>Table15[[#This Row],[Adjusted %]]*$K$84</f>
        <v>55259.708785111114</v>
      </c>
      <c r="L40" s="18">
        <f>Table15[[#This Row],[Adjusted %]]*$L$84</f>
        <v>55259.708831632684</v>
      </c>
      <c r="M40" s="18">
        <f>Table15[[#This Row],[Adjusted %]]*$M$84</f>
        <v>26729.149589329958</v>
      </c>
      <c r="N40" s="18">
        <f>Table15[[#This Row],[Adjusted %]]*$N$84</f>
        <v>26729.149589329958</v>
      </c>
      <c r="O40" s="18">
        <f>Table15[[#This Row],[Adjusted %]]*$O$84</f>
        <v>26729.149589329958</v>
      </c>
      <c r="P40" s="18">
        <f>Table15[[#This Row],[Adjusted %]]*$P$84</f>
        <v>26729.149589329958</v>
      </c>
      <c r="Q40" s="18">
        <f>Table15[[#This Row],[Adjusted %]]*$Q$84</f>
        <v>26729.149589329958</v>
      </c>
      <c r="R40" s="18">
        <f>SUM(Table15[[#This Row],[Payment 1]:[Payment 15]])</f>
        <v>580126.59417239064</v>
      </c>
    </row>
    <row r="41" spans="1:18" x14ac:dyDescent="0.3">
      <c r="A41" t="s">
        <v>159</v>
      </c>
      <c r="B41">
        <v>1.689883461231089E-3</v>
      </c>
      <c r="C41" s="155">
        <f>Table15[[#This Row],[Adjusted %]]*$C$84</f>
        <v>-110.08079633746297</v>
      </c>
      <c r="D41" s="155">
        <f>Table15[[#This Row],[Adjusted %]]*$D$84</f>
        <v>5542.2686626085133</v>
      </c>
      <c r="E41" s="155">
        <f>Table15[[#This Row],[Adjusted %]]*$E$84</f>
        <v>4112.380835409077</v>
      </c>
      <c r="F41" s="18">
        <f>Table15[[#This Row],[Adjusted %]]*$F$84</f>
        <v>4112.380835409077</v>
      </c>
      <c r="G41" s="18">
        <f>Table15[[#This Row],[Adjusted %]]*$G$84</f>
        <v>4112.380835409077</v>
      </c>
      <c r="H41" s="18">
        <f>Table15[[#This Row],[Adjusted %]]*$H$84</f>
        <v>5215.3536616522351</v>
      </c>
      <c r="I41" s="18">
        <f>Table15[[#This Row],[Adjusted %]]*$I$84</f>
        <v>5083.3936636572535</v>
      </c>
      <c r="J41" s="18">
        <f>Table15[[#This Row],[Adjusted %]]*$J$84</f>
        <v>5528.065163091931</v>
      </c>
      <c r="K41" s="18">
        <f>Table15[[#This Row],[Adjusted %]]*$K$84</f>
        <v>5525.9708785111116</v>
      </c>
      <c r="L41" s="18">
        <f>Table15[[#This Row],[Adjusted %]]*$L$84</f>
        <v>5525.9708831632679</v>
      </c>
      <c r="M41" s="18">
        <f>Table15[[#This Row],[Adjusted %]]*$M$84</f>
        <v>2672.9149589329954</v>
      </c>
      <c r="N41" s="18">
        <f>Table15[[#This Row],[Adjusted %]]*$N$84</f>
        <v>2672.9149589329954</v>
      </c>
      <c r="O41" s="18">
        <f>Table15[[#This Row],[Adjusted %]]*$O$84</f>
        <v>2672.9149589329954</v>
      </c>
      <c r="P41" s="18">
        <f>Table15[[#This Row],[Adjusted %]]*$P$84</f>
        <v>2672.9149589329954</v>
      </c>
      <c r="Q41" s="18">
        <f>Table15[[#This Row],[Adjusted %]]*$Q$84</f>
        <v>2672.9149589329954</v>
      </c>
      <c r="R41" s="18">
        <f>SUM(Table15[[#This Row],[Payment 1]:[Payment 15]])</f>
        <v>58012.659417239069</v>
      </c>
    </row>
    <row r="42" spans="1:18" x14ac:dyDescent="0.3">
      <c r="A42" t="s">
        <v>160</v>
      </c>
      <c r="B42">
        <v>1.6898834612310891E-2</v>
      </c>
      <c r="C42" s="164">
        <f>Table15[[#This Row],[Adjusted %]]*$C$84</f>
        <v>-1100.8079633746297</v>
      </c>
      <c r="D42" s="164">
        <f>Table15[[#This Row],[Adjusted %]]*$D$84</f>
        <v>55422.686626085138</v>
      </c>
      <c r="E42" s="164">
        <f>Table15[[#This Row],[Adjusted %]]*$E$84</f>
        <v>41123.808354090768</v>
      </c>
      <c r="F42" s="18">
        <f>Table15[[#This Row],[Adjusted %]]*$F$84</f>
        <v>41123.808354090768</v>
      </c>
      <c r="G42" s="18">
        <f>Table15[[#This Row],[Adjusted %]]*$G$84</f>
        <v>41123.808354090768</v>
      </c>
      <c r="H42" s="18">
        <f>Table15[[#This Row],[Adjusted %]]*$H$84</f>
        <v>52153.536616522353</v>
      </c>
      <c r="I42" s="18">
        <f>Table15[[#This Row],[Adjusted %]]*$I$84</f>
        <v>50833.936636572536</v>
      </c>
      <c r="J42" s="18">
        <f>Table15[[#This Row],[Adjusted %]]*$J$84</f>
        <v>55280.65163091931</v>
      </c>
      <c r="K42" s="18">
        <f>Table15[[#This Row],[Adjusted %]]*$K$84</f>
        <v>55259.708785111114</v>
      </c>
      <c r="L42" s="18">
        <f>Table15[[#This Row],[Adjusted %]]*$L$84</f>
        <v>55259.708831632684</v>
      </c>
      <c r="M42" s="18">
        <f>Table15[[#This Row],[Adjusted %]]*$M$84</f>
        <v>26729.149589329958</v>
      </c>
      <c r="N42" s="18">
        <f>Table15[[#This Row],[Adjusted %]]*$N$84</f>
        <v>26729.149589329958</v>
      </c>
      <c r="O42" s="18">
        <f>Table15[[#This Row],[Adjusted %]]*$O$84</f>
        <v>26729.149589329958</v>
      </c>
      <c r="P42" s="18">
        <f>Table15[[#This Row],[Adjusted %]]*$P$84</f>
        <v>26729.149589329958</v>
      </c>
      <c r="Q42" s="18">
        <f>Table15[[#This Row],[Adjusted %]]*$Q$84</f>
        <v>26729.149589329958</v>
      </c>
      <c r="R42" s="18">
        <f>SUM(Table15[[#This Row],[Payment 1]:[Payment 15]])</f>
        <v>580126.59417239064</v>
      </c>
    </row>
    <row r="43" spans="1:18" x14ac:dyDescent="0.3">
      <c r="A43" t="s">
        <v>161</v>
      </c>
      <c r="B43">
        <v>4.2247086530777227E-3</v>
      </c>
      <c r="C43" s="155">
        <f>Table15[[#This Row],[Adjusted %]]*$C$84</f>
        <v>-275.20199084365743</v>
      </c>
      <c r="D43" s="155">
        <f>Table15[[#This Row],[Adjusted %]]*$D$84</f>
        <v>13855.671656521285</v>
      </c>
      <c r="E43" s="155">
        <f>Table15[[#This Row],[Adjusted %]]*$E$84</f>
        <v>10280.952088522692</v>
      </c>
      <c r="F43" s="18">
        <f>Table15[[#This Row],[Adjusted %]]*$F$84</f>
        <v>10280.952088522692</v>
      </c>
      <c r="G43" s="18">
        <f>Table15[[#This Row],[Adjusted %]]*$G$84</f>
        <v>10280.952088522692</v>
      </c>
      <c r="H43" s="18">
        <f>Table15[[#This Row],[Adjusted %]]*$H$84</f>
        <v>13038.384154130588</v>
      </c>
      <c r="I43" s="18">
        <f>Table15[[#This Row],[Adjusted %]]*$I$84</f>
        <v>12708.484159143134</v>
      </c>
      <c r="J43" s="18">
        <f>Table15[[#This Row],[Adjusted %]]*$J$84</f>
        <v>13820.162907729828</v>
      </c>
      <c r="K43" s="18">
        <f>Table15[[#This Row],[Adjusted %]]*$K$84</f>
        <v>13814.927196277778</v>
      </c>
      <c r="L43" s="18">
        <f>Table15[[#This Row],[Adjusted %]]*$L$84</f>
        <v>13814.927207908171</v>
      </c>
      <c r="M43" s="18">
        <f>Table15[[#This Row],[Adjusted %]]*$M$84</f>
        <v>6682.2873973324895</v>
      </c>
      <c r="N43" s="18">
        <f>Table15[[#This Row],[Adjusted %]]*$N$84</f>
        <v>6682.2873973324895</v>
      </c>
      <c r="O43" s="18">
        <f>Table15[[#This Row],[Adjusted %]]*$O$84</f>
        <v>6682.2873973324895</v>
      </c>
      <c r="P43" s="18">
        <f>Table15[[#This Row],[Adjusted %]]*$P$84</f>
        <v>6682.2873973324895</v>
      </c>
      <c r="Q43" s="18">
        <f>Table15[[#This Row],[Adjusted %]]*$Q$84</f>
        <v>6682.2873973324895</v>
      </c>
      <c r="R43" s="18">
        <f>SUM(Table15[[#This Row],[Payment 1]:[Payment 15]])</f>
        <v>145031.64854309766</v>
      </c>
    </row>
    <row r="44" spans="1:18" x14ac:dyDescent="0.3">
      <c r="A44" t="s">
        <v>162</v>
      </c>
      <c r="B44">
        <v>4.2247086530777227E-3</v>
      </c>
      <c r="C44" s="164">
        <f>Table15[[#This Row],[Adjusted %]]*$C$84</f>
        <v>-275.20199084365743</v>
      </c>
      <c r="D44" s="164">
        <f>Table15[[#This Row],[Adjusted %]]*$D$84</f>
        <v>13855.671656521285</v>
      </c>
      <c r="E44" s="164">
        <f>Table15[[#This Row],[Adjusted %]]*$E$84</f>
        <v>10280.952088522692</v>
      </c>
      <c r="F44" s="18">
        <f>Table15[[#This Row],[Adjusted %]]*$F$84</f>
        <v>10280.952088522692</v>
      </c>
      <c r="G44" s="18">
        <f>Table15[[#This Row],[Adjusted %]]*$G$84</f>
        <v>10280.952088522692</v>
      </c>
      <c r="H44" s="18">
        <f>Table15[[#This Row],[Adjusted %]]*$H$84</f>
        <v>13038.384154130588</v>
      </c>
      <c r="I44" s="18">
        <f>Table15[[#This Row],[Adjusted %]]*$I$84</f>
        <v>12708.484159143134</v>
      </c>
      <c r="J44" s="18">
        <f>Table15[[#This Row],[Adjusted %]]*$J$84</f>
        <v>13820.162907729828</v>
      </c>
      <c r="K44" s="18">
        <f>Table15[[#This Row],[Adjusted %]]*$K$84</f>
        <v>13814.927196277778</v>
      </c>
      <c r="L44" s="18">
        <f>Table15[[#This Row],[Adjusted %]]*$L$84</f>
        <v>13814.927207908171</v>
      </c>
      <c r="M44" s="18">
        <f>Table15[[#This Row],[Adjusted %]]*$M$84</f>
        <v>6682.2873973324895</v>
      </c>
      <c r="N44" s="18">
        <f>Table15[[#This Row],[Adjusted %]]*$N$84</f>
        <v>6682.2873973324895</v>
      </c>
      <c r="O44" s="18">
        <f>Table15[[#This Row],[Adjusted %]]*$O$84</f>
        <v>6682.2873973324895</v>
      </c>
      <c r="P44" s="18">
        <f>Table15[[#This Row],[Adjusted %]]*$P$84</f>
        <v>6682.2873973324895</v>
      </c>
      <c r="Q44" s="18">
        <f>Table15[[#This Row],[Adjusted %]]*$Q$84</f>
        <v>6682.2873973324895</v>
      </c>
      <c r="R44" s="18">
        <f>SUM(Table15[[#This Row],[Payment 1]:[Payment 15]])</f>
        <v>145031.64854309766</v>
      </c>
    </row>
    <row r="45" spans="1:18" x14ac:dyDescent="0.3">
      <c r="A45" t="s">
        <v>163</v>
      </c>
      <c r="B45">
        <v>4.2247086530777227E-3</v>
      </c>
      <c r="C45" s="155">
        <f>Table15[[#This Row],[Adjusted %]]*$C$84</f>
        <v>-275.20199084365743</v>
      </c>
      <c r="D45" s="155">
        <f>Table15[[#This Row],[Adjusted %]]*$D$84</f>
        <v>13855.671656521285</v>
      </c>
      <c r="E45" s="155">
        <f>Table15[[#This Row],[Adjusted %]]*$E$84</f>
        <v>10280.952088522692</v>
      </c>
      <c r="F45" s="18">
        <f>Table15[[#This Row],[Adjusted %]]*$F$84</f>
        <v>10280.952088522692</v>
      </c>
      <c r="G45" s="18">
        <f>Table15[[#This Row],[Adjusted %]]*$G$84</f>
        <v>10280.952088522692</v>
      </c>
      <c r="H45" s="18">
        <f>Table15[[#This Row],[Adjusted %]]*$H$84</f>
        <v>13038.384154130588</v>
      </c>
      <c r="I45" s="18">
        <f>Table15[[#This Row],[Adjusted %]]*$I$84</f>
        <v>12708.484159143134</v>
      </c>
      <c r="J45" s="18">
        <f>Table15[[#This Row],[Adjusted %]]*$J$84</f>
        <v>13820.162907729828</v>
      </c>
      <c r="K45" s="18">
        <f>Table15[[#This Row],[Adjusted %]]*$K$84</f>
        <v>13814.927196277778</v>
      </c>
      <c r="L45" s="18">
        <f>Table15[[#This Row],[Adjusted %]]*$L$84</f>
        <v>13814.927207908171</v>
      </c>
      <c r="M45" s="18">
        <f>Table15[[#This Row],[Adjusted %]]*$M$84</f>
        <v>6682.2873973324895</v>
      </c>
      <c r="N45" s="18">
        <f>Table15[[#This Row],[Adjusted %]]*$N$84</f>
        <v>6682.2873973324895</v>
      </c>
      <c r="O45" s="18">
        <f>Table15[[#This Row],[Adjusted %]]*$O$84</f>
        <v>6682.2873973324895</v>
      </c>
      <c r="P45" s="18">
        <f>Table15[[#This Row],[Adjusted %]]*$P$84</f>
        <v>6682.2873973324895</v>
      </c>
      <c r="Q45" s="18">
        <f>Table15[[#This Row],[Adjusted %]]*$Q$84</f>
        <v>6682.2873973324895</v>
      </c>
      <c r="R45" s="18">
        <f>SUM(Table15[[#This Row],[Payment 1]:[Payment 15]])</f>
        <v>145031.64854309766</v>
      </c>
    </row>
    <row r="46" spans="1:18" x14ac:dyDescent="0.3">
      <c r="A46" t="s">
        <v>164</v>
      </c>
      <c r="B46">
        <v>4.2247086530777227E-3</v>
      </c>
      <c r="C46" s="164">
        <f>Table15[[#This Row],[Adjusted %]]*$C$84</f>
        <v>-275.20199084365743</v>
      </c>
      <c r="D46" s="164">
        <f>Table15[[#This Row],[Adjusted %]]*$D$84</f>
        <v>13855.671656521285</v>
      </c>
      <c r="E46" s="164">
        <f>Table15[[#This Row],[Adjusted %]]*$E$84</f>
        <v>10280.952088522692</v>
      </c>
      <c r="F46" s="18">
        <f>Table15[[#This Row],[Adjusted %]]*$F$84</f>
        <v>10280.952088522692</v>
      </c>
      <c r="G46" s="18">
        <f>Table15[[#This Row],[Adjusted %]]*$G$84</f>
        <v>10280.952088522692</v>
      </c>
      <c r="H46" s="18">
        <f>Table15[[#This Row],[Adjusted %]]*$H$84</f>
        <v>13038.384154130588</v>
      </c>
      <c r="I46" s="18">
        <f>Table15[[#This Row],[Adjusted %]]*$I$84</f>
        <v>12708.484159143134</v>
      </c>
      <c r="J46" s="18">
        <f>Table15[[#This Row],[Adjusted %]]*$J$84</f>
        <v>13820.162907729828</v>
      </c>
      <c r="K46" s="18">
        <f>Table15[[#This Row],[Adjusted %]]*$K$84</f>
        <v>13814.927196277778</v>
      </c>
      <c r="L46" s="18">
        <f>Table15[[#This Row],[Adjusted %]]*$L$84</f>
        <v>13814.927207908171</v>
      </c>
      <c r="M46" s="18">
        <f>Table15[[#This Row],[Adjusted %]]*$M$84</f>
        <v>6682.2873973324895</v>
      </c>
      <c r="N46" s="18">
        <f>Table15[[#This Row],[Adjusted %]]*$N$84</f>
        <v>6682.2873973324895</v>
      </c>
      <c r="O46" s="18">
        <f>Table15[[#This Row],[Adjusted %]]*$O$84</f>
        <v>6682.2873973324895</v>
      </c>
      <c r="P46" s="18">
        <f>Table15[[#This Row],[Adjusted %]]*$P$84</f>
        <v>6682.2873973324895</v>
      </c>
      <c r="Q46" s="18">
        <f>Table15[[#This Row],[Adjusted %]]*$Q$84</f>
        <v>6682.2873973324895</v>
      </c>
      <c r="R46" s="18">
        <f>SUM(Table15[[#This Row],[Payment 1]:[Payment 15]])</f>
        <v>145031.64854309766</v>
      </c>
    </row>
    <row r="47" spans="1:18" x14ac:dyDescent="0.3">
      <c r="A47" t="s">
        <v>165</v>
      </c>
      <c r="B47">
        <v>8.4494173061554455E-3</v>
      </c>
      <c r="C47" s="155">
        <f>Table15[[#This Row],[Adjusted %]]*$C$84</f>
        <v>-550.40398168731485</v>
      </c>
      <c r="D47" s="155">
        <f>Table15[[#This Row],[Adjusted %]]*$D$84</f>
        <v>27711.343313042569</v>
      </c>
      <c r="E47" s="155">
        <f>Table15[[#This Row],[Adjusted %]]*$E$84</f>
        <v>20561.904177045384</v>
      </c>
      <c r="F47" s="18">
        <f>Table15[[#This Row],[Adjusted %]]*$F$84</f>
        <v>20561.904177045384</v>
      </c>
      <c r="G47" s="18">
        <f>Table15[[#This Row],[Adjusted %]]*$G$84</f>
        <v>20561.904177045384</v>
      </c>
      <c r="H47" s="18">
        <f>Table15[[#This Row],[Adjusted %]]*$H$84</f>
        <v>26076.768308261177</v>
      </c>
      <c r="I47" s="18">
        <f>Table15[[#This Row],[Adjusted %]]*$I$84</f>
        <v>25416.968318286268</v>
      </c>
      <c r="J47" s="18">
        <f>Table15[[#This Row],[Adjusted %]]*$J$84</f>
        <v>27640.325815459655</v>
      </c>
      <c r="K47" s="18">
        <f>Table15[[#This Row],[Adjusted %]]*$K$84</f>
        <v>27629.854392555557</v>
      </c>
      <c r="L47" s="18">
        <f>Table15[[#This Row],[Adjusted %]]*$L$84</f>
        <v>27629.854415816342</v>
      </c>
      <c r="M47" s="18">
        <f>Table15[[#This Row],[Adjusted %]]*$M$84</f>
        <v>13364.574794664979</v>
      </c>
      <c r="N47" s="18">
        <f>Table15[[#This Row],[Adjusted %]]*$N$84</f>
        <v>13364.574794664979</v>
      </c>
      <c r="O47" s="18">
        <f>Table15[[#This Row],[Adjusted %]]*$O$84</f>
        <v>13364.574794664979</v>
      </c>
      <c r="P47" s="18">
        <f>Table15[[#This Row],[Adjusted %]]*$P$84</f>
        <v>13364.574794664979</v>
      </c>
      <c r="Q47" s="18">
        <f>Table15[[#This Row],[Adjusted %]]*$Q$84</f>
        <v>13364.574794664979</v>
      </c>
      <c r="R47" s="18">
        <f>SUM(Table15[[#This Row],[Payment 1]:[Payment 15]])</f>
        <v>290063.29708619532</v>
      </c>
    </row>
    <row r="48" spans="1:18" x14ac:dyDescent="0.3">
      <c r="A48" t="s">
        <v>166</v>
      </c>
      <c r="B48">
        <v>4.2247086530777227E-3</v>
      </c>
      <c r="C48" s="164">
        <f>Table15[[#This Row],[Adjusted %]]*$C$84</f>
        <v>-275.20199084365743</v>
      </c>
      <c r="D48" s="164">
        <f>Table15[[#This Row],[Adjusted %]]*$D$84</f>
        <v>13855.671656521285</v>
      </c>
      <c r="E48" s="164">
        <f>Table15[[#This Row],[Adjusted %]]*$E$84</f>
        <v>10280.952088522692</v>
      </c>
      <c r="F48" s="18">
        <f>Table15[[#This Row],[Adjusted %]]*$F$84</f>
        <v>10280.952088522692</v>
      </c>
      <c r="G48" s="18">
        <f>Table15[[#This Row],[Adjusted %]]*$G$84</f>
        <v>10280.952088522692</v>
      </c>
      <c r="H48" s="18">
        <f>Table15[[#This Row],[Adjusted %]]*$H$84</f>
        <v>13038.384154130588</v>
      </c>
      <c r="I48" s="18">
        <f>Table15[[#This Row],[Adjusted %]]*$I$84</f>
        <v>12708.484159143134</v>
      </c>
      <c r="J48" s="18">
        <f>Table15[[#This Row],[Adjusted %]]*$J$84</f>
        <v>13820.162907729828</v>
      </c>
      <c r="K48" s="18">
        <f>Table15[[#This Row],[Adjusted %]]*$K$84</f>
        <v>13814.927196277778</v>
      </c>
      <c r="L48" s="18">
        <f>Table15[[#This Row],[Adjusted %]]*$L$84</f>
        <v>13814.927207908171</v>
      </c>
      <c r="M48" s="18">
        <f>Table15[[#This Row],[Adjusted %]]*$M$84</f>
        <v>6682.2873973324895</v>
      </c>
      <c r="N48" s="18">
        <f>Table15[[#This Row],[Adjusted %]]*$N$84</f>
        <v>6682.2873973324895</v>
      </c>
      <c r="O48" s="18">
        <f>Table15[[#This Row],[Adjusted %]]*$O$84</f>
        <v>6682.2873973324895</v>
      </c>
      <c r="P48" s="18">
        <f>Table15[[#This Row],[Adjusted %]]*$P$84</f>
        <v>6682.2873973324895</v>
      </c>
      <c r="Q48" s="18">
        <f>Table15[[#This Row],[Adjusted %]]*$Q$84</f>
        <v>6682.2873973324895</v>
      </c>
      <c r="R48" s="18">
        <f>SUM(Table15[[#This Row],[Payment 1]:[Payment 15]])</f>
        <v>145031.64854309766</v>
      </c>
    </row>
    <row r="49" spans="1:18" x14ac:dyDescent="0.3">
      <c r="A49" t="s">
        <v>167</v>
      </c>
      <c r="B49">
        <v>1.5534983236458643E-2</v>
      </c>
      <c r="C49" s="155">
        <f>Table15[[#This Row],[Adjusted %]]*$C$84</f>
        <v>-1011.9652419775066</v>
      </c>
      <c r="D49" s="155">
        <f>Table15[[#This Row],[Adjusted %]]*$D$84</f>
        <v>50949.697266608971</v>
      </c>
      <c r="E49" s="155">
        <f>Table15[[#This Row],[Adjusted %]]*$E$84</f>
        <v>37804.836135547877</v>
      </c>
      <c r="F49" s="18">
        <f>Table15[[#This Row],[Adjusted %]]*$F$84</f>
        <v>37804.836135547877</v>
      </c>
      <c r="G49" s="18">
        <f>Table15[[#This Row],[Adjusted %]]*$G$84</f>
        <v>37804.836135547877</v>
      </c>
      <c r="H49" s="18">
        <f>Table15[[#This Row],[Adjusted %]]*$H$84</f>
        <v>47944.389991808588</v>
      </c>
      <c r="I49" s="18">
        <f>Table15[[#This Row],[Adjusted %]]*$I$84</f>
        <v>46731.290743389567</v>
      </c>
      <c r="J49" s="18">
        <f>Table15[[#This Row],[Adjusted %]]*$J$84</f>
        <v>50819.125465682286</v>
      </c>
      <c r="K49" s="18">
        <f>Table15[[#This Row],[Adjusted %]]*$K$84</f>
        <v>50799.87285057491</v>
      </c>
      <c r="L49" s="18">
        <f>Table15[[#This Row],[Adjusted %]]*$L$84</f>
        <v>50799.872893341868</v>
      </c>
      <c r="M49" s="18">
        <f>Table15[[#This Row],[Adjusted %]]*$M$84</f>
        <v>24571.924651687757</v>
      </c>
      <c r="N49" s="18">
        <f>Table15[[#This Row],[Adjusted %]]*$N$84</f>
        <v>24571.924651687757</v>
      </c>
      <c r="O49" s="18">
        <f>Table15[[#This Row],[Adjusted %]]*$O$84</f>
        <v>24571.924651687757</v>
      </c>
      <c r="P49" s="18">
        <f>Table15[[#This Row],[Adjusted %]]*$P$84</f>
        <v>24571.924651687757</v>
      </c>
      <c r="Q49" s="18">
        <f>Table15[[#This Row],[Adjusted %]]*$Q$84</f>
        <v>24571.924651687757</v>
      </c>
      <c r="R49" s="18">
        <f>SUM(Table15[[#This Row],[Payment 1]:[Payment 15]])</f>
        <v>533306.41563451104</v>
      </c>
    </row>
    <row r="50" spans="1:18" x14ac:dyDescent="0.3">
      <c r="A50" t="s">
        <v>168</v>
      </c>
      <c r="B50">
        <v>8.4494173061554472E-3</v>
      </c>
      <c r="C50" s="164">
        <f>Table15[[#This Row],[Adjusted %]]*$C$84</f>
        <v>-550.40398168731497</v>
      </c>
      <c r="D50" s="164">
        <f>Table15[[#This Row],[Adjusted %]]*$D$84</f>
        <v>27711.343313042573</v>
      </c>
      <c r="E50" s="164">
        <f>Table15[[#This Row],[Adjusted %]]*$E$84</f>
        <v>20561.904177045388</v>
      </c>
      <c r="F50" s="18">
        <f>Table15[[#This Row],[Adjusted %]]*$F$84</f>
        <v>20561.904177045388</v>
      </c>
      <c r="G50" s="18">
        <f>Table15[[#This Row],[Adjusted %]]*$G$84</f>
        <v>20561.904177045388</v>
      </c>
      <c r="H50" s="18">
        <f>Table15[[#This Row],[Adjusted %]]*$H$84</f>
        <v>26076.768308261184</v>
      </c>
      <c r="I50" s="18">
        <f>Table15[[#This Row],[Adjusted %]]*$I$84</f>
        <v>25416.968318286272</v>
      </c>
      <c r="J50" s="18">
        <f>Table15[[#This Row],[Adjusted %]]*$J$84</f>
        <v>27640.325815459659</v>
      </c>
      <c r="K50" s="18">
        <f>Table15[[#This Row],[Adjusted %]]*$K$84</f>
        <v>27629.854392555564</v>
      </c>
      <c r="L50" s="18">
        <f>Table15[[#This Row],[Adjusted %]]*$L$84</f>
        <v>27629.85441581635</v>
      </c>
      <c r="M50" s="18">
        <f>Table15[[#This Row],[Adjusted %]]*$M$84</f>
        <v>13364.574794664981</v>
      </c>
      <c r="N50" s="18">
        <f>Table15[[#This Row],[Adjusted %]]*$N$84</f>
        <v>13364.574794664981</v>
      </c>
      <c r="O50" s="18">
        <f>Table15[[#This Row],[Adjusted %]]*$O$84</f>
        <v>13364.574794664981</v>
      </c>
      <c r="P50" s="18">
        <f>Table15[[#This Row],[Adjusted %]]*$P$84</f>
        <v>13364.574794664981</v>
      </c>
      <c r="Q50" s="18">
        <f>Table15[[#This Row],[Adjusted %]]*$Q$84</f>
        <v>13364.574794664981</v>
      </c>
      <c r="R50" s="18">
        <f>SUM(Table15[[#This Row],[Payment 1]:[Payment 15]])</f>
        <v>290063.29708619538</v>
      </c>
    </row>
    <row r="51" spans="1:18" x14ac:dyDescent="0.3">
      <c r="A51" t="s">
        <v>169</v>
      </c>
      <c r="B51">
        <v>2.6951572590961578E-2</v>
      </c>
      <c r="C51" s="155">
        <f>Table15[[#This Row],[Adjusted %]]*$C$84</f>
        <v>-1755.6539497691897</v>
      </c>
      <c r="D51" s="155">
        <f>Table15[[#This Row],[Adjusted %]]*$D$84</f>
        <v>88392.400781344986</v>
      </c>
      <c r="E51" s="155">
        <f>Table15[[#This Row],[Adjusted %]]*$E$84</f>
        <v>65587.440288020196</v>
      </c>
      <c r="F51" s="18">
        <f>Table15[[#This Row],[Adjusted %]]*$F$84</f>
        <v>65587.440288020196</v>
      </c>
      <c r="G51" s="18">
        <f>Table15[[#This Row],[Adjusted %]]*$G$84</f>
        <v>65587.440288020196</v>
      </c>
      <c r="H51" s="18">
        <f>Table15[[#This Row],[Adjusted %]]*$H$84</f>
        <v>83178.506698418918</v>
      </c>
      <c r="I51" s="18">
        <f>Table15[[#This Row],[Adjusted %]]*$I$84</f>
        <v>81073.906264922785</v>
      </c>
      <c r="J51" s="18">
        <f>Table15[[#This Row],[Adjusted %]]*$J$84</f>
        <v>88165.872350805774</v>
      </c>
      <c r="K51" s="18">
        <f>Table15[[#This Row],[Adjusted %]]*$K$84</f>
        <v>88132.471075391804</v>
      </c>
      <c r="L51" s="18">
        <f>Table15[[#This Row],[Adjusted %]]*$L$84</f>
        <v>88132.471149588018</v>
      </c>
      <c r="M51" s="18">
        <f>Table15[[#This Row],[Adjusted %]]*$M$84</f>
        <v>42629.721633389287</v>
      </c>
      <c r="N51" s="18">
        <f>Table15[[#This Row],[Adjusted %]]*$N$84</f>
        <v>42629.721633389287</v>
      </c>
      <c r="O51" s="18">
        <f>Table15[[#This Row],[Adjusted %]]*$O$84</f>
        <v>42629.721633389287</v>
      </c>
      <c r="P51" s="18">
        <f>Table15[[#This Row],[Adjusted %]]*$P$84</f>
        <v>42629.721633389287</v>
      </c>
      <c r="Q51" s="18">
        <f>Table15[[#This Row],[Adjusted %]]*$Q$84</f>
        <v>42629.721633389287</v>
      </c>
      <c r="R51" s="18">
        <f>SUM(Table15[[#This Row],[Payment 1]:[Payment 15]])</f>
        <v>925230.90340170998</v>
      </c>
    </row>
    <row r="52" spans="1:18" x14ac:dyDescent="0.3">
      <c r="A52" t="s">
        <v>170</v>
      </c>
      <c r="B52">
        <v>1.689883461231089E-3</v>
      </c>
      <c r="C52" s="164">
        <f>Table15[[#This Row],[Adjusted %]]*$C$84</f>
        <v>-110.08079633746297</v>
      </c>
      <c r="D52" s="164">
        <f>Table15[[#This Row],[Adjusted %]]*$D$84</f>
        <v>5542.2686626085133</v>
      </c>
      <c r="E52" s="164">
        <f>Table15[[#This Row],[Adjusted %]]*$E$84</f>
        <v>4112.380835409077</v>
      </c>
      <c r="F52" s="18">
        <f>Table15[[#This Row],[Adjusted %]]*$F$84</f>
        <v>4112.380835409077</v>
      </c>
      <c r="G52" s="18">
        <f>Table15[[#This Row],[Adjusted %]]*$G$84</f>
        <v>4112.380835409077</v>
      </c>
      <c r="H52" s="18">
        <f>Table15[[#This Row],[Adjusted %]]*$H$84</f>
        <v>5215.3536616522351</v>
      </c>
      <c r="I52" s="18">
        <f>Table15[[#This Row],[Adjusted %]]*$I$84</f>
        <v>5083.3936636572535</v>
      </c>
      <c r="J52" s="18">
        <f>Table15[[#This Row],[Adjusted %]]*$J$84</f>
        <v>5528.065163091931</v>
      </c>
      <c r="K52" s="18">
        <f>Table15[[#This Row],[Adjusted %]]*$K$84</f>
        <v>5525.9708785111116</v>
      </c>
      <c r="L52" s="18">
        <f>Table15[[#This Row],[Adjusted %]]*$L$84</f>
        <v>5525.9708831632679</v>
      </c>
      <c r="M52" s="18">
        <f>Table15[[#This Row],[Adjusted %]]*$M$84</f>
        <v>2672.9149589329954</v>
      </c>
      <c r="N52" s="18">
        <f>Table15[[#This Row],[Adjusted %]]*$N$84</f>
        <v>2672.9149589329954</v>
      </c>
      <c r="O52" s="18">
        <f>Table15[[#This Row],[Adjusted %]]*$O$84</f>
        <v>2672.9149589329954</v>
      </c>
      <c r="P52" s="18">
        <f>Table15[[#This Row],[Adjusted %]]*$P$84</f>
        <v>2672.9149589329954</v>
      </c>
      <c r="Q52" s="18">
        <f>Table15[[#This Row],[Adjusted %]]*$Q$84</f>
        <v>2672.9149589329954</v>
      </c>
      <c r="R52" s="18">
        <f>SUM(Table15[[#This Row],[Payment 1]:[Payment 15]])</f>
        <v>58012.659417239069</v>
      </c>
    </row>
    <row r="53" spans="1:18" x14ac:dyDescent="0.3">
      <c r="A53" t="s">
        <v>171</v>
      </c>
      <c r="B53">
        <v>4.2247086530777227E-3</v>
      </c>
      <c r="C53" s="155">
        <f>Table15[[#This Row],[Adjusted %]]*$C$84</f>
        <v>-275.20199084365743</v>
      </c>
      <c r="D53" s="155">
        <f>Table15[[#This Row],[Adjusted %]]*$D$84</f>
        <v>13855.671656521285</v>
      </c>
      <c r="E53" s="155">
        <f>Table15[[#This Row],[Adjusted %]]*$E$84</f>
        <v>10280.952088522692</v>
      </c>
      <c r="F53" s="18">
        <f>Table15[[#This Row],[Adjusted %]]*$F$84</f>
        <v>10280.952088522692</v>
      </c>
      <c r="G53" s="18">
        <f>Table15[[#This Row],[Adjusted %]]*$G$84</f>
        <v>10280.952088522692</v>
      </c>
      <c r="H53" s="18">
        <f>Table15[[#This Row],[Adjusted %]]*$H$84</f>
        <v>13038.384154130588</v>
      </c>
      <c r="I53" s="18">
        <f>Table15[[#This Row],[Adjusted %]]*$I$84</f>
        <v>12708.484159143134</v>
      </c>
      <c r="J53" s="18">
        <f>Table15[[#This Row],[Adjusted %]]*$J$84</f>
        <v>13820.162907729828</v>
      </c>
      <c r="K53" s="18">
        <f>Table15[[#This Row],[Adjusted %]]*$K$84</f>
        <v>13814.927196277778</v>
      </c>
      <c r="L53" s="18">
        <f>Table15[[#This Row],[Adjusted %]]*$L$84</f>
        <v>13814.927207908171</v>
      </c>
      <c r="M53" s="18">
        <f>Table15[[#This Row],[Adjusted %]]*$M$84</f>
        <v>6682.2873973324895</v>
      </c>
      <c r="N53" s="18">
        <f>Table15[[#This Row],[Adjusted %]]*$N$84</f>
        <v>6682.2873973324895</v>
      </c>
      <c r="O53" s="18">
        <f>Table15[[#This Row],[Adjusted %]]*$O$84</f>
        <v>6682.2873973324895</v>
      </c>
      <c r="P53" s="18">
        <f>Table15[[#This Row],[Adjusted %]]*$P$84</f>
        <v>6682.2873973324895</v>
      </c>
      <c r="Q53" s="18">
        <f>Table15[[#This Row],[Adjusted %]]*$Q$84</f>
        <v>6682.2873973324895</v>
      </c>
      <c r="R53" s="18">
        <f>SUM(Table15[[#This Row],[Payment 1]:[Payment 15]])</f>
        <v>145031.64854309766</v>
      </c>
    </row>
    <row r="54" spans="1:18" x14ac:dyDescent="0.3">
      <c r="A54" t="s">
        <v>172</v>
      </c>
      <c r="B54">
        <v>4.2247086530777227E-3</v>
      </c>
      <c r="C54" s="164">
        <f>Table15[[#This Row],[Adjusted %]]*$C$84</f>
        <v>-275.20199084365743</v>
      </c>
      <c r="D54" s="164">
        <f>Table15[[#This Row],[Adjusted %]]*$D$84</f>
        <v>13855.671656521285</v>
      </c>
      <c r="E54" s="164">
        <f>Table15[[#This Row],[Adjusted %]]*$E$84</f>
        <v>10280.952088522692</v>
      </c>
      <c r="F54" s="18">
        <f>Table15[[#This Row],[Adjusted %]]*$F$84</f>
        <v>10280.952088522692</v>
      </c>
      <c r="G54" s="18">
        <f>Table15[[#This Row],[Adjusted %]]*$G$84</f>
        <v>10280.952088522692</v>
      </c>
      <c r="H54" s="18">
        <f>Table15[[#This Row],[Adjusted %]]*$H$84</f>
        <v>13038.384154130588</v>
      </c>
      <c r="I54" s="18">
        <f>Table15[[#This Row],[Adjusted %]]*$I$84</f>
        <v>12708.484159143134</v>
      </c>
      <c r="J54" s="18">
        <f>Table15[[#This Row],[Adjusted %]]*$J$84</f>
        <v>13820.162907729828</v>
      </c>
      <c r="K54" s="18">
        <f>Table15[[#This Row],[Adjusted %]]*$K$84</f>
        <v>13814.927196277778</v>
      </c>
      <c r="L54" s="18">
        <f>Table15[[#This Row],[Adjusted %]]*$L$84</f>
        <v>13814.927207908171</v>
      </c>
      <c r="M54" s="18">
        <f>Table15[[#This Row],[Adjusted %]]*$M$84</f>
        <v>6682.2873973324895</v>
      </c>
      <c r="N54" s="18">
        <f>Table15[[#This Row],[Adjusted %]]*$N$84</f>
        <v>6682.2873973324895</v>
      </c>
      <c r="O54" s="18">
        <f>Table15[[#This Row],[Adjusted %]]*$O$84</f>
        <v>6682.2873973324895</v>
      </c>
      <c r="P54" s="18">
        <f>Table15[[#This Row],[Adjusted %]]*$P$84</f>
        <v>6682.2873973324895</v>
      </c>
      <c r="Q54" s="18">
        <f>Table15[[#This Row],[Adjusted %]]*$Q$84</f>
        <v>6682.2873973324895</v>
      </c>
      <c r="R54" s="18">
        <f>SUM(Table15[[#This Row],[Payment 1]:[Payment 15]])</f>
        <v>145031.64854309766</v>
      </c>
    </row>
    <row r="55" spans="1:18" x14ac:dyDescent="0.3">
      <c r="A55" t="s">
        <v>173</v>
      </c>
      <c r="B55">
        <v>2.3428397616868848E-2</v>
      </c>
      <c r="C55" s="155">
        <f>Table15[[#This Row],[Adjusted %]]*$C$84</f>
        <v>-1526.150604904326</v>
      </c>
      <c r="D55" s="155">
        <f>Table15[[#This Row],[Adjusted %]]*$D$84</f>
        <v>76837.531644052156</v>
      </c>
      <c r="E55" s="155">
        <f>Table15[[#This Row],[Adjusted %]]*$E$84</f>
        <v>57013.690928584037</v>
      </c>
      <c r="F55" s="18">
        <f>Table15[[#This Row],[Adjusted %]]*$F$84</f>
        <v>57013.690928584037</v>
      </c>
      <c r="G55" s="18">
        <f>Table15[[#This Row],[Adjusted %]]*$G$84</f>
        <v>57013.690928584037</v>
      </c>
      <c r="H55" s="18">
        <f>Table15[[#This Row],[Adjusted %]]*$H$84</f>
        <v>72305.210448516547</v>
      </c>
      <c r="I55" s="18">
        <f>Table15[[#This Row],[Adjusted %]]*$I$84</f>
        <v>70475.728491047485</v>
      </c>
      <c r="J55" s="18">
        <f>Table15[[#This Row],[Adjusted %]]*$J$84</f>
        <v>76640.615559683196</v>
      </c>
      <c r="K55" s="18">
        <f>Table15[[#This Row],[Adjusted %]]*$K$84</f>
        <v>76611.580580048219</v>
      </c>
      <c r="L55" s="18">
        <f>Table15[[#This Row],[Adjusted %]]*$L$84</f>
        <v>76611.58064454532</v>
      </c>
      <c r="M55" s="18">
        <f>Table15[[#This Row],[Adjusted %]]*$M$84</f>
        <v>37057.060969363149</v>
      </c>
      <c r="N55" s="18">
        <f>Table15[[#This Row],[Adjusted %]]*$N$84</f>
        <v>37057.060969363149</v>
      </c>
      <c r="O55" s="18">
        <f>Table15[[#This Row],[Adjusted %]]*$O$84</f>
        <v>37057.060969363149</v>
      </c>
      <c r="P55" s="18">
        <f>Table15[[#This Row],[Adjusted %]]*$P$84</f>
        <v>37057.060969363149</v>
      </c>
      <c r="Q55" s="18">
        <f>Table15[[#This Row],[Adjusted %]]*$Q$84</f>
        <v>37057.060969363149</v>
      </c>
      <c r="R55" s="18">
        <f>SUM(Table15[[#This Row],[Payment 1]:[Payment 15]])</f>
        <v>804282.47439555661</v>
      </c>
    </row>
    <row r="56" spans="1:18" x14ac:dyDescent="0.3">
      <c r="A56" t="s">
        <v>174</v>
      </c>
      <c r="B56">
        <v>1.6898834612310891E-2</v>
      </c>
      <c r="C56" s="164">
        <f>Table15[[#This Row],[Adjusted %]]*$C$84</f>
        <v>-1100.8079633746297</v>
      </c>
      <c r="D56" s="164">
        <f>Table15[[#This Row],[Adjusted %]]*$D$84</f>
        <v>55422.686626085138</v>
      </c>
      <c r="E56" s="164">
        <f>Table15[[#This Row],[Adjusted %]]*$E$84</f>
        <v>41123.808354090768</v>
      </c>
      <c r="F56" s="18">
        <f>Table15[[#This Row],[Adjusted %]]*$F$84</f>
        <v>41123.808354090768</v>
      </c>
      <c r="G56" s="18">
        <f>Table15[[#This Row],[Adjusted %]]*$G$84</f>
        <v>41123.808354090768</v>
      </c>
      <c r="H56" s="18">
        <f>Table15[[#This Row],[Adjusted %]]*$H$84</f>
        <v>52153.536616522353</v>
      </c>
      <c r="I56" s="18">
        <f>Table15[[#This Row],[Adjusted %]]*$I$84</f>
        <v>50833.936636572536</v>
      </c>
      <c r="J56" s="18">
        <f>Table15[[#This Row],[Adjusted %]]*$J$84</f>
        <v>55280.65163091931</v>
      </c>
      <c r="K56" s="18">
        <f>Table15[[#This Row],[Adjusted %]]*$K$84</f>
        <v>55259.708785111114</v>
      </c>
      <c r="L56" s="18">
        <f>Table15[[#This Row],[Adjusted %]]*$L$84</f>
        <v>55259.708831632684</v>
      </c>
      <c r="M56" s="18">
        <f>Table15[[#This Row],[Adjusted %]]*$M$84</f>
        <v>26729.149589329958</v>
      </c>
      <c r="N56" s="18">
        <f>Table15[[#This Row],[Adjusted %]]*$N$84</f>
        <v>26729.149589329958</v>
      </c>
      <c r="O56" s="18">
        <f>Table15[[#This Row],[Adjusted %]]*$O$84</f>
        <v>26729.149589329958</v>
      </c>
      <c r="P56" s="18">
        <f>Table15[[#This Row],[Adjusted %]]*$P$84</f>
        <v>26729.149589329958</v>
      </c>
      <c r="Q56" s="18">
        <f>Table15[[#This Row],[Adjusted %]]*$Q$84</f>
        <v>26729.149589329958</v>
      </c>
      <c r="R56" s="18">
        <f>SUM(Table15[[#This Row],[Payment 1]:[Payment 15]])</f>
        <v>580126.59417239064</v>
      </c>
    </row>
    <row r="57" spans="1:18" x14ac:dyDescent="0.3">
      <c r="A57" t="s">
        <v>176</v>
      </c>
      <c r="B57">
        <v>1.6898834612310891E-2</v>
      </c>
      <c r="C57" s="155">
        <f>Table15[[#This Row],[Adjusted %]]*$C$84</f>
        <v>-1100.8079633746297</v>
      </c>
      <c r="D57" s="155">
        <f>Table15[[#This Row],[Adjusted %]]*$D$84</f>
        <v>55422.686626085138</v>
      </c>
      <c r="E57" s="155">
        <f>Table15[[#This Row],[Adjusted %]]*$E$84</f>
        <v>41123.808354090768</v>
      </c>
      <c r="F57" s="18">
        <f>Table15[[#This Row],[Adjusted %]]*$F$84</f>
        <v>41123.808354090768</v>
      </c>
      <c r="G57" s="18">
        <f>Table15[[#This Row],[Adjusted %]]*$G$84</f>
        <v>41123.808354090768</v>
      </c>
      <c r="H57" s="18">
        <f>Table15[[#This Row],[Adjusted %]]*$H$84</f>
        <v>52153.536616522353</v>
      </c>
      <c r="I57" s="18">
        <f>Table15[[#This Row],[Adjusted %]]*$I$84</f>
        <v>50833.936636572536</v>
      </c>
      <c r="J57" s="18">
        <f>Table15[[#This Row],[Adjusted %]]*$J$84</f>
        <v>55280.65163091931</v>
      </c>
      <c r="K57" s="18">
        <f>Table15[[#This Row],[Adjusted %]]*$K$84</f>
        <v>55259.708785111114</v>
      </c>
      <c r="L57" s="18">
        <f>Table15[[#This Row],[Adjusted %]]*$L$84</f>
        <v>55259.708831632684</v>
      </c>
      <c r="M57" s="18">
        <f>Table15[[#This Row],[Adjusted %]]*$M$84</f>
        <v>26729.149589329958</v>
      </c>
      <c r="N57" s="18">
        <f>Table15[[#This Row],[Adjusted %]]*$N$84</f>
        <v>26729.149589329958</v>
      </c>
      <c r="O57" s="18">
        <f>Table15[[#This Row],[Adjusted %]]*$O$84</f>
        <v>26729.149589329958</v>
      </c>
      <c r="P57" s="18">
        <f>Table15[[#This Row],[Adjusted %]]*$P$84</f>
        <v>26729.149589329958</v>
      </c>
      <c r="Q57" s="18">
        <f>Table15[[#This Row],[Adjusted %]]*$Q$84</f>
        <v>26729.149589329958</v>
      </c>
      <c r="R57" s="18">
        <f>SUM(Table15[[#This Row],[Payment 1]:[Payment 15]])</f>
        <v>580126.59417239064</v>
      </c>
    </row>
    <row r="58" spans="1:18" x14ac:dyDescent="0.3">
      <c r="A58" t="s">
        <v>177</v>
      </c>
      <c r="B58">
        <v>4.2247086530777227E-3</v>
      </c>
      <c r="C58" s="164">
        <f>Table15[[#This Row],[Adjusted %]]*$C$84</f>
        <v>-275.20199084365743</v>
      </c>
      <c r="D58" s="164">
        <f>Table15[[#This Row],[Adjusted %]]*$D$84</f>
        <v>13855.671656521285</v>
      </c>
      <c r="E58" s="164">
        <f>Table15[[#This Row],[Adjusted %]]*$E$84</f>
        <v>10280.952088522692</v>
      </c>
      <c r="F58" s="18">
        <f>Table15[[#This Row],[Adjusted %]]*$F$84</f>
        <v>10280.952088522692</v>
      </c>
      <c r="G58" s="18">
        <f>Table15[[#This Row],[Adjusted %]]*$G$84</f>
        <v>10280.952088522692</v>
      </c>
      <c r="H58" s="18">
        <f>Table15[[#This Row],[Adjusted %]]*$H$84</f>
        <v>13038.384154130588</v>
      </c>
      <c r="I58" s="18">
        <f>Table15[[#This Row],[Adjusted %]]*$I$84</f>
        <v>12708.484159143134</v>
      </c>
      <c r="J58" s="18">
        <f>Table15[[#This Row],[Adjusted %]]*$J$84</f>
        <v>13820.162907729828</v>
      </c>
      <c r="K58" s="18">
        <f>Table15[[#This Row],[Adjusted %]]*$K$84</f>
        <v>13814.927196277778</v>
      </c>
      <c r="L58" s="18">
        <f>Table15[[#This Row],[Adjusted %]]*$L$84</f>
        <v>13814.927207908171</v>
      </c>
      <c r="M58" s="18">
        <f>Table15[[#This Row],[Adjusted %]]*$M$84</f>
        <v>6682.2873973324895</v>
      </c>
      <c r="N58" s="18">
        <f>Table15[[#This Row],[Adjusted %]]*$N$84</f>
        <v>6682.2873973324895</v>
      </c>
      <c r="O58" s="18">
        <f>Table15[[#This Row],[Adjusted %]]*$O$84</f>
        <v>6682.2873973324895</v>
      </c>
      <c r="P58" s="18">
        <f>Table15[[#This Row],[Adjusted %]]*$P$84</f>
        <v>6682.2873973324895</v>
      </c>
      <c r="Q58" s="18">
        <f>Table15[[#This Row],[Adjusted %]]*$Q$84</f>
        <v>6682.2873973324895</v>
      </c>
      <c r="R58" s="18">
        <f>SUM(Table15[[#This Row],[Payment 1]:[Payment 15]])</f>
        <v>145031.64854309766</v>
      </c>
    </row>
    <row r="59" spans="1:18" x14ac:dyDescent="0.3">
      <c r="A59" t="s">
        <v>178</v>
      </c>
      <c r="B59">
        <v>1.6898834612310891E-2</v>
      </c>
      <c r="C59" s="155">
        <f>Table15[[#This Row],[Adjusted %]]*$C$84</f>
        <v>-1100.8079633746297</v>
      </c>
      <c r="D59" s="155">
        <f>Table15[[#This Row],[Adjusted %]]*$D$84</f>
        <v>55422.686626085138</v>
      </c>
      <c r="E59" s="155">
        <f>Table15[[#This Row],[Adjusted %]]*$E$84</f>
        <v>41123.808354090768</v>
      </c>
      <c r="F59" s="18">
        <f>Table15[[#This Row],[Adjusted %]]*$F$84</f>
        <v>41123.808354090768</v>
      </c>
      <c r="G59" s="18">
        <f>Table15[[#This Row],[Adjusted %]]*$G$84</f>
        <v>41123.808354090768</v>
      </c>
      <c r="H59" s="18">
        <f>Table15[[#This Row],[Adjusted %]]*$H$84</f>
        <v>52153.536616522353</v>
      </c>
      <c r="I59" s="18">
        <f>Table15[[#This Row],[Adjusted %]]*$I$84</f>
        <v>50833.936636572536</v>
      </c>
      <c r="J59" s="18">
        <f>Table15[[#This Row],[Adjusted %]]*$J$84</f>
        <v>55280.65163091931</v>
      </c>
      <c r="K59" s="18">
        <f>Table15[[#This Row],[Adjusted %]]*$K$84</f>
        <v>55259.708785111114</v>
      </c>
      <c r="L59" s="18">
        <f>Table15[[#This Row],[Adjusted %]]*$L$84</f>
        <v>55259.708831632684</v>
      </c>
      <c r="M59" s="18">
        <f>Table15[[#This Row],[Adjusted %]]*$M$84</f>
        <v>26729.149589329958</v>
      </c>
      <c r="N59" s="18">
        <f>Table15[[#This Row],[Adjusted %]]*$N$84</f>
        <v>26729.149589329958</v>
      </c>
      <c r="O59" s="18">
        <f>Table15[[#This Row],[Adjusted %]]*$O$84</f>
        <v>26729.149589329958</v>
      </c>
      <c r="P59" s="18">
        <f>Table15[[#This Row],[Adjusted %]]*$P$84</f>
        <v>26729.149589329958</v>
      </c>
      <c r="Q59" s="18">
        <f>Table15[[#This Row],[Adjusted %]]*$Q$84</f>
        <v>26729.149589329958</v>
      </c>
      <c r="R59" s="18">
        <f>SUM(Table15[[#This Row],[Payment 1]:[Payment 15]])</f>
        <v>580126.59417239064</v>
      </c>
    </row>
    <row r="60" spans="1:18" x14ac:dyDescent="0.3">
      <c r="A60" t="s">
        <v>179</v>
      </c>
      <c r="B60">
        <v>1.689883461231089E-3</v>
      </c>
      <c r="C60" s="164">
        <f>Table15[[#This Row],[Adjusted %]]*$C$84</f>
        <v>-110.08079633746297</v>
      </c>
      <c r="D60" s="164">
        <f>Table15[[#This Row],[Adjusted %]]*$D$84</f>
        <v>5542.2686626085133</v>
      </c>
      <c r="E60" s="164">
        <f>Table15[[#This Row],[Adjusted %]]*$E$84</f>
        <v>4112.380835409077</v>
      </c>
      <c r="F60" s="18">
        <f>Table15[[#This Row],[Adjusted %]]*$F$84</f>
        <v>4112.380835409077</v>
      </c>
      <c r="G60" s="18">
        <f>Table15[[#This Row],[Adjusted %]]*$G$84</f>
        <v>4112.380835409077</v>
      </c>
      <c r="H60" s="18">
        <f>Table15[[#This Row],[Adjusted %]]*$H$84</f>
        <v>5215.3536616522351</v>
      </c>
      <c r="I60" s="18">
        <f>Table15[[#This Row],[Adjusted %]]*$I$84</f>
        <v>5083.3936636572535</v>
      </c>
      <c r="J60" s="18">
        <f>Table15[[#This Row],[Adjusted %]]*$J$84</f>
        <v>5528.065163091931</v>
      </c>
      <c r="K60" s="18">
        <f>Table15[[#This Row],[Adjusted %]]*$K$84</f>
        <v>5525.9708785111116</v>
      </c>
      <c r="L60" s="18">
        <f>Table15[[#This Row],[Adjusted %]]*$L$84</f>
        <v>5525.9708831632679</v>
      </c>
      <c r="M60" s="18">
        <f>Table15[[#This Row],[Adjusted %]]*$M$84</f>
        <v>2672.9149589329954</v>
      </c>
      <c r="N60" s="18">
        <f>Table15[[#This Row],[Adjusted %]]*$N$84</f>
        <v>2672.9149589329954</v>
      </c>
      <c r="O60" s="18">
        <f>Table15[[#This Row],[Adjusted %]]*$O$84</f>
        <v>2672.9149589329954</v>
      </c>
      <c r="P60" s="18">
        <f>Table15[[#This Row],[Adjusted %]]*$P$84</f>
        <v>2672.9149589329954</v>
      </c>
      <c r="Q60" s="18">
        <f>Table15[[#This Row],[Adjusted %]]*$Q$84</f>
        <v>2672.9149589329954</v>
      </c>
      <c r="R60" s="18">
        <f>SUM(Table15[[#This Row],[Payment 1]:[Payment 15]])</f>
        <v>58012.659417239069</v>
      </c>
    </row>
    <row r="61" spans="1:18" x14ac:dyDescent="0.3">
      <c r="A61" t="s">
        <v>180</v>
      </c>
      <c r="B61">
        <v>4.2247086530777227E-3</v>
      </c>
      <c r="C61" s="155">
        <f>Table15[[#This Row],[Adjusted %]]*$C$84</f>
        <v>-275.20199084365743</v>
      </c>
      <c r="D61" s="155">
        <f>Table15[[#This Row],[Adjusted %]]*$D$84</f>
        <v>13855.671656521285</v>
      </c>
      <c r="E61" s="155">
        <f>Table15[[#This Row],[Adjusted %]]*$E$84</f>
        <v>10280.952088522692</v>
      </c>
      <c r="F61" s="18">
        <f>Table15[[#This Row],[Adjusted %]]*$F$84</f>
        <v>10280.952088522692</v>
      </c>
      <c r="G61" s="18">
        <f>Table15[[#This Row],[Adjusted %]]*$G$84</f>
        <v>10280.952088522692</v>
      </c>
      <c r="H61" s="18">
        <f>Table15[[#This Row],[Adjusted %]]*$H$84</f>
        <v>13038.384154130588</v>
      </c>
      <c r="I61" s="18">
        <f>Table15[[#This Row],[Adjusted %]]*$I$84</f>
        <v>12708.484159143134</v>
      </c>
      <c r="J61" s="18">
        <f>Table15[[#This Row],[Adjusted %]]*$J$84</f>
        <v>13820.162907729828</v>
      </c>
      <c r="K61" s="18">
        <f>Table15[[#This Row],[Adjusted %]]*$K$84</f>
        <v>13814.927196277778</v>
      </c>
      <c r="L61" s="18">
        <f>Table15[[#This Row],[Adjusted %]]*$L$84</f>
        <v>13814.927207908171</v>
      </c>
      <c r="M61" s="18">
        <f>Table15[[#This Row],[Adjusted %]]*$M$84</f>
        <v>6682.2873973324895</v>
      </c>
      <c r="N61" s="18">
        <f>Table15[[#This Row],[Adjusted %]]*$N$84</f>
        <v>6682.2873973324895</v>
      </c>
      <c r="O61" s="18">
        <f>Table15[[#This Row],[Adjusted %]]*$O$84</f>
        <v>6682.2873973324895</v>
      </c>
      <c r="P61" s="18">
        <f>Table15[[#This Row],[Adjusted %]]*$P$84</f>
        <v>6682.2873973324895</v>
      </c>
      <c r="Q61" s="18">
        <f>Table15[[#This Row],[Adjusted %]]*$Q$84</f>
        <v>6682.2873973324895</v>
      </c>
      <c r="R61" s="18">
        <f>SUM(Table15[[#This Row],[Payment 1]:[Payment 15]])</f>
        <v>145031.64854309766</v>
      </c>
    </row>
    <row r="62" spans="1:18" x14ac:dyDescent="0.3">
      <c r="A62" t="s">
        <v>182</v>
      </c>
      <c r="B62">
        <v>4.2247086530777227E-3</v>
      </c>
      <c r="C62" s="164">
        <f>Table15[[#This Row],[Adjusted %]]*$C$84</f>
        <v>-275.20199084365743</v>
      </c>
      <c r="D62" s="164">
        <f>Table15[[#This Row],[Adjusted %]]*$D$84</f>
        <v>13855.671656521285</v>
      </c>
      <c r="E62" s="164">
        <f>Table15[[#This Row],[Adjusted %]]*$E$84</f>
        <v>10280.952088522692</v>
      </c>
      <c r="F62" s="18">
        <f>Table15[[#This Row],[Adjusted %]]*$F$84</f>
        <v>10280.952088522692</v>
      </c>
      <c r="G62" s="18">
        <f>Table15[[#This Row],[Adjusted %]]*$G$84</f>
        <v>10280.952088522692</v>
      </c>
      <c r="H62" s="18">
        <f>Table15[[#This Row],[Adjusted %]]*$H$84</f>
        <v>13038.384154130588</v>
      </c>
      <c r="I62" s="18">
        <f>Table15[[#This Row],[Adjusted %]]*$I$84</f>
        <v>12708.484159143134</v>
      </c>
      <c r="J62" s="18">
        <f>Table15[[#This Row],[Adjusted %]]*$J$84</f>
        <v>13820.162907729828</v>
      </c>
      <c r="K62" s="18">
        <f>Table15[[#This Row],[Adjusted %]]*$K$84</f>
        <v>13814.927196277778</v>
      </c>
      <c r="L62" s="18">
        <f>Table15[[#This Row],[Adjusted %]]*$L$84</f>
        <v>13814.927207908171</v>
      </c>
      <c r="M62" s="18">
        <f>Table15[[#This Row],[Adjusted %]]*$M$84</f>
        <v>6682.2873973324895</v>
      </c>
      <c r="N62" s="18">
        <f>Table15[[#This Row],[Adjusted %]]*$N$84</f>
        <v>6682.2873973324895</v>
      </c>
      <c r="O62" s="18">
        <f>Table15[[#This Row],[Adjusted %]]*$O$84</f>
        <v>6682.2873973324895</v>
      </c>
      <c r="P62" s="18">
        <f>Table15[[#This Row],[Adjusted %]]*$P$84</f>
        <v>6682.2873973324895</v>
      </c>
      <c r="Q62" s="18">
        <f>Table15[[#This Row],[Adjusted %]]*$Q$84</f>
        <v>6682.2873973324895</v>
      </c>
      <c r="R62" s="18">
        <f>SUM(Table15[[#This Row],[Payment 1]:[Payment 15]])</f>
        <v>145031.64854309766</v>
      </c>
    </row>
    <row r="63" spans="1:18" x14ac:dyDescent="0.3">
      <c r="A63" t="s">
        <v>183</v>
      </c>
      <c r="B63">
        <v>4.2247086530777227E-3</v>
      </c>
      <c r="C63" s="155">
        <f>Table15[[#This Row],[Adjusted %]]*$C$84</f>
        <v>-275.20199084365743</v>
      </c>
      <c r="D63" s="155">
        <f>Table15[[#This Row],[Adjusted %]]*$D$84</f>
        <v>13855.671656521285</v>
      </c>
      <c r="E63" s="155">
        <f>Table15[[#This Row],[Adjusted %]]*$E$84</f>
        <v>10280.952088522692</v>
      </c>
      <c r="F63" s="18">
        <f>Table15[[#This Row],[Adjusted %]]*$F$84</f>
        <v>10280.952088522692</v>
      </c>
      <c r="G63" s="18">
        <f>Table15[[#This Row],[Adjusted %]]*$G$84</f>
        <v>10280.952088522692</v>
      </c>
      <c r="H63" s="18">
        <f>Table15[[#This Row],[Adjusted %]]*$H$84</f>
        <v>13038.384154130588</v>
      </c>
      <c r="I63" s="18">
        <f>Table15[[#This Row],[Adjusted %]]*$I$84</f>
        <v>12708.484159143134</v>
      </c>
      <c r="J63" s="18">
        <f>Table15[[#This Row],[Adjusted %]]*$J$84</f>
        <v>13820.162907729828</v>
      </c>
      <c r="K63" s="18">
        <f>Table15[[#This Row],[Adjusted %]]*$K$84</f>
        <v>13814.927196277778</v>
      </c>
      <c r="L63" s="18">
        <f>Table15[[#This Row],[Adjusted %]]*$L$84</f>
        <v>13814.927207908171</v>
      </c>
      <c r="M63" s="18">
        <f>Table15[[#This Row],[Adjusted %]]*$M$84</f>
        <v>6682.2873973324895</v>
      </c>
      <c r="N63" s="18">
        <f>Table15[[#This Row],[Adjusted %]]*$N$84</f>
        <v>6682.2873973324895</v>
      </c>
      <c r="O63" s="18">
        <f>Table15[[#This Row],[Adjusted %]]*$O$84</f>
        <v>6682.2873973324895</v>
      </c>
      <c r="P63" s="18">
        <f>Table15[[#This Row],[Adjusted %]]*$P$84</f>
        <v>6682.2873973324895</v>
      </c>
      <c r="Q63" s="18">
        <f>Table15[[#This Row],[Adjusted %]]*$Q$84</f>
        <v>6682.2873973324895</v>
      </c>
      <c r="R63" s="18">
        <f>SUM(Table15[[#This Row],[Payment 1]:[Payment 15]])</f>
        <v>145031.64854309766</v>
      </c>
    </row>
    <row r="64" spans="1:18" x14ac:dyDescent="0.3">
      <c r="A64" t="s">
        <v>184</v>
      </c>
      <c r="B64">
        <v>2.2518659627010083E-2</v>
      </c>
      <c r="C64" s="164">
        <f>Table15[[#This Row],[Adjusted %]]*$C$84</f>
        <v>-1466.8893098626313</v>
      </c>
      <c r="D64" s="164">
        <f>Table15[[#This Row],[Adjusted %]]*$D$84</f>
        <v>73853.886636540483</v>
      </c>
      <c r="E64" s="164">
        <f>Table15[[#This Row],[Adjusted %]]*$E$84</f>
        <v>54799.816918589713</v>
      </c>
      <c r="F64" s="18">
        <f>Table15[[#This Row],[Adjusted %]]*$F$84</f>
        <v>54799.816918589713</v>
      </c>
      <c r="G64" s="18">
        <f>Table15[[#This Row],[Adjusted %]]*$G$84</f>
        <v>54799.816918589713</v>
      </c>
      <c r="H64" s="18">
        <f>Table15[[#This Row],[Adjusted %]]*$H$84</f>
        <v>69497.558047979066</v>
      </c>
      <c r="I64" s="18">
        <f>Table15[[#This Row],[Adjusted %]]*$I$84</f>
        <v>67739.115914303693</v>
      </c>
      <c r="J64" s="18">
        <f>Table15[[#This Row],[Adjusted %]]*$J$84</f>
        <v>73664.616915601669</v>
      </c>
      <c r="K64" s="18">
        <f>Table15[[#This Row],[Adjusted %]]*$K$84</f>
        <v>73636.709380721586</v>
      </c>
      <c r="L64" s="18">
        <f>Table15[[#This Row],[Adjusted %]]*$L$84</f>
        <v>73636.709442714229</v>
      </c>
      <c r="M64" s="18">
        <f>Table15[[#This Row],[Adjusted %]]*$M$84</f>
        <v>35618.114238662762</v>
      </c>
      <c r="N64" s="18">
        <f>Table15[[#This Row],[Adjusted %]]*$N$84</f>
        <v>35618.114238662762</v>
      </c>
      <c r="O64" s="18">
        <f>Table15[[#This Row],[Adjusted %]]*$O$84</f>
        <v>35618.114238662762</v>
      </c>
      <c r="P64" s="18">
        <f>Table15[[#This Row],[Adjusted %]]*$P$84</f>
        <v>35618.114238662762</v>
      </c>
      <c r="Q64" s="18">
        <f>Table15[[#This Row],[Adjusted %]]*$Q$84</f>
        <v>35618.114238662762</v>
      </c>
      <c r="R64" s="18">
        <f>SUM(Table15[[#This Row],[Payment 1]:[Payment 15]])</f>
        <v>773051.72897708102</v>
      </c>
    </row>
    <row r="65" spans="1:18" x14ac:dyDescent="0.3">
      <c r="A65" t="s">
        <v>185</v>
      </c>
      <c r="B65">
        <v>8.4494173061554472E-3</v>
      </c>
      <c r="C65" s="155">
        <f>Table15[[#This Row],[Adjusted %]]*$C$84</f>
        <v>-550.40398168731497</v>
      </c>
      <c r="D65" s="155">
        <f>Table15[[#This Row],[Adjusted %]]*$D$84</f>
        <v>27711.343313042573</v>
      </c>
      <c r="E65" s="155">
        <f>Table15[[#This Row],[Adjusted %]]*$E$84</f>
        <v>20561.904177045388</v>
      </c>
      <c r="F65" s="18">
        <f>Table15[[#This Row],[Adjusted %]]*$F$84</f>
        <v>20561.904177045388</v>
      </c>
      <c r="G65" s="18">
        <f>Table15[[#This Row],[Adjusted %]]*$G$84</f>
        <v>20561.904177045388</v>
      </c>
      <c r="H65" s="18">
        <f>Table15[[#This Row],[Adjusted %]]*$H$84</f>
        <v>26076.768308261184</v>
      </c>
      <c r="I65" s="18">
        <f>Table15[[#This Row],[Adjusted %]]*$I$84</f>
        <v>25416.968318286272</v>
      </c>
      <c r="J65" s="18">
        <f>Table15[[#This Row],[Adjusted %]]*$J$84</f>
        <v>27640.325815459659</v>
      </c>
      <c r="K65" s="18">
        <f>Table15[[#This Row],[Adjusted %]]*$K$84</f>
        <v>27629.854392555564</v>
      </c>
      <c r="L65" s="18">
        <f>Table15[[#This Row],[Adjusted %]]*$L$84</f>
        <v>27629.85441581635</v>
      </c>
      <c r="M65" s="18">
        <f>Table15[[#This Row],[Adjusted %]]*$M$84</f>
        <v>13364.574794664981</v>
      </c>
      <c r="N65" s="18">
        <f>Table15[[#This Row],[Adjusted %]]*$N$84</f>
        <v>13364.574794664981</v>
      </c>
      <c r="O65" s="18">
        <f>Table15[[#This Row],[Adjusted %]]*$O$84</f>
        <v>13364.574794664981</v>
      </c>
      <c r="P65" s="18">
        <f>Table15[[#This Row],[Adjusted %]]*$P$84</f>
        <v>13364.574794664981</v>
      </c>
      <c r="Q65" s="18">
        <f>Table15[[#This Row],[Adjusted %]]*$Q$84</f>
        <v>13364.574794664981</v>
      </c>
      <c r="R65" s="18">
        <f>SUM(Table15[[#This Row],[Payment 1]:[Payment 15]])</f>
        <v>290063.29708619538</v>
      </c>
    </row>
    <row r="66" spans="1:18" x14ac:dyDescent="0.3">
      <c r="A66" t="s">
        <v>187</v>
      </c>
      <c r="B66">
        <v>8.4494173061554472E-3</v>
      </c>
      <c r="C66" s="164">
        <f>Table15[[#This Row],[Adjusted %]]*$C$84</f>
        <v>-550.40398168731497</v>
      </c>
      <c r="D66" s="164">
        <f>Table15[[#This Row],[Adjusted %]]*$D$84</f>
        <v>27711.343313042573</v>
      </c>
      <c r="E66" s="164">
        <f>Table15[[#This Row],[Adjusted %]]*$E$84</f>
        <v>20561.904177045388</v>
      </c>
      <c r="F66" s="18">
        <f>Table15[[#This Row],[Adjusted %]]*$F$84</f>
        <v>20561.904177045388</v>
      </c>
      <c r="G66" s="18">
        <f>Table15[[#This Row],[Adjusted %]]*$G$84</f>
        <v>20561.904177045388</v>
      </c>
      <c r="H66" s="18">
        <f>Table15[[#This Row],[Adjusted %]]*$H$84</f>
        <v>26076.768308261184</v>
      </c>
      <c r="I66" s="18">
        <f>Table15[[#This Row],[Adjusted %]]*$I$84</f>
        <v>25416.968318286272</v>
      </c>
      <c r="J66" s="18">
        <f>Table15[[#This Row],[Adjusted %]]*$J$84</f>
        <v>27640.325815459659</v>
      </c>
      <c r="K66" s="18">
        <f>Table15[[#This Row],[Adjusted %]]*$K$84</f>
        <v>27629.854392555564</v>
      </c>
      <c r="L66" s="18">
        <f>Table15[[#This Row],[Adjusted %]]*$L$84</f>
        <v>27629.85441581635</v>
      </c>
      <c r="M66" s="18">
        <f>Table15[[#This Row],[Adjusted %]]*$M$84</f>
        <v>13364.574794664981</v>
      </c>
      <c r="N66" s="18">
        <f>Table15[[#This Row],[Adjusted %]]*$N$84</f>
        <v>13364.574794664981</v>
      </c>
      <c r="O66" s="18">
        <f>Table15[[#This Row],[Adjusted %]]*$O$84</f>
        <v>13364.574794664981</v>
      </c>
      <c r="P66" s="18">
        <f>Table15[[#This Row],[Adjusted %]]*$P$84</f>
        <v>13364.574794664981</v>
      </c>
      <c r="Q66" s="18">
        <f>Table15[[#This Row],[Adjusted %]]*$Q$84</f>
        <v>13364.574794664981</v>
      </c>
      <c r="R66" s="18">
        <f>SUM(Table15[[#This Row],[Payment 1]:[Payment 15]])</f>
        <v>290063.29708619538</v>
      </c>
    </row>
    <row r="67" spans="1:18" x14ac:dyDescent="0.3">
      <c r="A67" t="s">
        <v>188</v>
      </c>
      <c r="B67">
        <v>2.1800540103258569E-2</v>
      </c>
      <c r="C67" s="155">
        <f>Table15[[#This Row],[Adjusted %]]*$C$84</f>
        <v>-1420.1102444101195</v>
      </c>
      <c r="D67" s="155">
        <f>Table15[[#This Row],[Adjusted %]]*$D$84</f>
        <v>71498.68793568101</v>
      </c>
      <c r="E67" s="155">
        <f>Table15[[#This Row],[Adjusted %]]*$E$84</f>
        <v>53052.252051094401</v>
      </c>
      <c r="F67" s="18">
        <f>Table15[[#This Row],[Adjusted %]]*$F$84</f>
        <v>53052.252051094401</v>
      </c>
      <c r="G67" s="18">
        <f>Table15[[#This Row],[Adjusted %]]*$G$84</f>
        <v>53052.252051094401</v>
      </c>
      <c r="H67" s="18">
        <f>Table15[[#This Row],[Adjusted %]]*$H$84</f>
        <v>67281.282562938824</v>
      </c>
      <c r="I67" s="18">
        <f>Table15[[#This Row],[Adjusted %]]*$I$84</f>
        <v>65578.917107382644</v>
      </c>
      <c r="J67" s="18">
        <f>Table15[[#This Row],[Adjusted %]]*$J$84</f>
        <v>71315.454021673533</v>
      </c>
      <c r="K67" s="18">
        <f>Table15[[#This Row],[Adjusted %]]*$K$84</f>
        <v>71288.436457421776</v>
      </c>
      <c r="L67" s="18">
        <f>Table15[[#This Row],[Adjusted %]]*$L$84</f>
        <v>71288.436517437469</v>
      </c>
      <c r="M67" s="18">
        <f>Table15[[#This Row],[Adjusted %]]*$M$84</f>
        <v>34482.253416675121</v>
      </c>
      <c r="N67" s="18">
        <f>Table15[[#This Row],[Adjusted %]]*$N$84</f>
        <v>34482.253416675121</v>
      </c>
      <c r="O67" s="18">
        <f>Table15[[#This Row],[Adjusted %]]*$O$84</f>
        <v>34482.253416675121</v>
      </c>
      <c r="P67" s="18">
        <f>Table15[[#This Row],[Adjusted %]]*$P$84</f>
        <v>34482.253416675121</v>
      </c>
      <c r="Q67" s="18">
        <f>Table15[[#This Row],[Adjusted %]]*$Q$84</f>
        <v>34482.253416675121</v>
      </c>
      <c r="R67" s="18">
        <f>SUM(Table15[[#This Row],[Payment 1]:[Payment 15]])</f>
        <v>748399.12759478402</v>
      </c>
    </row>
    <row r="68" spans="1:18" x14ac:dyDescent="0.3">
      <c r="A68" t="s">
        <v>189</v>
      </c>
      <c r="B68">
        <v>1.689883461231089E-3</v>
      </c>
      <c r="C68" s="164">
        <f>Table15[[#This Row],[Adjusted %]]*$C$84</f>
        <v>-110.08079633746297</v>
      </c>
      <c r="D68" s="164">
        <f>Table15[[#This Row],[Adjusted %]]*$D$84</f>
        <v>5542.2686626085133</v>
      </c>
      <c r="E68" s="164">
        <f>Table15[[#This Row],[Adjusted %]]*$E$84</f>
        <v>4112.380835409077</v>
      </c>
      <c r="F68" s="18">
        <f>Table15[[#This Row],[Adjusted %]]*$F$84</f>
        <v>4112.380835409077</v>
      </c>
      <c r="G68" s="18">
        <f>Table15[[#This Row],[Adjusted %]]*$G$84</f>
        <v>4112.380835409077</v>
      </c>
      <c r="H68" s="18">
        <f>Table15[[#This Row],[Adjusted %]]*$H$84</f>
        <v>5215.3536616522351</v>
      </c>
      <c r="I68" s="18">
        <f>Table15[[#This Row],[Adjusted %]]*$I$84</f>
        <v>5083.3936636572535</v>
      </c>
      <c r="J68" s="18">
        <f>Table15[[#This Row],[Adjusted %]]*$J$84</f>
        <v>5528.065163091931</v>
      </c>
      <c r="K68" s="18">
        <f>Table15[[#This Row],[Adjusted %]]*$K$84</f>
        <v>5525.9708785111116</v>
      </c>
      <c r="L68" s="18">
        <f>Table15[[#This Row],[Adjusted %]]*$L$84</f>
        <v>5525.9708831632679</v>
      </c>
      <c r="M68" s="18">
        <f>Table15[[#This Row],[Adjusted %]]*$M$84</f>
        <v>2672.9149589329954</v>
      </c>
      <c r="N68" s="18">
        <f>Table15[[#This Row],[Adjusted %]]*$N$84</f>
        <v>2672.9149589329954</v>
      </c>
      <c r="O68" s="18">
        <f>Table15[[#This Row],[Adjusted %]]*$O$84</f>
        <v>2672.9149589329954</v>
      </c>
      <c r="P68" s="18">
        <f>Table15[[#This Row],[Adjusted %]]*$P$84</f>
        <v>2672.9149589329954</v>
      </c>
      <c r="Q68" s="18">
        <f>Table15[[#This Row],[Adjusted %]]*$Q$84</f>
        <v>2672.9149589329954</v>
      </c>
      <c r="R68" s="18">
        <f>SUM(Table15[[#This Row],[Payment 1]:[Payment 15]])</f>
        <v>58012.659417239069</v>
      </c>
    </row>
    <row r="69" spans="1:18" x14ac:dyDescent="0.3">
      <c r="A69" t="s">
        <v>190</v>
      </c>
      <c r="B69">
        <v>1.6898834612310891E-2</v>
      </c>
      <c r="C69" s="155">
        <f>Table15[[#This Row],[Adjusted %]]*$C$84</f>
        <v>-1100.8079633746297</v>
      </c>
      <c r="D69" s="155">
        <f>Table15[[#This Row],[Adjusted %]]*$D$84</f>
        <v>55422.686626085138</v>
      </c>
      <c r="E69" s="155">
        <f>Table15[[#This Row],[Adjusted %]]*$E$84</f>
        <v>41123.808354090768</v>
      </c>
      <c r="F69" s="18">
        <f>Table15[[#This Row],[Adjusted %]]*$F$84</f>
        <v>41123.808354090768</v>
      </c>
      <c r="G69" s="18">
        <f>Table15[[#This Row],[Adjusted %]]*$G$84</f>
        <v>41123.808354090768</v>
      </c>
      <c r="H69" s="18">
        <f>Table15[[#This Row],[Adjusted %]]*$H$84</f>
        <v>52153.536616522353</v>
      </c>
      <c r="I69" s="18">
        <f>Table15[[#This Row],[Adjusted %]]*$I$84</f>
        <v>50833.936636572536</v>
      </c>
      <c r="J69" s="18">
        <f>Table15[[#This Row],[Adjusted %]]*$J$84</f>
        <v>55280.65163091931</v>
      </c>
      <c r="K69" s="18">
        <f>Table15[[#This Row],[Adjusted %]]*$K$84</f>
        <v>55259.708785111114</v>
      </c>
      <c r="L69" s="18">
        <f>Table15[[#This Row],[Adjusted %]]*$L$84</f>
        <v>55259.708831632684</v>
      </c>
      <c r="M69" s="18">
        <f>Table15[[#This Row],[Adjusted %]]*$M$84</f>
        <v>26729.149589329958</v>
      </c>
      <c r="N69" s="18">
        <f>Table15[[#This Row],[Adjusted %]]*$N$84</f>
        <v>26729.149589329958</v>
      </c>
      <c r="O69" s="18">
        <f>Table15[[#This Row],[Adjusted %]]*$O$84</f>
        <v>26729.149589329958</v>
      </c>
      <c r="P69" s="18">
        <f>Table15[[#This Row],[Adjusted %]]*$P$84</f>
        <v>26729.149589329958</v>
      </c>
      <c r="Q69" s="18">
        <f>Table15[[#This Row],[Adjusted %]]*$Q$84</f>
        <v>26729.149589329958</v>
      </c>
      <c r="R69" s="18">
        <f>SUM(Table15[[#This Row],[Payment 1]:[Payment 15]])</f>
        <v>580126.59417239064</v>
      </c>
    </row>
    <row r="70" spans="1:18" x14ac:dyDescent="0.3">
      <c r="A70" t="s">
        <v>192</v>
      </c>
      <c r="B70">
        <v>1.689883461231089E-3</v>
      </c>
      <c r="C70" s="164">
        <f>Table15[[#This Row],[Adjusted %]]*$C$84</f>
        <v>-110.08079633746297</v>
      </c>
      <c r="D70" s="164">
        <f>Table15[[#This Row],[Adjusted %]]*$D$84</f>
        <v>5542.2686626085133</v>
      </c>
      <c r="E70" s="164">
        <f>Table15[[#This Row],[Adjusted %]]*$E$84</f>
        <v>4112.380835409077</v>
      </c>
      <c r="F70" s="18">
        <f>Table15[[#This Row],[Adjusted %]]*$F$84</f>
        <v>4112.380835409077</v>
      </c>
      <c r="G70" s="18">
        <f>Table15[[#This Row],[Adjusted %]]*$G$84</f>
        <v>4112.380835409077</v>
      </c>
      <c r="H70" s="18">
        <f>Table15[[#This Row],[Adjusted %]]*$H$84</f>
        <v>5215.3536616522351</v>
      </c>
      <c r="I70" s="18">
        <f>Table15[[#This Row],[Adjusted %]]*$I$84</f>
        <v>5083.3936636572535</v>
      </c>
      <c r="J70" s="18">
        <f>Table15[[#This Row],[Adjusted %]]*$J$84</f>
        <v>5528.065163091931</v>
      </c>
      <c r="K70" s="18">
        <f>Table15[[#This Row],[Adjusted %]]*$K$84</f>
        <v>5525.9708785111116</v>
      </c>
      <c r="L70" s="18">
        <f>Table15[[#This Row],[Adjusted %]]*$L$84</f>
        <v>5525.9708831632679</v>
      </c>
      <c r="M70" s="18">
        <f>Table15[[#This Row],[Adjusted %]]*$M$84</f>
        <v>2672.9149589329954</v>
      </c>
      <c r="N70" s="18">
        <f>Table15[[#This Row],[Adjusted %]]*$N$84</f>
        <v>2672.9149589329954</v>
      </c>
      <c r="O70" s="18">
        <f>Table15[[#This Row],[Adjusted %]]*$O$84</f>
        <v>2672.9149589329954</v>
      </c>
      <c r="P70" s="18">
        <f>Table15[[#This Row],[Adjusted %]]*$P$84</f>
        <v>2672.9149589329954</v>
      </c>
      <c r="Q70" s="18">
        <f>Table15[[#This Row],[Adjusted %]]*$Q$84</f>
        <v>2672.9149589329954</v>
      </c>
      <c r="R70" s="18">
        <f>SUM(Table15[[#This Row],[Payment 1]:[Payment 15]])</f>
        <v>58012.659417239069</v>
      </c>
    </row>
    <row r="71" spans="1:18" x14ac:dyDescent="0.3">
      <c r="A71" t="s">
        <v>193</v>
      </c>
      <c r="B71">
        <v>4.2247086530777227E-3</v>
      </c>
      <c r="C71" s="155">
        <f>Table15[[#This Row],[Adjusted %]]*$C$84</f>
        <v>-275.20199084365743</v>
      </c>
      <c r="D71" s="155">
        <f>Table15[[#This Row],[Adjusted %]]*$D$84</f>
        <v>13855.671656521285</v>
      </c>
      <c r="E71" s="155">
        <f>Table15[[#This Row],[Adjusted %]]*$E$84</f>
        <v>10280.952088522692</v>
      </c>
      <c r="F71" s="18">
        <f>Table15[[#This Row],[Adjusted %]]*$F$84</f>
        <v>10280.952088522692</v>
      </c>
      <c r="G71" s="18">
        <f>Table15[[#This Row],[Adjusted %]]*$G$84</f>
        <v>10280.952088522692</v>
      </c>
      <c r="H71" s="18">
        <f>Table15[[#This Row],[Adjusted %]]*$H$84</f>
        <v>13038.384154130588</v>
      </c>
      <c r="I71" s="18">
        <f>Table15[[#This Row],[Adjusted %]]*$I$84</f>
        <v>12708.484159143134</v>
      </c>
      <c r="J71" s="18">
        <f>Table15[[#This Row],[Adjusted %]]*$J$84</f>
        <v>13820.162907729828</v>
      </c>
      <c r="K71" s="18">
        <f>Table15[[#This Row],[Adjusted %]]*$K$84</f>
        <v>13814.927196277778</v>
      </c>
      <c r="L71" s="18">
        <f>Table15[[#This Row],[Adjusted %]]*$L$84</f>
        <v>13814.927207908171</v>
      </c>
      <c r="M71" s="18">
        <f>Table15[[#This Row],[Adjusted %]]*$M$84</f>
        <v>6682.2873973324895</v>
      </c>
      <c r="N71" s="18">
        <f>Table15[[#This Row],[Adjusted %]]*$N$84</f>
        <v>6682.2873973324895</v>
      </c>
      <c r="O71" s="18">
        <f>Table15[[#This Row],[Adjusted %]]*$O$84</f>
        <v>6682.2873973324895</v>
      </c>
      <c r="P71" s="18">
        <f>Table15[[#This Row],[Adjusted %]]*$P$84</f>
        <v>6682.2873973324895</v>
      </c>
      <c r="Q71" s="18">
        <f>Table15[[#This Row],[Adjusted %]]*$Q$84</f>
        <v>6682.2873973324895</v>
      </c>
      <c r="R71" s="18">
        <f>SUM(Table15[[#This Row],[Payment 1]:[Payment 15]])</f>
        <v>145031.64854309766</v>
      </c>
    </row>
    <row r="72" spans="1:18" x14ac:dyDescent="0.3">
      <c r="A72" t="s">
        <v>196</v>
      </c>
      <c r="B72">
        <v>4.2247086530777227E-3</v>
      </c>
      <c r="C72" s="164">
        <f>Table15[[#This Row],[Adjusted %]]*$C$84</f>
        <v>-275.20199084365743</v>
      </c>
      <c r="D72" s="164">
        <f>Table15[[#This Row],[Adjusted %]]*$D$84</f>
        <v>13855.671656521285</v>
      </c>
      <c r="E72" s="164">
        <f>Table15[[#This Row],[Adjusted %]]*$E$84</f>
        <v>10280.952088522692</v>
      </c>
      <c r="F72" s="18">
        <f>Table15[[#This Row],[Adjusted %]]*$F$84</f>
        <v>10280.952088522692</v>
      </c>
      <c r="G72" s="18">
        <f>Table15[[#This Row],[Adjusted %]]*$G$84</f>
        <v>10280.952088522692</v>
      </c>
      <c r="H72" s="18">
        <f>Table15[[#This Row],[Adjusted %]]*$H$84</f>
        <v>13038.384154130588</v>
      </c>
      <c r="I72" s="18">
        <f>Table15[[#This Row],[Adjusted %]]*$I$84</f>
        <v>12708.484159143134</v>
      </c>
      <c r="J72" s="18">
        <f>Table15[[#This Row],[Adjusted %]]*$J$84</f>
        <v>13820.162907729828</v>
      </c>
      <c r="K72" s="18">
        <f>Table15[[#This Row],[Adjusted %]]*$K$84</f>
        <v>13814.927196277778</v>
      </c>
      <c r="L72" s="18">
        <f>Table15[[#This Row],[Adjusted %]]*$L$84</f>
        <v>13814.927207908171</v>
      </c>
      <c r="M72" s="18">
        <f>Table15[[#This Row],[Adjusted %]]*$M$84</f>
        <v>6682.2873973324895</v>
      </c>
      <c r="N72" s="18">
        <f>Table15[[#This Row],[Adjusted %]]*$N$84</f>
        <v>6682.2873973324895</v>
      </c>
      <c r="O72" s="18">
        <f>Table15[[#This Row],[Adjusted %]]*$O$84</f>
        <v>6682.2873973324895</v>
      </c>
      <c r="P72" s="18">
        <f>Table15[[#This Row],[Adjusted %]]*$P$84</f>
        <v>6682.2873973324895</v>
      </c>
      <c r="Q72" s="18">
        <f>Table15[[#This Row],[Adjusted %]]*$Q$84</f>
        <v>6682.2873973324895</v>
      </c>
      <c r="R72" s="18">
        <f>SUM(Table15[[#This Row],[Payment 1]:[Payment 15]])</f>
        <v>145031.64854309766</v>
      </c>
    </row>
    <row r="73" spans="1:18" x14ac:dyDescent="0.3">
      <c r="A73" t="s">
        <v>197</v>
      </c>
      <c r="B73">
        <v>4.2247086530777227E-3</v>
      </c>
      <c r="C73" s="155">
        <f>Table15[[#This Row],[Adjusted %]]*$C$84</f>
        <v>-275.20199084365743</v>
      </c>
      <c r="D73" s="155">
        <f>Table15[[#This Row],[Adjusted %]]*$D$84</f>
        <v>13855.671656521285</v>
      </c>
      <c r="E73" s="155">
        <f>Table15[[#This Row],[Adjusted %]]*$E$84</f>
        <v>10280.952088522692</v>
      </c>
      <c r="F73" s="18">
        <f>Table15[[#This Row],[Adjusted %]]*$F$84</f>
        <v>10280.952088522692</v>
      </c>
      <c r="G73" s="18">
        <f>Table15[[#This Row],[Adjusted %]]*$G$84</f>
        <v>10280.952088522692</v>
      </c>
      <c r="H73" s="18">
        <f>Table15[[#This Row],[Adjusted %]]*$H$84</f>
        <v>13038.384154130588</v>
      </c>
      <c r="I73" s="18">
        <f>Table15[[#This Row],[Adjusted %]]*$I$84</f>
        <v>12708.484159143134</v>
      </c>
      <c r="J73" s="18">
        <f>Table15[[#This Row],[Adjusted %]]*$J$84</f>
        <v>13820.162907729828</v>
      </c>
      <c r="K73" s="18">
        <f>Table15[[#This Row],[Adjusted %]]*$K$84</f>
        <v>13814.927196277778</v>
      </c>
      <c r="L73" s="18">
        <f>Table15[[#This Row],[Adjusted %]]*$L$84</f>
        <v>13814.927207908171</v>
      </c>
      <c r="M73" s="18">
        <f>Table15[[#This Row],[Adjusted %]]*$M$84</f>
        <v>6682.2873973324895</v>
      </c>
      <c r="N73" s="18">
        <f>Table15[[#This Row],[Adjusted %]]*$N$84</f>
        <v>6682.2873973324895</v>
      </c>
      <c r="O73" s="18">
        <f>Table15[[#This Row],[Adjusted %]]*$O$84</f>
        <v>6682.2873973324895</v>
      </c>
      <c r="P73" s="18">
        <f>Table15[[#This Row],[Adjusted %]]*$P$84</f>
        <v>6682.2873973324895</v>
      </c>
      <c r="Q73" s="18">
        <f>Table15[[#This Row],[Adjusted %]]*$Q$84</f>
        <v>6682.2873973324895</v>
      </c>
      <c r="R73" s="18">
        <f>SUM(Table15[[#This Row],[Payment 1]:[Payment 15]])</f>
        <v>145031.64854309766</v>
      </c>
    </row>
    <row r="74" spans="1:18" x14ac:dyDescent="0.3">
      <c r="A74" t="s">
        <v>198</v>
      </c>
      <c r="B74">
        <v>1.5063888194173956E-2</v>
      </c>
      <c r="C74" s="164">
        <f>Table15[[#This Row],[Adjusted %]]*$C$84</f>
        <v>-981.27761256692577</v>
      </c>
      <c r="D74" s="164">
        <f>Table15[[#This Row],[Adjusted %]]*$D$84</f>
        <v>49404.658599822695</v>
      </c>
      <c r="E74" s="164">
        <f>Table15[[#This Row],[Adjusted %]]*$E$84</f>
        <v>36658.412569666936</v>
      </c>
      <c r="F74" s="18">
        <f>Table15[[#This Row],[Adjusted %]]*$F$84</f>
        <v>36658.412569666936</v>
      </c>
      <c r="G74" s="18">
        <f>Table15[[#This Row],[Adjusted %]]*$G$84</f>
        <v>36658.412569666936</v>
      </c>
      <c r="H74" s="18">
        <f>Table15[[#This Row],[Adjusted %]]*$H$84</f>
        <v>46490.486625019155</v>
      </c>
      <c r="I74" s="18">
        <f>Table15[[#This Row],[Adjusted %]]*$I$84</f>
        <v>45314.174351715003</v>
      </c>
      <c r="J74" s="18">
        <f>Table15[[#This Row],[Adjusted %]]*$J$84</f>
        <v>49278.046360817803</v>
      </c>
      <c r="K74" s="18">
        <f>Table15[[#This Row],[Adjusted %]]*$K$84</f>
        <v>49259.377577143656</v>
      </c>
      <c r="L74" s="18">
        <f>Table15[[#This Row],[Adjusted %]]*$L$84</f>
        <v>49259.377618613711</v>
      </c>
      <c r="M74" s="18">
        <f>Table15[[#This Row],[Adjusted %]]*$M$84</f>
        <v>23826.78629481871</v>
      </c>
      <c r="N74" s="18">
        <f>Table15[[#This Row],[Adjusted %]]*$N$84</f>
        <v>23826.78629481871</v>
      </c>
      <c r="O74" s="18">
        <f>Table15[[#This Row],[Adjusted %]]*$O$84</f>
        <v>23826.78629481871</v>
      </c>
      <c r="P74" s="18">
        <f>Table15[[#This Row],[Adjusted %]]*$P$84</f>
        <v>23826.78629481871</v>
      </c>
      <c r="Q74" s="18">
        <f>Table15[[#This Row],[Adjusted %]]*$Q$84</f>
        <v>23826.78629481871</v>
      </c>
      <c r="R74" s="18">
        <f>SUM(Table15[[#This Row],[Payment 1]:[Payment 15]])</f>
        <v>517134.01270365959</v>
      </c>
    </row>
    <row r="75" spans="1:18" x14ac:dyDescent="0.3">
      <c r="A75" t="s">
        <v>199</v>
      </c>
      <c r="B75">
        <v>4.2247086530777227E-3</v>
      </c>
      <c r="C75" s="155">
        <f>Table15[[#This Row],[Adjusted %]]*$C$84</f>
        <v>-275.20199084365743</v>
      </c>
      <c r="D75" s="155">
        <f>Table15[[#This Row],[Adjusted %]]*$D$84</f>
        <v>13855.671656521285</v>
      </c>
      <c r="E75" s="155">
        <f>Table15[[#This Row],[Adjusted %]]*$E$84</f>
        <v>10280.952088522692</v>
      </c>
      <c r="F75" s="18">
        <f>Table15[[#This Row],[Adjusted %]]*$F$84</f>
        <v>10280.952088522692</v>
      </c>
      <c r="G75" s="18">
        <f>Table15[[#This Row],[Adjusted %]]*$G$84</f>
        <v>10280.952088522692</v>
      </c>
      <c r="H75" s="18">
        <f>Table15[[#This Row],[Adjusted %]]*$H$84</f>
        <v>13038.384154130588</v>
      </c>
      <c r="I75" s="18">
        <f>Table15[[#This Row],[Adjusted %]]*$I$84</f>
        <v>12708.484159143134</v>
      </c>
      <c r="J75" s="18">
        <f>Table15[[#This Row],[Adjusted %]]*$J$84</f>
        <v>13820.162907729828</v>
      </c>
      <c r="K75" s="18">
        <f>Table15[[#This Row],[Adjusted %]]*$K$84</f>
        <v>13814.927196277778</v>
      </c>
      <c r="L75" s="18">
        <f>Table15[[#This Row],[Adjusted %]]*$L$84</f>
        <v>13814.927207908171</v>
      </c>
      <c r="M75" s="18">
        <f>Table15[[#This Row],[Adjusted %]]*$M$84</f>
        <v>6682.2873973324895</v>
      </c>
      <c r="N75" s="18">
        <f>Table15[[#This Row],[Adjusted %]]*$N$84</f>
        <v>6682.2873973324895</v>
      </c>
      <c r="O75" s="18">
        <f>Table15[[#This Row],[Adjusted %]]*$O$84</f>
        <v>6682.2873973324895</v>
      </c>
      <c r="P75" s="18">
        <f>Table15[[#This Row],[Adjusted %]]*$P$84</f>
        <v>6682.2873973324895</v>
      </c>
      <c r="Q75" s="18">
        <f>Table15[[#This Row],[Adjusted %]]*$Q$84</f>
        <v>6682.2873973324895</v>
      </c>
      <c r="R75" s="18">
        <f>SUM(Table15[[#This Row],[Payment 1]:[Payment 15]])</f>
        <v>145031.64854309766</v>
      </c>
    </row>
    <row r="76" spans="1:18" x14ac:dyDescent="0.3">
      <c r="A76" t="s">
        <v>200</v>
      </c>
      <c r="B76">
        <v>1.689883461231089E-3</v>
      </c>
      <c r="C76" s="164">
        <f>Table15[[#This Row],[Adjusted %]]*$C$84</f>
        <v>-110.08079633746297</v>
      </c>
      <c r="D76" s="164">
        <f>Table15[[#This Row],[Adjusted %]]*$D$84</f>
        <v>5542.2686626085133</v>
      </c>
      <c r="E76" s="164">
        <f>Table15[[#This Row],[Adjusted %]]*$E$84</f>
        <v>4112.380835409077</v>
      </c>
      <c r="F76" s="18">
        <f>Table15[[#This Row],[Adjusted %]]*$F$84</f>
        <v>4112.380835409077</v>
      </c>
      <c r="G76" s="18">
        <f>Table15[[#This Row],[Adjusted %]]*$G$84</f>
        <v>4112.380835409077</v>
      </c>
      <c r="H76" s="18">
        <f>Table15[[#This Row],[Adjusted %]]*$H$84</f>
        <v>5215.3536616522351</v>
      </c>
      <c r="I76" s="18">
        <f>Table15[[#This Row],[Adjusted %]]*$I$84</f>
        <v>5083.3936636572535</v>
      </c>
      <c r="J76" s="18">
        <f>Table15[[#This Row],[Adjusted %]]*$J$84</f>
        <v>5528.065163091931</v>
      </c>
      <c r="K76" s="18">
        <f>Table15[[#This Row],[Adjusted %]]*$K$84</f>
        <v>5525.9708785111116</v>
      </c>
      <c r="L76" s="18">
        <f>Table15[[#This Row],[Adjusted %]]*$L$84</f>
        <v>5525.9708831632679</v>
      </c>
      <c r="M76" s="18">
        <f>Table15[[#This Row],[Adjusted %]]*$M$84</f>
        <v>2672.9149589329954</v>
      </c>
      <c r="N76" s="18">
        <f>Table15[[#This Row],[Adjusted %]]*$N$84</f>
        <v>2672.9149589329954</v>
      </c>
      <c r="O76" s="18">
        <f>Table15[[#This Row],[Adjusted %]]*$O$84</f>
        <v>2672.9149589329954</v>
      </c>
      <c r="P76" s="18">
        <f>Table15[[#This Row],[Adjusted %]]*$P$84</f>
        <v>2672.9149589329954</v>
      </c>
      <c r="Q76" s="18">
        <f>Table15[[#This Row],[Adjusted %]]*$Q$84</f>
        <v>2672.9149589329954</v>
      </c>
      <c r="R76" s="18">
        <f>SUM(Table15[[#This Row],[Payment 1]:[Payment 15]])</f>
        <v>58012.659417239069</v>
      </c>
    </row>
    <row r="77" spans="1:18" x14ac:dyDescent="0.3">
      <c r="A77" t="s">
        <v>201</v>
      </c>
      <c r="B77">
        <v>2.5520082630489365E-2</v>
      </c>
      <c r="C77" s="18">
        <f>Table15[[#This Row],[Adjusted %]]*$C$84</f>
        <v>-1662.4051794172583</v>
      </c>
      <c r="D77" s="18">
        <f>Table15[[#This Row],[Adjusted %]]*$D$84</f>
        <v>83697.578841976399</v>
      </c>
      <c r="E77" s="18">
        <f>Table15[[#This Row],[Adjusted %]]*$E$84</f>
        <v>62103.867595239455</v>
      </c>
      <c r="F77" s="18">
        <f>Table15[[#This Row],[Adjusted %]]*$F$84</f>
        <v>62103.867595239455</v>
      </c>
      <c r="G77" s="18">
        <f>Table15[[#This Row],[Adjusted %]]*$G$84</f>
        <v>62103.867595239455</v>
      </c>
      <c r="H77" s="18">
        <f>Table15[[#This Row],[Adjusted %]]*$H$84</f>
        <v>78760.612460003002</v>
      </c>
      <c r="I77" s="18">
        <f>Table15[[#This Row],[Adjusted %]]*$I$84</f>
        <v>76767.794534974135</v>
      </c>
      <c r="J77" s="18">
        <f>Table15[[#This Row],[Adjusted %]]*$J$84</f>
        <v>83483.082109141789</v>
      </c>
      <c r="K77" s="18">
        <f>Table15[[#This Row],[Adjusted %]]*$K$84</f>
        <v>83451.454889407163</v>
      </c>
      <c r="L77" s="18">
        <f>Table15[[#This Row],[Adjusted %]]*$L$84</f>
        <v>83451.454959662558</v>
      </c>
      <c r="M77" s="18">
        <f>Table15[[#This Row],[Adjusted %]]*$M$84</f>
        <v>40365.51169424878</v>
      </c>
      <c r="N77" s="18">
        <f>Table15[[#This Row],[Adjusted %]]*$N$84</f>
        <v>40365.51169424878</v>
      </c>
      <c r="O77" s="18">
        <f>Table15[[#This Row],[Adjusted %]]*$O$84</f>
        <v>40365.51169424878</v>
      </c>
      <c r="P77" s="18">
        <f>Table15[[#This Row],[Adjusted %]]*$P$84</f>
        <v>40365.51169424878</v>
      </c>
      <c r="Q77" s="18">
        <f>Table15[[#This Row],[Adjusted %]]*$Q$84</f>
        <v>40365.51169424878</v>
      </c>
      <c r="R77" s="18">
        <f>SUM(Table15[[#This Row],[Payment 1]:[Payment 15]])</f>
        <v>876088.73387271003</v>
      </c>
    </row>
    <row r="78" spans="1:18" x14ac:dyDescent="0.3">
      <c r="A78" t="s">
        <v>202</v>
      </c>
      <c r="B78">
        <v>1.689883461231089E-3</v>
      </c>
      <c r="C78" s="18">
        <f>Table15[[#This Row],[Adjusted %]]*$C$84</f>
        <v>-110.08079633746297</v>
      </c>
      <c r="D78" s="18">
        <f>Table15[[#This Row],[Adjusted %]]*$D$84</f>
        <v>5542.2686626085133</v>
      </c>
      <c r="E78" s="18">
        <f>Table15[[#This Row],[Adjusted %]]*$E$84</f>
        <v>4112.380835409077</v>
      </c>
      <c r="F78" s="18">
        <f>Table15[[#This Row],[Adjusted %]]*$F$84</f>
        <v>4112.380835409077</v>
      </c>
      <c r="G78" s="18">
        <f>Table15[[#This Row],[Adjusted %]]*$G$84</f>
        <v>4112.380835409077</v>
      </c>
      <c r="H78" s="18">
        <f>Table15[[#This Row],[Adjusted %]]*$H$84</f>
        <v>5215.3536616522351</v>
      </c>
      <c r="I78" s="18">
        <f>Table15[[#This Row],[Adjusted %]]*$I$84</f>
        <v>5083.3936636572535</v>
      </c>
      <c r="J78" s="18">
        <f>Table15[[#This Row],[Adjusted %]]*$J$84</f>
        <v>5528.065163091931</v>
      </c>
      <c r="K78" s="18">
        <f>Table15[[#This Row],[Adjusted %]]*$K$84</f>
        <v>5525.9708785111116</v>
      </c>
      <c r="L78" s="18">
        <f>Table15[[#This Row],[Adjusted %]]*$L$84</f>
        <v>5525.9708831632679</v>
      </c>
      <c r="M78" s="18">
        <f>Table15[[#This Row],[Adjusted %]]*$M$84</f>
        <v>2672.9149589329954</v>
      </c>
      <c r="N78" s="18">
        <f>Table15[[#This Row],[Adjusted %]]*$N$84</f>
        <v>2672.9149589329954</v>
      </c>
      <c r="O78" s="18">
        <f>Table15[[#This Row],[Adjusted %]]*$O$84</f>
        <v>2672.9149589329954</v>
      </c>
      <c r="P78" s="18">
        <f>Table15[[#This Row],[Adjusted %]]*$P$84</f>
        <v>2672.9149589329954</v>
      </c>
      <c r="Q78" s="18">
        <f>Table15[[#This Row],[Adjusted %]]*$Q$84</f>
        <v>2672.9149589329954</v>
      </c>
      <c r="R78" s="18">
        <f>SUM(Table15[[#This Row],[Payment 1]:[Payment 15]])</f>
        <v>58012.659417239069</v>
      </c>
    </row>
    <row r="79" spans="1:18" x14ac:dyDescent="0.3">
      <c r="A79" t="s">
        <v>203</v>
      </c>
      <c r="B79">
        <v>4.2247086530777227E-3</v>
      </c>
      <c r="C79" s="18">
        <f>Table15[[#This Row],[Adjusted %]]*$C$84</f>
        <v>-275.20199084365743</v>
      </c>
      <c r="D79" s="18">
        <f>Table15[[#This Row],[Adjusted %]]*$D$84</f>
        <v>13855.671656521285</v>
      </c>
      <c r="E79" s="18">
        <f>Table15[[#This Row],[Adjusted %]]*$E$84</f>
        <v>10280.952088522692</v>
      </c>
      <c r="F79" s="18">
        <f>Table15[[#This Row],[Adjusted %]]*$F$84</f>
        <v>10280.952088522692</v>
      </c>
      <c r="G79" s="18">
        <f>Table15[[#This Row],[Adjusted %]]*$G$84</f>
        <v>10280.952088522692</v>
      </c>
      <c r="H79" s="18">
        <f>Table15[[#This Row],[Adjusted %]]*$H$84</f>
        <v>13038.384154130588</v>
      </c>
      <c r="I79" s="18">
        <f>Table15[[#This Row],[Adjusted %]]*$I$84</f>
        <v>12708.484159143134</v>
      </c>
      <c r="J79" s="18">
        <f>Table15[[#This Row],[Adjusted %]]*$J$84</f>
        <v>13820.162907729828</v>
      </c>
      <c r="K79" s="18">
        <f>Table15[[#This Row],[Adjusted %]]*$K$84</f>
        <v>13814.927196277778</v>
      </c>
      <c r="L79" s="18">
        <f>Table15[[#This Row],[Adjusted %]]*$L$84</f>
        <v>13814.927207908171</v>
      </c>
      <c r="M79" s="18">
        <f>Table15[[#This Row],[Adjusted %]]*$M$84</f>
        <v>6682.2873973324895</v>
      </c>
      <c r="N79" s="18">
        <f>Table15[[#This Row],[Adjusted %]]*$N$84</f>
        <v>6682.2873973324895</v>
      </c>
      <c r="O79" s="18">
        <f>Table15[[#This Row],[Adjusted %]]*$O$84</f>
        <v>6682.2873973324895</v>
      </c>
      <c r="P79" s="18">
        <f>Table15[[#This Row],[Adjusted %]]*$P$84</f>
        <v>6682.2873973324895</v>
      </c>
      <c r="Q79" s="18">
        <f>Table15[[#This Row],[Adjusted %]]*$Q$84</f>
        <v>6682.2873973324895</v>
      </c>
      <c r="R79" s="18">
        <f>SUM(Table15[[#This Row],[Payment 1]:[Payment 15]])</f>
        <v>145031.64854309766</v>
      </c>
    </row>
    <row r="80" spans="1:18" x14ac:dyDescent="0.3">
      <c r="A80" t="s">
        <v>204</v>
      </c>
      <c r="B80">
        <v>1.689883461231089E-3</v>
      </c>
      <c r="C80" s="18">
        <f>Table15[[#This Row],[Adjusted %]]*$C$84</f>
        <v>-110.08079633746297</v>
      </c>
      <c r="D80" s="18">
        <f>Table15[[#This Row],[Adjusted %]]*$D$84</f>
        <v>5542.2686626085133</v>
      </c>
      <c r="E80" s="18">
        <f>Table15[[#This Row],[Adjusted %]]*$E$84</f>
        <v>4112.380835409077</v>
      </c>
      <c r="F80" s="18">
        <f>Table15[[#This Row],[Adjusted %]]*$F$84</f>
        <v>4112.380835409077</v>
      </c>
      <c r="G80" s="18">
        <f>Table15[[#This Row],[Adjusted %]]*$G$84</f>
        <v>4112.380835409077</v>
      </c>
      <c r="H80" s="18">
        <f>Table15[[#This Row],[Adjusted %]]*$H$84</f>
        <v>5215.3536616522351</v>
      </c>
      <c r="I80" s="18">
        <f>Table15[[#This Row],[Adjusted %]]*$I$84</f>
        <v>5083.3936636572535</v>
      </c>
      <c r="J80" s="18">
        <f>Table15[[#This Row],[Adjusted %]]*$J$84</f>
        <v>5528.065163091931</v>
      </c>
      <c r="K80" s="18">
        <f>Table15[[#This Row],[Adjusted %]]*$K$84</f>
        <v>5525.9708785111116</v>
      </c>
      <c r="L80" s="18">
        <f>Table15[[#This Row],[Adjusted %]]*$L$84</f>
        <v>5525.9708831632679</v>
      </c>
      <c r="M80" s="18">
        <f>Table15[[#This Row],[Adjusted %]]*$M$84</f>
        <v>2672.9149589329954</v>
      </c>
      <c r="N80" s="18">
        <f>Table15[[#This Row],[Adjusted %]]*$N$84</f>
        <v>2672.9149589329954</v>
      </c>
      <c r="O80" s="18">
        <f>Table15[[#This Row],[Adjusted %]]*$O$84</f>
        <v>2672.9149589329954</v>
      </c>
      <c r="P80" s="18">
        <f>Table15[[#This Row],[Adjusted %]]*$P$84</f>
        <v>2672.9149589329954</v>
      </c>
      <c r="Q80" s="18">
        <f>Table15[[#This Row],[Adjusted %]]*$Q$84</f>
        <v>2672.9149589329954</v>
      </c>
      <c r="R80" s="18">
        <f>SUM(Table15[[#This Row],[Payment 1]:[Payment 15]])</f>
        <v>58012.659417239069</v>
      </c>
    </row>
    <row r="81" spans="1:18" x14ac:dyDescent="0.3">
      <c r="A81" t="s">
        <v>205</v>
      </c>
      <c r="B81">
        <v>1.689883461231089E-3</v>
      </c>
      <c r="C81" s="18">
        <f>Table15[[#This Row],[Adjusted %]]*$C$84</f>
        <v>-110.08079633746297</v>
      </c>
      <c r="D81" s="18">
        <f>Table15[[#This Row],[Adjusted %]]*$D$84</f>
        <v>5542.2686626085133</v>
      </c>
      <c r="E81" s="18">
        <f>Table15[[#This Row],[Adjusted %]]*$E$84</f>
        <v>4112.380835409077</v>
      </c>
      <c r="F81" s="18">
        <f>Table15[[#This Row],[Adjusted %]]*$F$84</f>
        <v>4112.380835409077</v>
      </c>
      <c r="G81" s="18">
        <f>Table15[[#This Row],[Adjusted %]]*$G$84</f>
        <v>4112.380835409077</v>
      </c>
      <c r="H81" s="18">
        <f>Table15[[#This Row],[Adjusted %]]*$H$84</f>
        <v>5215.3536616522351</v>
      </c>
      <c r="I81" s="18">
        <f>Table15[[#This Row],[Adjusted %]]*$I$84</f>
        <v>5083.3936636572535</v>
      </c>
      <c r="J81" s="18">
        <f>Table15[[#This Row],[Adjusted %]]*$J$84</f>
        <v>5528.065163091931</v>
      </c>
      <c r="K81" s="18">
        <f>Table15[[#This Row],[Adjusted %]]*$K$84</f>
        <v>5525.9708785111116</v>
      </c>
      <c r="L81" s="18">
        <f>Table15[[#This Row],[Adjusted %]]*$L$84</f>
        <v>5525.9708831632679</v>
      </c>
      <c r="M81" s="18">
        <f>Table15[[#This Row],[Adjusted %]]*$M$84</f>
        <v>2672.9149589329954</v>
      </c>
      <c r="N81" s="18">
        <f>Table15[[#This Row],[Adjusted %]]*$N$84</f>
        <v>2672.9149589329954</v>
      </c>
      <c r="O81" s="18">
        <f>Table15[[#This Row],[Adjusted %]]*$O$84</f>
        <v>2672.9149589329954</v>
      </c>
      <c r="P81" s="18">
        <f>Table15[[#This Row],[Adjusted %]]*$P$84</f>
        <v>2672.9149589329954</v>
      </c>
      <c r="Q81" s="18">
        <f>Table15[[#This Row],[Adjusted %]]*$Q$84</f>
        <v>2672.9149589329954</v>
      </c>
      <c r="R81" s="18">
        <f>SUM(Table15[[#This Row],[Payment 1]:[Payment 15]])</f>
        <v>58012.659417239069</v>
      </c>
    </row>
    <row r="82" spans="1:18" x14ac:dyDescent="0.3">
      <c r="A82" t="s">
        <v>206</v>
      </c>
      <c r="B82">
        <v>4.2247086530777227E-3</v>
      </c>
      <c r="C82" s="18">
        <f>Table15[[#This Row],[Adjusted %]]*$C$84</f>
        <v>-275.20199084365743</v>
      </c>
      <c r="D82" s="18">
        <f>Table15[[#This Row],[Adjusted %]]*$D$84</f>
        <v>13855.671656521285</v>
      </c>
      <c r="E82" s="18">
        <f>Table15[[#This Row],[Adjusted %]]*$E$84</f>
        <v>10280.952088522692</v>
      </c>
      <c r="F82" s="18">
        <f>Table15[[#This Row],[Adjusted %]]*$F$84</f>
        <v>10280.952088522692</v>
      </c>
      <c r="G82" s="18">
        <f>Table15[[#This Row],[Adjusted %]]*$G$84</f>
        <v>10280.952088522692</v>
      </c>
      <c r="H82" s="18">
        <f>Table15[[#This Row],[Adjusted %]]*$H$84</f>
        <v>13038.384154130588</v>
      </c>
      <c r="I82" s="18">
        <f>Table15[[#This Row],[Adjusted %]]*$I$84</f>
        <v>12708.484159143134</v>
      </c>
      <c r="J82" s="18">
        <f>Table15[[#This Row],[Adjusted %]]*$J$84</f>
        <v>13820.162907729828</v>
      </c>
      <c r="K82" s="18">
        <f>Table15[[#This Row],[Adjusted %]]*$K$84</f>
        <v>13814.927196277778</v>
      </c>
      <c r="L82" s="18">
        <f>Table15[[#This Row],[Adjusted %]]*$L$84</f>
        <v>13814.927207908171</v>
      </c>
      <c r="M82" s="18">
        <f>Table15[[#This Row],[Adjusted %]]*$M$84</f>
        <v>6682.2873973324895</v>
      </c>
      <c r="N82" s="18">
        <f>Table15[[#This Row],[Adjusted %]]*$N$84</f>
        <v>6682.2873973324895</v>
      </c>
      <c r="O82" s="18">
        <f>Table15[[#This Row],[Adjusted %]]*$O$84</f>
        <v>6682.2873973324895</v>
      </c>
      <c r="P82" s="18">
        <f>Table15[[#This Row],[Adjusted %]]*$P$84</f>
        <v>6682.2873973324895</v>
      </c>
      <c r="Q82" s="18">
        <f>Table15[[#This Row],[Adjusted %]]*$Q$84</f>
        <v>6682.2873973324895</v>
      </c>
      <c r="R82" s="18">
        <f>SUM(Table15[[#This Row],[Payment 1]:[Payment 15]])</f>
        <v>145031.64854309766</v>
      </c>
    </row>
    <row r="84" spans="1:18" s="16" customFormat="1" x14ac:dyDescent="0.3">
      <c r="A84" s="16" t="s">
        <v>6</v>
      </c>
      <c r="C84" s="34">
        <f>'Pharmacies Breakdown'!F2</f>
        <v>-65141.057867545809</v>
      </c>
      <c r="D84" s="34">
        <f>'Pharmacies Breakdown'!F3</f>
        <v>3279675.0721324543</v>
      </c>
      <c r="E84" s="34">
        <f>'Pharmacies Breakdown'!F4</f>
        <v>2433529.2520190626</v>
      </c>
      <c r="F84" s="34">
        <f>'Pharmacies Breakdown'!F5</f>
        <v>2433529.2520190626</v>
      </c>
      <c r="G84" s="34">
        <f>'Pharmacies Breakdown'!F6</f>
        <v>2433529.2520190626</v>
      </c>
      <c r="H84" s="34">
        <f>'Pharmacies Breakdown'!F7</f>
        <v>3086220.9029803881</v>
      </c>
      <c r="I84" s="34">
        <f>'Pharmacies Breakdown'!F8</f>
        <v>3008132.6791339647</v>
      </c>
      <c r="J84" s="34">
        <f>'Pharmacies Breakdown'!F9</f>
        <v>3271270.0549567519</v>
      </c>
      <c r="K84" s="34">
        <f>'Pharmacies Breakdown'!F10</f>
        <v>3270030.7478513415</v>
      </c>
      <c r="L84" s="34">
        <f>'Pharmacies Breakdown'!F11</f>
        <v>3270030.7506042868</v>
      </c>
      <c r="M84" s="34">
        <f>'Pharmacies Breakdown'!F12</f>
        <v>1581715.5562820663</v>
      </c>
      <c r="N84" s="34">
        <f>'Pharmacies Breakdown'!F13</f>
        <v>1581715.5562820663</v>
      </c>
      <c r="O84" s="34">
        <f>'Pharmacies Breakdown'!F14</f>
        <v>1581715.5562820663</v>
      </c>
      <c r="P84" s="34">
        <f>'Pharmacies Breakdown'!F15</f>
        <v>1581715.5562820663</v>
      </c>
      <c r="Q84" s="34">
        <f>'Pharmacies Breakdown'!F16</f>
        <v>1581715.5562820663</v>
      </c>
      <c r="R84" s="34">
        <f>SUM(C84:Q84)</f>
        <v>34329384.68725916</v>
      </c>
    </row>
    <row r="86" spans="1:18" x14ac:dyDescent="0.3">
      <c r="A86" t="s">
        <v>231</v>
      </c>
    </row>
    <row r="87" spans="1:18" x14ac:dyDescent="0.3">
      <c r="C87" s="7"/>
      <c r="D87" s="7"/>
      <c r="E87" s="7"/>
      <c r="F87" s="7"/>
      <c r="G87" s="7"/>
      <c r="H87" s="7"/>
      <c r="I87" s="7"/>
      <c r="J87" s="7"/>
      <c r="K87" s="7"/>
      <c r="L87" s="7"/>
      <c r="M87" s="7"/>
      <c r="N87" s="7"/>
      <c r="O87" s="7"/>
      <c r="P87" s="7"/>
      <c r="Q87" s="7"/>
      <c r="R87" s="7"/>
    </row>
    <row r="90" spans="1:18" x14ac:dyDescent="0.3">
      <c r="C90" s="18"/>
      <c r="D90" s="18"/>
      <c r="E90" s="18"/>
      <c r="F90" s="18"/>
      <c r="G90" s="18"/>
      <c r="H90" s="18"/>
      <c r="I90" s="18"/>
      <c r="J90" s="18"/>
      <c r="K90" s="18"/>
      <c r="L90" s="18"/>
      <c r="M90" s="18"/>
      <c r="N90" s="18"/>
      <c r="O90" s="18"/>
      <c r="P90" s="18"/>
      <c r="Q90" s="18"/>
      <c r="R90" s="18"/>
    </row>
    <row r="91" spans="1:18" x14ac:dyDescent="0.3">
      <c r="C91" s="18"/>
      <c r="D91" s="18"/>
      <c r="E91" s="18"/>
      <c r="F91" s="18"/>
      <c r="G91" s="18"/>
      <c r="H91" s="18"/>
      <c r="I91" s="18"/>
      <c r="J91" s="18"/>
      <c r="K91" s="18"/>
      <c r="L91" s="18"/>
      <c r="M91" s="18"/>
      <c r="N91" s="18"/>
      <c r="O91" s="18"/>
      <c r="P91" s="18"/>
      <c r="Q91" s="18"/>
      <c r="R91" s="18"/>
    </row>
  </sheetData>
  <pageMargins left="0.7" right="0.7" top="0.75" bottom="0.75" header="0.3" footer="0.3"/>
  <pageSetup orientation="portrait" horizontalDpi="200" verticalDpi="200" r:id="rId1"/>
  <customProperties>
    <customPr name="OrphanNamesChecked" r:id="rId2"/>
  </customProperties>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3"/>
  <sheetViews>
    <sheetView topLeftCell="A64" workbookViewId="0">
      <selection activeCell="B68" sqref="B68"/>
    </sheetView>
  </sheetViews>
  <sheetFormatPr defaultRowHeight="14.4" x14ac:dyDescent="0.3"/>
  <cols>
    <col min="1" max="1" width="21" customWidth="1"/>
    <col min="2" max="2" width="21.109375" customWidth="1"/>
    <col min="3" max="9" width="16.6640625" customWidth="1"/>
  </cols>
  <sheetData>
    <row r="1" spans="1:9" x14ac:dyDescent="0.3">
      <c r="A1" t="s">
        <v>117</v>
      </c>
      <c r="B1" t="s">
        <v>223</v>
      </c>
      <c r="C1" t="s">
        <v>93</v>
      </c>
      <c r="D1" t="s">
        <v>94</v>
      </c>
      <c r="E1" t="s">
        <v>224</v>
      </c>
      <c r="F1" t="s">
        <v>96</v>
      </c>
      <c r="G1" t="s">
        <v>97</v>
      </c>
      <c r="H1" t="s">
        <v>98</v>
      </c>
      <c r="I1" t="s">
        <v>6</v>
      </c>
    </row>
    <row r="2" spans="1:9" x14ac:dyDescent="0.3">
      <c r="A2" t="s">
        <v>119</v>
      </c>
      <c r="B2">
        <v>8.3142266294694706E-3</v>
      </c>
      <c r="C2" s="18">
        <f>Table11[[#This Row],[Adjusted Walmart %]]*$C$85</f>
        <v>139338.76703998621</v>
      </c>
      <c r="D2" s="36">
        <f>Table11[[#This Row],[Adjusted Walmart %]]*$D$85</f>
        <v>0</v>
      </c>
      <c r="E2" s="18">
        <f>Table11[[#This Row],[Adjusted Walmart %]]*$E$85</f>
        <v>727.43173307809639</v>
      </c>
      <c r="F2" s="18">
        <f>Table11[[#This Row],[Adjusted Walmart %]]*$F$85</f>
        <v>727.43173307809639</v>
      </c>
      <c r="G2" s="18">
        <f>Table11[[#This Row],[Adjusted Walmart %]]*$G$85</f>
        <v>727.43173307809639</v>
      </c>
      <c r="H2" s="18">
        <f>Table11[[#This Row],[Adjusted Walmart %]]*$H$85</f>
        <v>1150.9995776552159</v>
      </c>
      <c r="I2" s="18">
        <f>SUM(Table11[[#This Row],[Payment 1]:[Payment 6]])</f>
        <v>142672.06181687571</v>
      </c>
    </row>
    <row r="3" spans="1:9" x14ac:dyDescent="0.3">
      <c r="A3" t="s">
        <v>121</v>
      </c>
      <c r="B3">
        <v>9.6106003945796964E-2</v>
      </c>
      <c r="C3" s="18">
        <f>Table11[[#This Row],[Adjusted Walmart %]]*$C$85</f>
        <v>1610647.9522079006</v>
      </c>
      <c r="D3" s="36">
        <f>Table11[[#This Row],[Adjusted Walmart %]]*$D$85</f>
        <v>0</v>
      </c>
      <c r="E3" s="18">
        <f>Table11[[#This Row],[Adjusted Walmart %]]*$E$85</f>
        <v>8408.5459929256758</v>
      </c>
      <c r="F3" s="18">
        <f>Table11[[#This Row],[Adjusted Walmart %]]*$F$85</f>
        <v>8408.5459929256758</v>
      </c>
      <c r="G3" s="18">
        <f>Table11[[#This Row],[Adjusted Walmart %]]*$G$85</f>
        <v>8408.5459929256758</v>
      </c>
      <c r="H3" s="18">
        <f>Table11[[#This Row],[Adjusted Walmart %]]*$H$85</f>
        <v>13304.661381211512</v>
      </c>
      <c r="I3" s="18">
        <f>SUM(Table11[[#This Row],[Payment 1]:[Payment 6]])</f>
        <v>1649178.2515678895</v>
      </c>
    </row>
    <row r="4" spans="1:9" x14ac:dyDescent="0.3">
      <c r="A4" t="s">
        <v>123</v>
      </c>
      <c r="B4">
        <v>5.038084315155518E-3</v>
      </c>
      <c r="C4" s="18">
        <f>Table11[[#This Row],[Adjusted Walmart %]]*$C$85</f>
        <v>84433.644643393331</v>
      </c>
      <c r="D4" s="36">
        <f>Table11[[#This Row],[Adjusted Walmart %]]*$D$85</f>
        <v>0</v>
      </c>
      <c r="E4" s="18">
        <f>Table11[[#This Row],[Adjusted Walmart %]]*$E$85</f>
        <v>440.79414335149141</v>
      </c>
      <c r="F4" s="18">
        <f>Table11[[#This Row],[Adjusted Walmart %]]*$F$85</f>
        <v>440.79414335149141</v>
      </c>
      <c r="G4" s="18">
        <f>Table11[[#This Row],[Adjusted Walmart %]]*$G$85</f>
        <v>440.79414335149141</v>
      </c>
      <c r="H4" s="18">
        <f>Table11[[#This Row],[Adjusted Walmart %]]*$H$85</f>
        <v>697.4590875814738</v>
      </c>
      <c r="I4" s="18">
        <f>SUM(Table11[[#This Row],[Payment 1]:[Payment 6]])</f>
        <v>86453.486161029286</v>
      </c>
    </row>
    <row r="5" spans="1:9" x14ac:dyDescent="0.3">
      <c r="A5" t="s">
        <v>124</v>
      </c>
      <c r="B5">
        <v>1.2927199625886778E-2</v>
      </c>
      <c r="C5" s="18">
        <f>Table11[[#This Row],[Adjusted Walmart %]]*$C$85</f>
        <v>216647.93821788963</v>
      </c>
      <c r="D5" s="36">
        <f>Table11[[#This Row],[Adjusted Walmart %]]*$D$85</f>
        <v>0</v>
      </c>
      <c r="E5" s="18">
        <f>Table11[[#This Row],[Adjusted Walmart %]]*$E$85</f>
        <v>1131.0318622269003</v>
      </c>
      <c r="F5" s="18">
        <f>Table11[[#This Row],[Adjusted Walmart %]]*$F$85</f>
        <v>1131.0318622269003</v>
      </c>
      <c r="G5" s="18">
        <f>Table11[[#This Row],[Adjusted Walmart %]]*$G$85</f>
        <v>1131.0318622269003</v>
      </c>
      <c r="H5" s="18">
        <f>Table11[[#This Row],[Adjusted Walmart %]]*$H$85</f>
        <v>1789.6073769412978</v>
      </c>
      <c r="I5" s="18">
        <f>SUM(Table11[[#This Row],[Payment 1]:[Payment 6]])</f>
        <v>221830.64118151163</v>
      </c>
    </row>
    <row r="6" spans="1:9" x14ac:dyDescent="0.3">
      <c r="A6" t="s">
        <v>125</v>
      </c>
      <c r="B6">
        <v>3.6562576262569647E-3</v>
      </c>
      <c r="C6" s="18">
        <f>Table11[[#This Row],[Adjusted Walmart %]]*$C$85</f>
        <v>61275.504304565802</v>
      </c>
      <c r="D6" s="36">
        <f>Table11[[#This Row],[Adjusted Walmart %]]*$D$85</f>
        <v>0</v>
      </c>
      <c r="E6" s="18">
        <f>Table11[[#This Row],[Adjusted Walmart %]]*$E$85</f>
        <v>319.89479481121919</v>
      </c>
      <c r="F6" s="18">
        <f>Table11[[#This Row],[Adjusted Walmart %]]*$F$85</f>
        <v>319.89479481121919</v>
      </c>
      <c r="G6" s="18">
        <f>Table11[[#This Row],[Adjusted Walmart %]]*$G$85</f>
        <v>319.89479481121919</v>
      </c>
      <c r="H6" s="18">
        <f>Table11[[#This Row],[Adjusted Walmart %]]*$H$85</f>
        <v>506.1626500177519</v>
      </c>
      <c r="I6" s="18">
        <f>SUM(Table11[[#This Row],[Payment 1]:[Payment 6]])</f>
        <v>62741.351339017208</v>
      </c>
    </row>
    <row r="7" spans="1:9" x14ac:dyDescent="0.3">
      <c r="A7" t="s">
        <v>126</v>
      </c>
      <c r="B7">
        <v>4.7805624179029158E-3</v>
      </c>
      <c r="C7" s="18">
        <f>Table11[[#This Row],[Adjusted Walmart %]]*$C$85</f>
        <v>80117.815252624699</v>
      </c>
      <c r="D7" s="36">
        <f>Table11[[#This Row],[Adjusted Walmart %]]*$D$85</f>
        <v>0</v>
      </c>
      <c r="E7" s="18">
        <f>Table11[[#This Row],[Adjusted Walmart %]]*$E$85</f>
        <v>418.26293168593048</v>
      </c>
      <c r="F7" s="18">
        <f>Table11[[#This Row],[Adjusted Walmart %]]*$F$85</f>
        <v>418.26293168593048</v>
      </c>
      <c r="G7" s="18">
        <f>Table11[[#This Row],[Adjusted Walmart %]]*$G$85</f>
        <v>418.26293168593048</v>
      </c>
      <c r="H7" s="18">
        <f>Table11[[#This Row],[Adjusted Walmart %]]*$H$85</f>
        <v>661.80843621191525</v>
      </c>
      <c r="I7" s="18">
        <f>SUM(Table11[[#This Row],[Payment 1]:[Payment 6]])</f>
        <v>82034.412483894383</v>
      </c>
    </row>
    <row r="8" spans="1:9" x14ac:dyDescent="0.3">
      <c r="A8" t="s">
        <v>127</v>
      </c>
      <c r="B8">
        <v>4.6084200574595157E-3</v>
      </c>
      <c r="C8" s="18">
        <f>Table11[[#This Row],[Adjusted Walmart %]]*$C$85</f>
        <v>77232.868121821404</v>
      </c>
      <c r="D8" s="36">
        <f>Table11[[#This Row],[Adjusted Walmart %]]*$D$85</f>
        <v>0</v>
      </c>
      <c r="E8" s="18">
        <f>Table11[[#This Row],[Adjusted Walmart %]]*$E$85</f>
        <v>403.20178154243393</v>
      </c>
      <c r="F8" s="18">
        <f>Table11[[#This Row],[Adjusted Walmart %]]*$F$85</f>
        <v>403.20178154243393</v>
      </c>
      <c r="G8" s="18">
        <f>Table11[[#This Row],[Adjusted Walmart %]]*$G$85</f>
        <v>403.20178154243393</v>
      </c>
      <c r="H8" s="18">
        <f>Table11[[#This Row],[Adjusted Walmart %]]*$H$85</f>
        <v>637.97750244055999</v>
      </c>
      <c r="I8" s="18">
        <f>SUM(Table11[[#This Row],[Payment 1]:[Payment 6]])</f>
        <v>79080.450968889258</v>
      </c>
    </row>
    <row r="9" spans="1:9" x14ac:dyDescent="0.3">
      <c r="A9" t="s">
        <v>128</v>
      </c>
      <c r="B9">
        <v>4.231515024777757E-3</v>
      </c>
      <c r="C9" s="18">
        <f>Table11[[#This Row],[Adjusted Walmart %]]*$C$85</f>
        <v>70916.287532245493</v>
      </c>
      <c r="D9" s="36">
        <f>Table11[[#This Row],[Adjusted Walmart %]]*$D$85</f>
        <v>0</v>
      </c>
      <c r="E9" s="18">
        <f>Table11[[#This Row],[Adjusted Walmart %]]*$E$85</f>
        <v>370.22545153024095</v>
      </c>
      <c r="F9" s="18">
        <f>Table11[[#This Row],[Adjusted Walmart %]]*$F$85</f>
        <v>370.22545153024095</v>
      </c>
      <c r="G9" s="18">
        <f>Table11[[#This Row],[Adjusted Walmart %]]*$G$85</f>
        <v>370.22545153024095</v>
      </c>
      <c r="H9" s="18">
        <f>Table11[[#This Row],[Adjusted Walmart %]]*$H$85</f>
        <v>585.79976507949516</v>
      </c>
      <c r="I9" s="18">
        <f>SUM(Table11[[#This Row],[Payment 1]:[Payment 6]])</f>
        <v>72612.763651915695</v>
      </c>
    </row>
    <row r="10" spans="1:9" x14ac:dyDescent="0.3">
      <c r="A10" t="s">
        <v>129</v>
      </c>
      <c r="B10">
        <v>4.9685972069801063E-2</v>
      </c>
      <c r="C10" s="18">
        <f>Table11[[#This Row],[Adjusted Walmart %]]*$C$85</f>
        <v>832691.04823896755</v>
      </c>
      <c r="D10" s="36">
        <f>Table11[[#This Row],[Adjusted Walmart %]]*$D$85</f>
        <v>0</v>
      </c>
      <c r="E10" s="18">
        <f>Table11[[#This Row],[Adjusted Walmart %]]*$E$85</f>
        <v>4347.1454872660324</v>
      </c>
      <c r="F10" s="18">
        <f>Table11[[#This Row],[Adjusted Walmart %]]*$F$85</f>
        <v>4347.1454872660324</v>
      </c>
      <c r="G10" s="18">
        <f>Table11[[#This Row],[Adjusted Walmart %]]*$G$85</f>
        <v>4347.1454872660324</v>
      </c>
      <c r="H10" s="18">
        <f>Table11[[#This Row],[Adjusted Walmart %]]*$H$85</f>
        <v>6878.3947583323288</v>
      </c>
      <c r="I10" s="18">
        <f>SUM(Table11[[#This Row],[Payment 1]:[Payment 6]])</f>
        <v>852610.87945909787</v>
      </c>
    </row>
    <row r="11" spans="1:9" x14ac:dyDescent="0.3">
      <c r="A11" t="s">
        <v>130</v>
      </c>
      <c r="B11">
        <v>1.0257225505848823E-2</v>
      </c>
      <c r="C11" s="18">
        <f>Table11[[#This Row],[Adjusted Walmart %]]*$C$85</f>
        <v>171901.63546543507</v>
      </c>
      <c r="D11" s="36">
        <f>Table11[[#This Row],[Adjusted Walmart %]]*$D$85</f>
        <v>0</v>
      </c>
      <c r="E11" s="18">
        <f>Table11[[#This Row],[Adjusted Walmart %]]*$E$85</f>
        <v>897.42938926462443</v>
      </c>
      <c r="F11" s="18">
        <f>Table11[[#This Row],[Adjusted Walmart %]]*$F$85</f>
        <v>897.42938926462443</v>
      </c>
      <c r="G11" s="18">
        <f>Table11[[#This Row],[Adjusted Walmart %]]*$G$85</f>
        <v>897.42938926462443</v>
      </c>
      <c r="H11" s="18">
        <f>Table11[[#This Row],[Adjusted Walmart %]]*$H$85</f>
        <v>1419.9832108617475</v>
      </c>
      <c r="I11" s="18">
        <f>SUM(Table11[[#This Row],[Payment 1]:[Payment 6]])</f>
        <v>176013.90684409073</v>
      </c>
    </row>
    <row r="12" spans="1:9" x14ac:dyDescent="0.3">
      <c r="A12" t="s">
        <v>131</v>
      </c>
      <c r="B12">
        <v>4.9759132572989523E-3</v>
      </c>
      <c r="C12" s="18">
        <f>Table11[[#This Row],[Adjusted Walmart %]]*$C$85</f>
        <v>83391.715076955923</v>
      </c>
      <c r="D12" s="36">
        <f>Table11[[#This Row],[Adjusted Walmart %]]*$D$85</f>
        <v>0</v>
      </c>
      <c r="E12" s="18">
        <f>Table11[[#This Row],[Adjusted Walmart %]]*$E$85</f>
        <v>435.35464760770196</v>
      </c>
      <c r="F12" s="18">
        <f>Table11[[#This Row],[Adjusted Walmart %]]*$F$85</f>
        <v>435.35464760770196</v>
      </c>
      <c r="G12" s="18">
        <f>Table11[[#This Row],[Adjusted Walmart %]]*$G$85</f>
        <v>435.35464760770196</v>
      </c>
      <c r="H12" s="18">
        <f>Table11[[#This Row],[Adjusted Walmart %]]*$H$85</f>
        <v>688.8522905185157</v>
      </c>
      <c r="I12" s="18">
        <f>SUM(Table11[[#This Row],[Payment 1]:[Payment 6]])</f>
        <v>85386.63131029754</v>
      </c>
    </row>
    <row r="13" spans="1:9" x14ac:dyDescent="0.3">
      <c r="A13" t="s">
        <v>132</v>
      </c>
      <c r="B13">
        <v>0</v>
      </c>
      <c r="C13" s="18">
        <f>Table11[[#This Row],[Adjusted Walmart %]]*$C$85</f>
        <v>0</v>
      </c>
      <c r="D13" s="36">
        <f>Table11[[#This Row],[Adjusted Walmart %]]*$D$85</f>
        <v>0</v>
      </c>
      <c r="E13" s="18">
        <f>Table11[[#This Row],[Adjusted Walmart %]]*$E$85</f>
        <v>0</v>
      </c>
      <c r="F13" s="18">
        <f>Table11[[#This Row],[Adjusted Walmart %]]*$F$85</f>
        <v>0</v>
      </c>
      <c r="G13" s="18">
        <f>Table11[[#This Row],[Adjusted Walmart %]]*$G$85</f>
        <v>0</v>
      </c>
      <c r="H13" s="18">
        <f>Table11[[#This Row],[Adjusted Walmart %]]*$H$85</f>
        <v>0</v>
      </c>
      <c r="I13" s="18">
        <f>SUM(Table11[[#This Row],[Payment 1]:[Payment 6]])</f>
        <v>0</v>
      </c>
    </row>
    <row r="14" spans="1:9" x14ac:dyDescent="0.3">
      <c r="A14" t="s">
        <v>133</v>
      </c>
      <c r="B14">
        <v>2.8619435916395655E-3</v>
      </c>
      <c r="C14" s="18">
        <f>Table11[[#This Row],[Adjusted Walmart %]]*$C$85</f>
        <v>47963.533972430683</v>
      </c>
      <c r="D14" s="36">
        <f>Table11[[#This Row],[Adjusted Walmart %]]*$D$85</f>
        <v>0</v>
      </c>
      <c r="E14" s="18">
        <f>Table11[[#This Row],[Adjusted Walmart %]]*$E$85</f>
        <v>250.39834486337122</v>
      </c>
      <c r="F14" s="18">
        <f>Table11[[#This Row],[Adjusted Walmart %]]*$F$85</f>
        <v>250.39834486337122</v>
      </c>
      <c r="G14" s="18">
        <f>Table11[[#This Row],[Adjusted Walmart %]]*$G$85</f>
        <v>250.39834486337122</v>
      </c>
      <c r="H14" s="18">
        <f>Table11[[#This Row],[Adjusted Walmart %]]*$H$85</f>
        <v>396.19991275849878</v>
      </c>
      <c r="I14" s="18">
        <f>SUM(Table11[[#This Row],[Payment 1]:[Payment 6]])</f>
        <v>49110.928919779304</v>
      </c>
    </row>
    <row r="15" spans="1:9" x14ac:dyDescent="0.3">
      <c r="A15" t="s">
        <v>135</v>
      </c>
      <c r="B15">
        <v>2.8780050886630794E-3</v>
      </c>
      <c r="C15" s="18">
        <f>Table11[[#This Row],[Adjusted Walmart %]]*$C$85</f>
        <v>48232.709843117249</v>
      </c>
      <c r="D15" s="36">
        <f>Table11[[#This Row],[Adjusted Walmart %]]*$D$85</f>
        <v>0</v>
      </c>
      <c r="E15" s="18">
        <f>Table11[[#This Row],[Adjusted Walmart %]]*$E$85</f>
        <v>251.80360396158142</v>
      </c>
      <c r="F15" s="18">
        <f>Table11[[#This Row],[Adjusted Walmart %]]*$F$85</f>
        <v>251.80360396158142</v>
      </c>
      <c r="G15" s="18">
        <f>Table11[[#This Row],[Adjusted Walmart %]]*$G$85</f>
        <v>251.80360396158142</v>
      </c>
      <c r="H15" s="18">
        <f>Table11[[#This Row],[Adjusted Walmart %]]*$H$85</f>
        <v>398.42342398984403</v>
      </c>
      <c r="I15" s="18">
        <f>SUM(Table11[[#This Row],[Payment 1]:[Payment 6]])</f>
        <v>49386.544078991843</v>
      </c>
    </row>
    <row r="16" spans="1:9" x14ac:dyDescent="0.3">
      <c r="A16" t="s">
        <v>136</v>
      </c>
      <c r="B16">
        <v>2.0785566573673711E-3</v>
      </c>
      <c r="C16" s="18">
        <f>Table11[[#This Row],[Adjusted Walmart %]]*$C$85</f>
        <v>34834.691759996611</v>
      </c>
      <c r="D16" s="36">
        <f>Table11[[#This Row],[Adjusted Walmart %]]*$D$85</f>
        <v>0</v>
      </c>
      <c r="E16" s="18">
        <f>Table11[[#This Row],[Adjusted Walmart %]]*$E$85</f>
        <v>181.85793326952441</v>
      </c>
      <c r="F16" s="18">
        <f>Table11[[#This Row],[Adjusted Walmart %]]*$F$85</f>
        <v>181.85793326952441</v>
      </c>
      <c r="G16" s="18">
        <f>Table11[[#This Row],[Adjusted Walmart %]]*$G$85</f>
        <v>181.85793326952441</v>
      </c>
      <c r="H16" s="18">
        <f>Table11[[#This Row],[Adjusted Walmart %]]*$H$85</f>
        <v>287.74989441380444</v>
      </c>
      <c r="I16" s="18">
        <f>SUM(Table11[[#This Row],[Payment 1]:[Payment 6]])</f>
        <v>35668.015454218985</v>
      </c>
    </row>
    <row r="17" spans="1:9" x14ac:dyDescent="0.3">
      <c r="A17" t="s">
        <v>137</v>
      </c>
      <c r="B17">
        <v>4.9742225734017396E-3</v>
      </c>
      <c r="C17" s="18">
        <f>Table11[[#This Row],[Adjusted Walmart %]]*$C$85</f>
        <v>83363.380774778372</v>
      </c>
      <c r="D17" s="36">
        <f>Table11[[#This Row],[Adjusted Walmart %]]*$D$85</f>
        <v>0</v>
      </c>
      <c r="E17" s="18">
        <f>Table11[[#This Row],[Adjusted Walmart %]]*$E$85</f>
        <v>435.20672559736397</v>
      </c>
      <c r="F17" s="18">
        <f>Table11[[#This Row],[Adjusted Walmart %]]*$F$85</f>
        <v>435.20672559736397</v>
      </c>
      <c r="G17" s="18">
        <f>Table11[[#This Row],[Adjusted Walmart %]]*$G$85</f>
        <v>435.20672559736397</v>
      </c>
      <c r="H17" s="18">
        <f>Table11[[#This Row],[Adjusted Walmart %]]*$H$85</f>
        <v>688.61823670468982</v>
      </c>
      <c r="I17" s="18">
        <f>SUM(Table11[[#This Row],[Payment 1]:[Payment 6]])</f>
        <v>85357.619188275159</v>
      </c>
    </row>
    <row r="18" spans="1:9" x14ac:dyDescent="0.3">
      <c r="A18" t="s">
        <v>139</v>
      </c>
      <c r="B18">
        <v>2.2009707220245513E-2</v>
      </c>
      <c r="C18" s="18">
        <f>Table11[[#This Row],[Adjusted Walmart %]]*$C$85</f>
        <v>368862.38536124484</v>
      </c>
      <c r="D18" s="36">
        <f>Table11[[#This Row],[Adjusted Walmart %]]*$D$85</f>
        <v>0</v>
      </c>
      <c r="E18" s="18">
        <f>Table11[[#This Row],[Adjusted Walmart %]]*$E$85</f>
        <v>1925.6823492176466</v>
      </c>
      <c r="F18" s="18">
        <f>Table11[[#This Row],[Adjusted Walmart %]]*$F$85</f>
        <v>1925.6823492176466</v>
      </c>
      <c r="G18" s="18">
        <f>Table11[[#This Row],[Adjusted Walmart %]]*$G$85</f>
        <v>1925.6823492176466</v>
      </c>
      <c r="H18" s="18">
        <f>Table11[[#This Row],[Adjusted Walmart %]]*$H$85</f>
        <v>3046.9657424329853</v>
      </c>
      <c r="I18" s="18">
        <f>SUM(Table11[[#This Row],[Payment 1]:[Payment 6]])</f>
        <v>377686.39815133077</v>
      </c>
    </row>
    <row r="19" spans="1:9" x14ac:dyDescent="0.3">
      <c r="A19" t="s">
        <v>140</v>
      </c>
      <c r="B19">
        <v>4.432896329221693E-2</v>
      </c>
      <c r="C19" s="18">
        <f>Table11[[#This Row],[Adjusted Walmart %]]*$C$85</f>
        <v>742912.52386663074</v>
      </c>
      <c r="D19" s="36">
        <f>Table11[[#This Row],[Adjusted Walmart %]]*$D$85</f>
        <v>0</v>
      </c>
      <c r="E19" s="18">
        <f>Table11[[#This Row],[Adjusted Walmart %]]*$E$85</f>
        <v>3878.4478737826171</v>
      </c>
      <c r="F19" s="18">
        <f>Table11[[#This Row],[Adjusted Walmart %]]*$F$85</f>
        <v>3878.4478737826171</v>
      </c>
      <c r="G19" s="18">
        <f>Table11[[#This Row],[Adjusted Walmart %]]*$G$85</f>
        <v>3878.4478737826171</v>
      </c>
      <c r="H19" s="18">
        <f>Table11[[#This Row],[Adjusted Walmart %]]*$H$85</f>
        <v>6136.7846104155333</v>
      </c>
      <c r="I19" s="18">
        <f>SUM(Table11[[#This Row],[Payment 1]:[Payment 6]])</f>
        <v>760684.65209839412</v>
      </c>
    </row>
    <row r="20" spans="1:9" x14ac:dyDescent="0.3">
      <c r="A20" t="s">
        <v>141</v>
      </c>
      <c r="B20">
        <v>0</v>
      </c>
      <c r="C20" s="18">
        <f>Table11[[#This Row],[Adjusted Walmart %]]*$C$85</f>
        <v>0</v>
      </c>
      <c r="D20" s="36">
        <f>Table11[[#This Row],[Adjusted Walmart %]]*$D$85</f>
        <v>0</v>
      </c>
      <c r="E20" s="18">
        <f>Table11[[#This Row],[Adjusted Walmart %]]*$E$85</f>
        <v>0</v>
      </c>
      <c r="F20" s="18">
        <f>Table11[[#This Row],[Adjusted Walmart %]]*$F$85</f>
        <v>0</v>
      </c>
      <c r="G20" s="18">
        <f>Table11[[#This Row],[Adjusted Walmart %]]*$G$85</f>
        <v>0</v>
      </c>
      <c r="H20" s="18">
        <f>Table11[[#This Row],[Adjusted Walmart %]]*$H$85</f>
        <v>0</v>
      </c>
      <c r="I20" s="18">
        <f>SUM(Table11[[#This Row],[Payment 1]:[Payment 6]])</f>
        <v>0</v>
      </c>
    </row>
    <row r="21" spans="1:9" x14ac:dyDescent="0.3">
      <c r="A21" t="s">
        <v>219</v>
      </c>
      <c r="B21">
        <v>7.8789999835413467E-3</v>
      </c>
      <c r="C21" s="18">
        <f>Table11[[#This Row],[Adjusted Walmart %]]*$C$85</f>
        <v>132044.7700238809</v>
      </c>
      <c r="D21" s="36">
        <f>Table11[[#This Row],[Adjusted Walmart %]]*$D$85</f>
        <v>0</v>
      </c>
      <c r="E21" s="18">
        <f>Table11[[#This Row],[Adjusted Walmart %]]*$E$85</f>
        <v>689.3527045119165</v>
      </c>
      <c r="F21" s="18">
        <f>Table11[[#This Row],[Adjusted Walmart %]]*$F$85</f>
        <v>689.3527045119165</v>
      </c>
      <c r="G21" s="18">
        <f>Table11[[#This Row],[Adjusted Walmart %]]*$G$85</f>
        <v>689.3527045119165</v>
      </c>
      <c r="H21" s="18">
        <f>Table11[[#This Row],[Adjusted Walmart %]]*$H$85</f>
        <v>1090.7479501770831</v>
      </c>
      <c r="I21" s="18">
        <f>SUM(Table11[[#This Row],[Payment 1]:[Payment 6]])</f>
        <v>135203.57608759377</v>
      </c>
    </row>
    <row r="22" spans="1:9" x14ac:dyDescent="0.3">
      <c r="A22" t="s">
        <v>142</v>
      </c>
      <c r="B22">
        <v>2.0086801200497714E-2</v>
      </c>
      <c r="C22" s="18">
        <f>Table11[[#This Row],[Adjusted Walmart %]]*$C$85</f>
        <v>336636.25467390724</v>
      </c>
      <c r="D22" s="36">
        <f>Table11[[#This Row],[Adjusted Walmart %]]*$D$85</f>
        <v>0</v>
      </c>
      <c r="E22" s="18">
        <f>Table11[[#This Row],[Adjusted Walmart %]]*$E$85</f>
        <v>1757.442665500882</v>
      </c>
      <c r="F22" s="18">
        <f>Table11[[#This Row],[Adjusted Walmart %]]*$F$85</f>
        <v>1757.442665500882</v>
      </c>
      <c r="G22" s="18">
        <f>Table11[[#This Row],[Adjusted Walmart %]]*$G$85</f>
        <v>1757.442665500882</v>
      </c>
      <c r="H22" s="18">
        <f>Table11[[#This Row],[Adjusted Walmart %]]*$H$85</f>
        <v>2780.7637112355728</v>
      </c>
      <c r="I22" s="18">
        <f>SUM(Table11[[#This Row],[Payment 1]:[Payment 6]])</f>
        <v>344689.34638164536</v>
      </c>
    </row>
    <row r="23" spans="1:9" x14ac:dyDescent="0.3">
      <c r="A23" t="s">
        <v>143</v>
      </c>
      <c r="B23">
        <v>3.0283107281507925E-2</v>
      </c>
      <c r="C23" s="18">
        <f>Table11[[#This Row],[Adjusted Walmart %]]*$C$85</f>
        <v>507516.93678744423</v>
      </c>
      <c r="D23" s="36">
        <f>Table11[[#This Row],[Adjusted Walmart %]]*$D$85</f>
        <v>0</v>
      </c>
      <c r="E23" s="18">
        <f>Table11[[#This Row],[Adjusted Walmart %]]*$E$85</f>
        <v>2649.5420674120946</v>
      </c>
      <c r="F23" s="18">
        <f>Table11[[#This Row],[Adjusted Walmart %]]*$F$85</f>
        <v>2649.5420674120946</v>
      </c>
      <c r="G23" s="18">
        <f>Table11[[#This Row],[Adjusted Walmart %]]*$G$85</f>
        <v>2649.5420674120946</v>
      </c>
      <c r="H23" s="18">
        <f>Table11[[#This Row],[Adjusted Walmart %]]*$H$85</f>
        <v>4192.3133978039468</v>
      </c>
      <c r="I23" s="18">
        <f>SUM(Table11[[#This Row],[Payment 1]:[Payment 6]])</f>
        <v>519657.87638748449</v>
      </c>
    </row>
    <row r="24" spans="1:9" x14ac:dyDescent="0.3">
      <c r="A24" t="s">
        <v>220</v>
      </c>
      <c r="B24">
        <v>9.0756393532736204E-3</v>
      </c>
      <c r="C24" s="18">
        <f>Table11[[#This Row],[Adjusted Walmart %]]*$C$85</f>
        <v>152099.34175987419</v>
      </c>
      <c r="D24" s="36">
        <f>Table11[[#This Row],[Adjusted Walmart %]]*$D$85</f>
        <v>0</v>
      </c>
      <c r="E24" s="18">
        <f>Table11[[#This Row],[Adjusted Walmart %]]*$E$85</f>
        <v>794.04956801915694</v>
      </c>
      <c r="F24" s="18">
        <f>Table11[[#This Row],[Adjusted Walmart %]]*$F$85</f>
        <v>794.04956801915694</v>
      </c>
      <c r="G24" s="18">
        <f>Table11[[#This Row],[Adjusted Walmart %]]*$G$85</f>
        <v>794.04956801915694</v>
      </c>
      <c r="H24" s="18">
        <f>Table11[[#This Row],[Adjusted Walmart %]]*$H$85</f>
        <v>1256.4075443341089</v>
      </c>
      <c r="I24" s="18">
        <f>SUM(Table11[[#This Row],[Payment 1]:[Payment 6]])</f>
        <v>155737.89800826579</v>
      </c>
    </row>
    <row r="25" spans="1:9" x14ac:dyDescent="0.3">
      <c r="A25" t="s">
        <v>144</v>
      </c>
      <c r="B25">
        <v>2.5031299338372209E-2</v>
      </c>
      <c r="C25" s="18">
        <f>Table11[[#This Row],[Adjusted Walmart %]]*$C$85</f>
        <v>419501.48133503116</v>
      </c>
      <c r="D25" s="36">
        <f>Table11[[#This Row],[Adjusted Walmart %]]*$D$85</f>
        <v>0</v>
      </c>
      <c r="E25" s="18">
        <f>Table11[[#This Row],[Adjusted Walmart %]]*$E$85</f>
        <v>2190.0487285695494</v>
      </c>
      <c r="F25" s="18">
        <f>Table11[[#This Row],[Adjusted Walmart %]]*$F$85</f>
        <v>2190.0487285695494</v>
      </c>
      <c r="G25" s="18">
        <f>Table11[[#This Row],[Adjusted Walmart %]]*$G$85</f>
        <v>2190.0487285695494</v>
      </c>
      <c r="H25" s="18">
        <f>Table11[[#This Row],[Adjusted Walmart %]]*$H$85</f>
        <v>3465.2669755847301</v>
      </c>
      <c r="I25" s="18">
        <f>SUM(Table11[[#This Row],[Payment 1]:[Payment 6]])</f>
        <v>429536.89449632447</v>
      </c>
    </row>
    <row r="26" spans="1:9" x14ac:dyDescent="0.3">
      <c r="A26" t="s">
        <v>145</v>
      </c>
      <c r="B26">
        <v>3.7734327894305385E-3</v>
      </c>
      <c r="C26" s="18">
        <f>Table11[[#This Row],[Adjusted Walmart %]]*$C$85</f>
        <v>63239.251925594603</v>
      </c>
      <c r="D26" s="36">
        <f>Table11[[#This Row],[Adjusted Walmart %]]*$D$85</f>
        <v>0</v>
      </c>
      <c r="E26" s="18">
        <f>Table11[[#This Row],[Adjusted Walmart %]]*$E$85</f>
        <v>330.14673234187808</v>
      </c>
      <c r="F26" s="18">
        <f>Table11[[#This Row],[Adjusted Walmart %]]*$F$85</f>
        <v>330.14673234187808</v>
      </c>
      <c r="G26" s="18">
        <f>Table11[[#This Row],[Adjusted Walmart %]]*$G$85</f>
        <v>330.14673234187808</v>
      </c>
      <c r="H26" s="18">
        <f>Table11[[#This Row],[Adjusted Walmart %]]*$H$85</f>
        <v>522.38407016119947</v>
      </c>
      <c r="I26" s="18">
        <f>SUM(Table11[[#This Row],[Payment 1]:[Payment 6]])</f>
        <v>64752.076192781431</v>
      </c>
    </row>
    <row r="27" spans="1:9" x14ac:dyDescent="0.3">
      <c r="A27" t="s">
        <v>146</v>
      </c>
      <c r="B27">
        <v>1.3414698298524062E-2</v>
      </c>
      <c r="C27" s="18">
        <f>Table11[[#This Row],[Adjusted Walmart %]]*$C$85</f>
        <v>224817.96617191998</v>
      </c>
      <c r="D27" s="36">
        <f>Table11[[#This Row],[Adjusted Walmart %]]*$D$85</f>
        <v>0</v>
      </c>
      <c r="E27" s="18">
        <f>Table11[[#This Row],[Adjusted Walmart %]]*$E$85</f>
        <v>1173.6842964356174</v>
      </c>
      <c r="F27" s="18">
        <f>Table11[[#This Row],[Adjusted Walmart %]]*$F$85</f>
        <v>1173.6842964356174</v>
      </c>
      <c r="G27" s="18">
        <f>Table11[[#This Row],[Adjusted Walmart %]]*$G$85</f>
        <v>1173.6842964356174</v>
      </c>
      <c r="H27" s="18">
        <f>Table11[[#This Row],[Adjusted Walmart %]]*$H$85</f>
        <v>1857.0954057525591</v>
      </c>
      <c r="I27" s="18">
        <f>SUM(Table11[[#This Row],[Payment 1]:[Payment 6]])</f>
        <v>230196.1144669794</v>
      </c>
    </row>
    <row r="28" spans="1:9" x14ac:dyDescent="0.3">
      <c r="A28" t="s">
        <v>147</v>
      </c>
      <c r="B28">
        <v>2.7018063552632973E-2</v>
      </c>
      <c r="C28" s="18">
        <f>Table11[[#This Row],[Adjusted Walmart %]]*$C$85</f>
        <v>452797.81644250063</v>
      </c>
      <c r="D28" s="36">
        <f>Table11[[#This Row],[Adjusted Walmart %]]*$D$85</f>
        <v>0</v>
      </c>
      <c r="E28" s="18">
        <f>Table11[[#This Row],[Adjusted Walmart %]]*$E$85</f>
        <v>2363.8755196837906</v>
      </c>
      <c r="F28" s="18">
        <f>Table11[[#This Row],[Adjusted Walmart %]]*$F$85</f>
        <v>2363.8755196837906</v>
      </c>
      <c r="G28" s="18">
        <f>Table11[[#This Row],[Adjusted Walmart %]]*$G$85</f>
        <v>2363.8755196837906</v>
      </c>
      <c r="H28" s="18">
        <f>Table11[[#This Row],[Adjusted Walmart %]]*$H$85</f>
        <v>3740.3093665882761</v>
      </c>
      <c r="I28" s="18">
        <f>SUM(Table11[[#This Row],[Payment 1]:[Payment 6]])</f>
        <v>463629.75236814033</v>
      </c>
    </row>
    <row r="29" spans="1:9" x14ac:dyDescent="0.3">
      <c r="A29" t="s">
        <v>148</v>
      </c>
      <c r="B29">
        <v>2.3919111011044846E-3</v>
      </c>
      <c r="C29" s="18">
        <f>Table11[[#This Row],[Adjusted Walmart %]]*$C$85</f>
        <v>40086.223114947927</v>
      </c>
      <c r="D29" s="36">
        <f>Table11[[#This Row],[Adjusted Walmart %]]*$D$85</f>
        <v>0</v>
      </c>
      <c r="E29" s="18">
        <f>Table11[[#This Row],[Adjusted Walmart %]]*$E$85</f>
        <v>209.27406903703795</v>
      </c>
      <c r="F29" s="18">
        <f>Table11[[#This Row],[Adjusted Walmart %]]*$F$85</f>
        <v>209.27406903703795</v>
      </c>
      <c r="G29" s="18">
        <f>Table11[[#This Row],[Adjusted Walmart %]]*$G$85</f>
        <v>209.27406903703795</v>
      </c>
      <c r="H29" s="18">
        <f>Table11[[#This Row],[Adjusted Walmart %]]*$H$85</f>
        <v>331.12985607126257</v>
      </c>
      <c r="I29" s="18">
        <f>SUM(Table11[[#This Row],[Payment 1]:[Payment 6]])</f>
        <v>41045.17517813031</v>
      </c>
    </row>
    <row r="30" spans="1:9" x14ac:dyDescent="0.3">
      <c r="A30" t="s">
        <v>221</v>
      </c>
      <c r="B30">
        <v>4.0314212679214327E-3</v>
      </c>
      <c r="C30" s="18">
        <f>Table11[[#This Row],[Adjusted Walmart %]]*$C$85</f>
        <v>67562.900787417486</v>
      </c>
      <c r="D30" s="36">
        <f>Table11[[#This Row],[Adjusted Walmart %]]*$D$85</f>
        <v>0</v>
      </c>
      <c r="E30" s="18">
        <f>Table11[[#This Row],[Adjusted Walmart %]]*$E$85</f>
        <v>352.71876632488579</v>
      </c>
      <c r="F30" s="18">
        <f>Table11[[#This Row],[Adjusted Walmart %]]*$F$85</f>
        <v>352.71876632488579</v>
      </c>
      <c r="G30" s="18">
        <f>Table11[[#This Row],[Adjusted Walmart %]]*$G$85</f>
        <v>352.71876632488579</v>
      </c>
      <c r="H30" s="18">
        <f>Table11[[#This Row],[Adjusted Walmart %]]*$H$85</f>
        <v>558.09931380519902</v>
      </c>
      <c r="I30" s="18">
        <f>SUM(Table11[[#This Row],[Payment 1]:[Payment 6]])</f>
        <v>69179.15640019736</v>
      </c>
    </row>
    <row r="31" spans="1:9" x14ac:dyDescent="0.3">
      <c r="A31" t="s">
        <v>149</v>
      </c>
      <c r="B31">
        <v>1.7543825442649562E-2</v>
      </c>
      <c r="C31" s="18">
        <f>Table11[[#This Row],[Adjusted Walmart %]]*$C$85</f>
        <v>294018.32729444321</v>
      </c>
      <c r="D31" s="36">
        <f>Table11[[#This Row],[Adjusted Walmart %]]*$D$85</f>
        <v>0</v>
      </c>
      <c r="E31" s="18">
        <f>Table11[[#This Row],[Adjusted Walmart %]]*$E$85</f>
        <v>1534.9515854345325</v>
      </c>
      <c r="F31" s="18">
        <f>Table11[[#This Row],[Adjusted Walmart %]]*$F$85</f>
        <v>1534.9515854345325</v>
      </c>
      <c r="G31" s="18">
        <f>Table11[[#This Row],[Adjusted Walmart %]]*$G$85</f>
        <v>1534.9515854345325</v>
      </c>
      <c r="H31" s="18">
        <f>Table11[[#This Row],[Adjusted Walmart %]]*$H$85</f>
        <v>2428.7208630293235</v>
      </c>
      <c r="I31" s="18">
        <f>SUM(Table11[[#This Row],[Payment 1]:[Payment 6]])</f>
        <v>301051.90291377617</v>
      </c>
    </row>
    <row r="32" spans="1:9" x14ac:dyDescent="0.3">
      <c r="A32" t="s">
        <v>150</v>
      </c>
      <c r="B32">
        <v>1.4658270212818405E-2</v>
      </c>
      <c r="C32" s="18">
        <f>Table11[[#This Row],[Adjusted Walmart %]]*$C$85</f>
        <v>245659.08405162176</v>
      </c>
      <c r="D32" s="36">
        <f>Table11[[#This Row],[Adjusted Walmart %]]*$D$85</f>
        <v>0</v>
      </c>
      <c r="E32" s="18">
        <f>Table11[[#This Row],[Adjusted Walmart %]]*$E$85</f>
        <v>1282.4874014190693</v>
      </c>
      <c r="F32" s="18">
        <f>Table11[[#This Row],[Adjusted Walmart %]]*$F$85</f>
        <v>1282.4874014190693</v>
      </c>
      <c r="G32" s="18">
        <f>Table11[[#This Row],[Adjusted Walmart %]]*$G$85</f>
        <v>1282.4874014190693</v>
      </c>
      <c r="H32" s="18">
        <f>Table11[[#This Row],[Adjusted Walmart %]]*$H$85</f>
        <v>2029.2522174352364</v>
      </c>
      <c r="I32" s="18">
        <f>SUM(Table11[[#This Row],[Payment 1]:[Payment 6]])</f>
        <v>251535.79847331418</v>
      </c>
    </row>
    <row r="33" spans="1:9" x14ac:dyDescent="0.3">
      <c r="A33" t="s">
        <v>151</v>
      </c>
      <c r="B33">
        <v>7.512003410280689E-2</v>
      </c>
      <c r="C33" s="18">
        <f>Table11[[#This Row],[Adjusted Walmart %]]*$C$85</f>
        <v>1258942.4607198534</v>
      </c>
      <c r="D33" s="36">
        <f>Table11[[#This Row],[Adjusted Walmart %]]*$D$85</f>
        <v>0</v>
      </c>
      <c r="E33" s="18">
        <f>Table11[[#This Row],[Adjusted Walmart %]]*$E$85</f>
        <v>6572.4328950337249</v>
      </c>
      <c r="F33" s="18">
        <f>Table11[[#This Row],[Adjusted Walmart %]]*$F$85</f>
        <v>6572.4328950337249</v>
      </c>
      <c r="G33" s="18">
        <f>Table11[[#This Row],[Adjusted Walmart %]]*$G$85</f>
        <v>6572.4328950337249</v>
      </c>
      <c r="H33" s="18">
        <f>Table11[[#This Row],[Adjusted Walmart %]]*$H$85</f>
        <v>10399.419137711591</v>
      </c>
      <c r="I33" s="18">
        <f>SUM(Table11[[#This Row],[Payment 1]:[Payment 6]])</f>
        <v>1289059.1785426659</v>
      </c>
    </row>
    <row r="34" spans="1:9" x14ac:dyDescent="0.3">
      <c r="A34" t="s">
        <v>152</v>
      </c>
      <c r="B34">
        <v>1.6612013025965131E-2</v>
      </c>
      <c r="C34" s="18">
        <f>Table11[[#This Row],[Adjusted Walmart %]]*$C$85</f>
        <v>278402.01094420638</v>
      </c>
      <c r="D34" s="36">
        <f>Table11[[#This Row],[Adjusted Walmart %]]*$D$85</f>
        <v>0</v>
      </c>
      <c r="E34" s="18">
        <f>Table11[[#This Row],[Adjusted Walmart %]]*$E$85</f>
        <v>1453.4250705365741</v>
      </c>
      <c r="F34" s="18">
        <f>Table11[[#This Row],[Adjusted Walmart %]]*$F$85</f>
        <v>1453.4250705365741</v>
      </c>
      <c r="G34" s="18">
        <f>Table11[[#This Row],[Adjusted Walmart %]]*$G$85</f>
        <v>1453.4250705365741</v>
      </c>
      <c r="H34" s="18">
        <f>Table11[[#This Row],[Adjusted Walmart %]]*$H$85</f>
        <v>2299.7232128743262</v>
      </c>
      <c r="I34" s="18">
        <f>SUM(Table11[[#This Row],[Payment 1]:[Payment 6]])</f>
        <v>285062.00936869037</v>
      </c>
    </row>
    <row r="35" spans="1:9" x14ac:dyDescent="0.3">
      <c r="A35" t="s">
        <v>153</v>
      </c>
      <c r="B35">
        <v>2.2979072922531909E-3</v>
      </c>
      <c r="C35" s="18">
        <f>Table11[[#This Row],[Adjusted Walmart %]]*$C$85</f>
        <v>38510.806012895991</v>
      </c>
      <c r="D35" s="36">
        <f>Table11[[#This Row],[Adjusted Walmart %]]*$D$85</f>
        <v>0</v>
      </c>
      <c r="E35" s="18">
        <f>Table11[[#This Row],[Adjusted Walmart %]]*$E$85</f>
        <v>201.04944916123813</v>
      </c>
      <c r="F35" s="18">
        <f>Table11[[#This Row],[Adjusted Walmart %]]*$F$85</f>
        <v>201.04944916123813</v>
      </c>
      <c r="G35" s="18">
        <f>Table11[[#This Row],[Adjusted Walmart %]]*$G$85</f>
        <v>201.04944916123813</v>
      </c>
      <c r="H35" s="18">
        <f>Table11[[#This Row],[Adjusted Walmart %]]*$H$85</f>
        <v>318.11621702727552</v>
      </c>
      <c r="I35" s="18">
        <f>SUM(Table11[[#This Row],[Payment 1]:[Payment 6]])</f>
        <v>39432.070577406987</v>
      </c>
    </row>
    <row r="36" spans="1:9" x14ac:dyDescent="0.3">
      <c r="A36" t="s">
        <v>154</v>
      </c>
      <c r="B36">
        <v>8.3142266294694849E-4</v>
      </c>
      <c r="C36" s="18">
        <f>Table11[[#This Row],[Adjusted Walmart %]]*$C$85</f>
        <v>13933.876703998645</v>
      </c>
      <c r="D36" s="36">
        <f>Table11[[#This Row],[Adjusted Walmart %]]*$D$85</f>
        <v>0</v>
      </c>
      <c r="E36" s="18">
        <f>Table11[[#This Row],[Adjusted Walmart %]]*$E$85</f>
        <v>72.743173307809769</v>
      </c>
      <c r="F36" s="18">
        <f>Table11[[#This Row],[Adjusted Walmart %]]*$F$85</f>
        <v>72.743173307809769</v>
      </c>
      <c r="G36" s="18">
        <f>Table11[[#This Row],[Adjusted Walmart %]]*$G$85</f>
        <v>72.743173307809769</v>
      </c>
      <c r="H36" s="18">
        <f>Table11[[#This Row],[Adjusted Walmart %]]*$H$85</f>
        <v>115.09995776552178</v>
      </c>
      <c r="I36" s="18">
        <f>SUM(Table11[[#This Row],[Payment 1]:[Payment 6]])</f>
        <v>14267.206181687598</v>
      </c>
    </row>
    <row r="37" spans="1:9" x14ac:dyDescent="0.3">
      <c r="A37" t="s">
        <v>155</v>
      </c>
      <c r="B37">
        <v>2.0816622333690263E-2</v>
      </c>
      <c r="C37" s="18">
        <f>Table11[[#This Row],[Adjusted Walmart %]]*$C$85</f>
        <v>348867.38348369102</v>
      </c>
      <c r="D37" s="36">
        <f>Table11[[#This Row],[Adjusted Walmart %]]*$D$85</f>
        <v>0</v>
      </c>
      <c r="E37" s="18">
        <f>Table11[[#This Row],[Adjusted Walmart %]]*$E$85</f>
        <v>1821.29647601328</v>
      </c>
      <c r="F37" s="18">
        <f>Table11[[#This Row],[Adjusted Walmart %]]*$F$85</f>
        <v>1821.29647601328</v>
      </c>
      <c r="G37" s="18">
        <f>Table11[[#This Row],[Adjusted Walmart %]]*$G$85</f>
        <v>1821.29647601328</v>
      </c>
      <c r="H37" s="18">
        <f>Table11[[#This Row],[Adjusted Walmart %]]*$H$85</f>
        <v>2881.7982215399998</v>
      </c>
      <c r="I37" s="18">
        <f>SUM(Table11[[#This Row],[Payment 1]:[Payment 6]])</f>
        <v>357213.0711332708</v>
      </c>
    </row>
    <row r="38" spans="1:9" x14ac:dyDescent="0.3">
      <c r="A38" t="s">
        <v>156</v>
      </c>
      <c r="B38">
        <v>8.3142266294694849E-4</v>
      </c>
      <c r="C38" s="18">
        <f>Table11[[#This Row],[Adjusted Walmart %]]*$C$85</f>
        <v>13933.876703998645</v>
      </c>
      <c r="D38" s="36">
        <f>Table11[[#This Row],[Adjusted Walmart %]]*$D$85</f>
        <v>0</v>
      </c>
      <c r="E38" s="18">
        <f>Table11[[#This Row],[Adjusted Walmart %]]*$E$85</f>
        <v>72.743173307809769</v>
      </c>
      <c r="F38" s="18">
        <f>Table11[[#This Row],[Adjusted Walmart %]]*$F$85</f>
        <v>72.743173307809769</v>
      </c>
      <c r="G38" s="18">
        <f>Table11[[#This Row],[Adjusted Walmart %]]*$G$85</f>
        <v>72.743173307809769</v>
      </c>
      <c r="H38" s="18">
        <f>Table11[[#This Row],[Adjusted Walmart %]]*$H$85</f>
        <v>115.09995776552178</v>
      </c>
      <c r="I38" s="18">
        <f>SUM(Table11[[#This Row],[Payment 1]:[Payment 6]])</f>
        <v>14267.206181687598</v>
      </c>
    </row>
    <row r="39" spans="1:9" x14ac:dyDescent="0.3">
      <c r="A39" t="s">
        <v>157</v>
      </c>
      <c r="B39">
        <v>2.0785566573673711E-3</v>
      </c>
      <c r="C39" s="18">
        <f>Table11[[#This Row],[Adjusted Walmart %]]*$C$85</f>
        <v>34834.691759996611</v>
      </c>
      <c r="D39" s="36">
        <f>Table11[[#This Row],[Adjusted Walmart %]]*$D$85</f>
        <v>0</v>
      </c>
      <c r="E39" s="18">
        <f>Table11[[#This Row],[Adjusted Walmart %]]*$E$85</f>
        <v>181.85793326952441</v>
      </c>
      <c r="F39" s="18">
        <f>Table11[[#This Row],[Adjusted Walmart %]]*$F$85</f>
        <v>181.85793326952441</v>
      </c>
      <c r="G39" s="18">
        <f>Table11[[#This Row],[Adjusted Walmart %]]*$G$85</f>
        <v>181.85793326952441</v>
      </c>
      <c r="H39" s="18">
        <f>Table11[[#This Row],[Adjusted Walmart %]]*$H$85</f>
        <v>287.74989441380444</v>
      </c>
      <c r="I39" s="18">
        <f>SUM(Table11[[#This Row],[Payment 1]:[Payment 6]])</f>
        <v>35668.015454218985</v>
      </c>
    </row>
    <row r="40" spans="1:9" x14ac:dyDescent="0.3">
      <c r="A40" t="s">
        <v>158</v>
      </c>
      <c r="B40">
        <v>9.8984931225676691E-3</v>
      </c>
      <c r="C40" s="18">
        <f>Table11[[#This Row],[Adjusted Walmart %]]*$C$85</f>
        <v>165889.61171249326</v>
      </c>
      <c r="D40" s="36">
        <f>Table11[[#This Row],[Adjusted Walmart %]]*$D$85</f>
        <v>0</v>
      </c>
      <c r="E40" s="18">
        <f>Table11[[#This Row],[Adjusted Walmart %]]*$E$85</f>
        <v>866.04302816201675</v>
      </c>
      <c r="F40" s="18">
        <f>Table11[[#This Row],[Adjusted Walmart %]]*$F$85</f>
        <v>866.04302816201675</v>
      </c>
      <c r="G40" s="18">
        <f>Table11[[#This Row],[Adjusted Walmart %]]*$G$85</f>
        <v>866.04302816201675</v>
      </c>
      <c r="H40" s="18">
        <f>Table11[[#This Row],[Adjusted Walmart %]]*$H$85</f>
        <v>1370.3212470917986</v>
      </c>
      <c r="I40" s="18">
        <f>SUM(Table11[[#This Row],[Payment 1]:[Payment 6]])</f>
        <v>169858.06204407109</v>
      </c>
    </row>
    <row r="41" spans="1:9" x14ac:dyDescent="0.3">
      <c r="A41" t="s">
        <v>159</v>
      </c>
      <c r="B41">
        <v>8.3142266294694849E-4</v>
      </c>
      <c r="C41" s="18">
        <f>Table11[[#This Row],[Adjusted Walmart %]]*$C$85</f>
        <v>13933.876703998645</v>
      </c>
      <c r="D41" s="36">
        <f>Table11[[#This Row],[Adjusted Walmart %]]*$D$85</f>
        <v>0</v>
      </c>
      <c r="E41" s="18">
        <f>Table11[[#This Row],[Adjusted Walmart %]]*$E$85</f>
        <v>72.743173307809769</v>
      </c>
      <c r="F41" s="18">
        <f>Table11[[#This Row],[Adjusted Walmart %]]*$F$85</f>
        <v>72.743173307809769</v>
      </c>
      <c r="G41" s="18">
        <f>Table11[[#This Row],[Adjusted Walmart %]]*$G$85</f>
        <v>72.743173307809769</v>
      </c>
      <c r="H41" s="18">
        <f>Table11[[#This Row],[Adjusted Walmart %]]*$H$85</f>
        <v>115.09995776552178</v>
      </c>
      <c r="I41" s="18">
        <f>SUM(Table11[[#This Row],[Payment 1]:[Payment 6]])</f>
        <v>14267.206181687598</v>
      </c>
    </row>
    <row r="42" spans="1:9" x14ac:dyDescent="0.3">
      <c r="A42" t="s">
        <v>160</v>
      </c>
      <c r="B42">
        <v>1.1983260066366123E-2</v>
      </c>
      <c r="C42" s="18">
        <f>Table11[[#This Row],[Adjusted Walmart %]]*$C$85</f>
        <v>200828.38214304295</v>
      </c>
      <c r="D42" s="36">
        <f>Table11[[#This Row],[Adjusted Walmart %]]*$D$85</f>
        <v>0</v>
      </c>
      <c r="E42" s="18">
        <f>Table11[[#This Row],[Adjusted Walmart %]]*$E$85</f>
        <v>1048.4443143641472</v>
      </c>
      <c r="F42" s="18">
        <f>Table11[[#This Row],[Adjusted Walmart %]]*$F$85</f>
        <v>1048.4443143641472</v>
      </c>
      <c r="G42" s="18">
        <f>Table11[[#This Row],[Adjusted Walmart %]]*$G$85</f>
        <v>1048.4443143641472</v>
      </c>
      <c r="H42" s="18">
        <f>Table11[[#This Row],[Adjusted Walmart %]]*$H$85</f>
        <v>1658.9308771584608</v>
      </c>
      <c r="I42" s="18">
        <f>SUM(Table11[[#This Row],[Payment 1]:[Payment 6]])</f>
        <v>205632.64596329382</v>
      </c>
    </row>
    <row r="43" spans="1:9" x14ac:dyDescent="0.3">
      <c r="A43" t="s">
        <v>161</v>
      </c>
      <c r="B43">
        <v>2.7630385836526663E-3</v>
      </c>
      <c r="C43" s="18">
        <f>Table11[[#This Row],[Adjusted Walmart %]]*$C$85</f>
        <v>46305.977295045057</v>
      </c>
      <c r="D43" s="36">
        <f>Table11[[#This Row],[Adjusted Walmart %]]*$D$85</f>
        <v>0</v>
      </c>
      <c r="E43" s="18">
        <f>Table11[[#This Row],[Adjusted Walmart %]]*$E$85</f>
        <v>241.7449072586034</v>
      </c>
      <c r="F43" s="18">
        <f>Table11[[#This Row],[Adjusted Walmart %]]*$F$85</f>
        <v>241.7449072586034</v>
      </c>
      <c r="G43" s="18">
        <f>Table11[[#This Row],[Adjusted Walmart %]]*$G$85</f>
        <v>241.7449072586034</v>
      </c>
      <c r="H43" s="18">
        <f>Table11[[#This Row],[Adjusted Walmart %]]*$H$85</f>
        <v>382.50776464968897</v>
      </c>
      <c r="I43" s="18">
        <f>SUM(Table11[[#This Row],[Payment 1]:[Payment 6]])</f>
        <v>47413.719781470551</v>
      </c>
    </row>
    <row r="44" spans="1:9" x14ac:dyDescent="0.3">
      <c r="A44" t="s">
        <v>162</v>
      </c>
      <c r="B44">
        <v>2.0785566573673711E-3</v>
      </c>
      <c r="C44" s="18">
        <f>Table11[[#This Row],[Adjusted Walmart %]]*$C$85</f>
        <v>34834.691759996611</v>
      </c>
      <c r="D44" s="36">
        <f>Table11[[#This Row],[Adjusted Walmart %]]*$D$85</f>
        <v>0</v>
      </c>
      <c r="E44" s="18">
        <f>Table11[[#This Row],[Adjusted Walmart %]]*$E$85</f>
        <v>181.85793326952441</v>
      </c>
      <c r="F44" s="18">
        <f>Table11[[#This Row],[Adjusted Walmart %]]*$F$85</f>
        <v>181.85793326952441</v>
      </c>
      <c r="G44" s="18">
        <f>Table11[[#This Row],[Adjusted Walmart %]]*$G$85</f>
        <v>181.85793326952441</v>
      </c>
      <c r="H44" s="18">
        <f>Table11[[#This Row],[Adjusted Walmart %]]*$H$85</f>
        <v>287.74989441380444</v>
      </c>
      <c r="I44" s="18">
        <f>SUM(Table11[[#This Row],[Payment 1]:[Payment 6]])</f>
        <v>35668.015454218985</v>
      </c>
    </row>
    <row r="45" spans="1:9" x14ac:dyDescent="0.3">
      <c r="A45" t="s">
        <v>163</v>
      </c>
      <c r="B45">
        <v>2.3026346187346287E-3</v>
      </c>
      <c r="C45" s="18">
        <f>Table11[[#This Row],[Adjusted Walmart %]]*$C$85</f>
        <v>38590.03164297255</v>
      </c>
      <c r="D45" s="36">
        <f>Table11[[#This Row],[Adjusted Walmart %]]*$D$85</f>
        <v>0</v>
      </c>
      <c r="E45" s="18">
        <f>Table11[[#This Row],[Adjusted Walmart %]]*$E$85</f>
        <v>201.463054352493</v>
      </c>
      <c r="F45" s="18">
        <f>Table11[[#This Row],[Adjusted Walmart %]]*$F$85</f>
        <v>201.463054352493</v>
      </c>
      <c r="G45" s="18">
        <f>Table11[[#This Row],[Adjusted Walmart %]]*$G$85</f>
        <v>201.463054352493</v>
      </c>
      <c r="H45" s="18">
        <f>Table11[[#This Row],[Adjusted Walmart %]]*$H$85</f>
        <v>318.77065562103326</v>
      </c>
      <c r="I45" s="18">
        <f>SUM(Table11[[#This Row],[Payment 1]:[Payment 6]])</f>
        <v>39513.191461651055</v>
      </c>
    </row>
    <row r="46" spans="1:9" x14ac:dyDescent="0.3">
      <c r="A46" t="s">
        <v>164</v>
      </c>
      <c r="B46">
        <v>3.3884379270849793E-3</v>
      </c>
      <c r="C46" s="18">
        <f>Table11[[#This Row],[Adjusted Walmart %]]*$C$85</f>
        <v>56787.093255079446</v>
      </c>
      <c r="D46" s="36">
        <f>Table11[[#This Row],[Adjusted Walmart %]]*$D$85</f>
        <v>0</v>
      </c>
      <c r="E46" s="18">
        <f>Table11[[#This Row],[Adjusted Walmart %]]*$E$85</f>
        <v>296.46260362814542</v>
      </c>
      <c r="F46" s="18">
        <f>Table11[[#This Row],[Adjusted Walmart %]]*$F$85</f>
        <v>296.46260362814542</v>
      </c>
      <c r="G46" s="18">
        <f>Table11[[#This Row],[Adjusted Walmart %]]*$G$85</f>
        <v>296.46260362814542</v>
      </c>
      <c r="H46" s="18">
        <f>Table11[[#This Row],[Adjusted Walmart %]]*$H$85</f>
        <v>469.08639814579971</v>
      </c>
      <c r="I46" s="18">
        <f>SUM(Table11[[#This Row],[Payment 1]:[Payment 6]])</f>
        <v>58145.567464109692</v>
      </c>
    </row>
    <row r="47" spans="1:9" x14ac:dyDescent="0.3">
      <c r="A47" t="s">
        <v>165</v>
      </c>
      <c r="B47">
        <v>6.3973941685139309E-3</v>
      </c>
      <c r="C47" s="18">
        <f>Table11[[#This Row],[Adjusted Walmart %]]*$C$85</f>
        <v>107214.4235941292</v>
      </c>
      <c r="D47" s="36">
        <f>Table11[[#This Row],[Adjusted Walmart %]]*$D$85</f>
        <v>0</v>
      </c>
      <c r="E47" s="18">
        <f>Table11[[#This Row],[Adjusted Walmart %]]*$E$85</f>
        <v>559.72343966317237</v>
      </c>
      <c r="F47" s="18">
        <f>Table11[[#This Row],[Adjusted Walmart %]]*$F$85</f>
        <v>559.72343966317237</v>
      </c>
      <c r="G47" s="18">
        <f>Table11[[#This Row],[Adjusted Walmart %]]*$G$85</f>
        <v>559.72343966317237</v>
      </c>
      <c r="H47" s="18">
        <f>Table11[[#This Row],[Adjusted Walmart %]]*$H$85</f>
        <v>885.63835389742474</v>
      </c>
      <c r="I47" s="18">
        <f>SUM(Table11[[#This Row],[Payment 1]:[Payment 6]])</f>
        <v>109779.23226701612</v>
      </c>
    </row>
    <row r="48" spans="1:9" x14ac:dyDescent="0.3">
      <c r="A48" t="s">
        <v>166</v>
      </c>
      <c r="B48">
        <v>2.0785566573673711E-3</v>
      </c>
      <c r="C48" s="18">
        <f>Table11[[#This Row],[Adjusted Walmart %]]*$C$85</f>
        <v>34834.691759996611</v>
      </c>
      <c r="D48" s="36">
        <f>Table11[[#This Row],[Adjusted Walmart %]]*$D$85</f>
        <v>0</v>
      </c>
      <c r="E48" s="18">
        <f>Table11[[#This Row],[Adjusted Walmart %]]*$E$85</f>
        <v>181.85793326952441</v>
      </c>
      <c r="F48" s="18">
        <f>Table11[[#This Row],[Adjusted Walmart %]]*$F$85</f>
        <v>181.85793326952441</v>
      </c>
      <c r="G48" s="18">
        <f>Table11[[#This Row],[Adjusted Walmart %]]*$G$85</f>
        <v>181.85793326952441</v>
      </c>
      <c r="H48" s="18">
        <f>Table11[[#This Row],[Adjusted Walmart %]]*$H$85</f>
        <v>287.74989441380444</v>
      </c>
      <c r="I48" s="18">
        <f>SUM(Table11[[#This Row],[Payment 1]:[Payment 6]])</f>
        <v>35668.015454218985</v>
      </c>
    </row>
    <row r="49" spans="1:9" x14ac:dyDescent="0.3">
      <c r="A49" t="s">
        <v>167</v>
      </c>
      <c r="B49">
        <v>1.6591449576021471E-2</v>
      </c>
      <c r="C49" s="18">
        <f>Table11[[#This Row],[Adjusted Walmart %]]*$C$85</f>
        <v>278057.38649638556</v>
      </c>
      <c r="D49" s="36">
        <f>Table11[[#This Row],[Adjusted Walmart %]]*$D$85</f>
        <v>0</v>
      </c>
      <c r="E49" s="18">
        <f>Table11[[#This Row],[Adjusted Walmart %]]*$E$85</f>
        <v>1451.6259247233531</v>
      </c>
      <c r="F49" s="18">
        <f>Table11[[#This Row],[Adjusted Walmart %]]*$F$85</f>
        <v>1451.6259247233531</v>
      </c>
      <c r="G49" s="18">
        <f>Table11[[#This Row],[Adjusted Walmart %]]*$G$85</f>
        <v>1451.6259247233531</v>
      </c>
      <c r="H49" s="18">
        <f>Table11[[#This Row],[Adjusted Walmart %]]*$H$85</f>
        <v>2296.8764631698623</v>
      </c>
      <c r="I49" s="18">
        <f>SUM(Table11[[#This Row],[Payment 1]:[Payment 6]])</f>
        <v>284709.14073372545</v>
      </c>
    </row>
    <row r="50" spans="1:9" x14ac:dyDescent="0.3">
      <c r="A50" t="s">
        <v>168</v>
      </c>
      <c r="B50">
        <v>6.6144165015015015E-3</v>
      </c>
      <c r="C50" s="18">
        <f>Table11[[#This Row],[Adjusted Walmart %]]*$C$85</f>
        <v>110851.51765546332</v>
      </c>
      <c r="D50" s="36">
        <f>Table11[[#This Row],[Adjusted Walmart %]]*$D$85</f>
        <v>0</v>
      </c>
      <c r="E50" s="18">
        <f>Table11[[#This Row],[Adjusted Walmart %]]*$E$85</f>
        <v>578.71124680836613</v>
      </c>
      <c r="F50" s="18">
        <f>Table11[[#This Row],[Adjusted Walmart %]]*$F$85</f>
        <v>578.71124680836613</v>
      </c>
      <c r="G50" s="18">
        <f>Table11[[#This Row],[Adjusted Walmart %]]*$G$85</f>
        <v>578.71124680836613</v>
      </c>
      <c r="H50" s="18">
        <f>Table11[[#This Row],[Adjusted Walmart %]]*$H$85</f>
        <v>915.68235254488309</v>
      </c>
      <c r="I50" s="18">
        <f>SUM(Table11[[#This Row],[Payment 1]:[Payment 6]])</f>
        <v>113503.3337484333</v>
      </c>
    </row>
    <row r="51" spans="1:9" x14ac:dyDescent="0.3">
      <c r="A51" t="s">
        <v>169</v>
      </c>
      <c r="B51">
        <v>2.8784431294909929E-2</v>
      </c>
      <c r="C51" s="18">
        <f>Table11[[#This Row],[Adjusted Walmart %]]*$C$85</f>
        <v>482400.51003226871</v>
      </c>
      <c r="D51" s="36">
        <f>Table11[[#This Row],[Adjusted Walmart %]]*$D$85</f>
        <v>0</v>
      </c>
      <c r="E51" s="18">
        <f>Table11[[#This Row],[Adjusted Walmart %]]*$E$85</f>
        <v>2518.4192920971436</v>
      </c>
      <c r="F51" s="18">
        <f>Table11[[#This Row],[Adjusted Walmart %]]*$F$85</f>
        <v>2518.4192920971436</v>
      </c>
      <c r="G51" s="18">
        <f>Table11[[#This Row],[Adjusted Walmart %]]*$G$85</f>
        <v>2518.4192920971436</v>
      </c>
      <c r="H51" s="18">
        <f>Table11[[#This Row],[Adjusted Walmart %]]*$H$85</f>
        <v>3984.8406520524427</v>
      </c>
      <c r="I51" s="18">
        <f>SUM(Table11[[#This Row],[Payment 1]:[Payment 6]])</f>
        <v>493940.6085606126</v>
      </c>
    </row>
    <row r="52" spans="1:9" x14ac:dyDescent="0.3">
      <c r="A52" t="s">
        <v>170</v>
      </c>
      <c r="B52">
        <v>8.3142266294694849E-4</v>
      </c>
      <c r="C52" s="18">
        <f>Table11[[#This Row],[Adjusted Walmart %]]*$C$85</f>
        <v>13933.876703998645</v>
      </c>
      <c r="D52" s="36">
        <f>Table11[[#This Row],[Adjusted Walmart %]]*$D$85</f>
        <v>0</v>
      </c>
      <c r="E52" s="18">
        <f>Table11[[#This Row],[Adjusted Walmart %]]*$E$85</f>
        <v>72.743173307809769</v>
      </c>
      <c r="F52" s="18">
        <f>Table11[[#This Row],[Adjusted Walmart %]]*$F$85</f>
        <v>72.743173307809769</v>
      </c>
      <c r="G52" s="18">
        <f>Table11[[#This Row],[Adjusted Walmart %]]*$G$85</f>
        <v>72.743173307809769</v>
      </c>
      <c r="H52" s="18">
        <f>Table11[[#This Row],[Adjusted Walmart %]]*$H$85</f>
        <v>115.09995776552178</v>
      </c>
      <c r="I52" s="18">
        <f>SUM(Table11[[#This Row],[Payment 1]:[Payment 6]])</f>
        <v>14267.206181687598</v>
      </c>
    </row>
    <row r="53" spans="1:9" x14ac:dyDescent="0.3">
      <c r="A53" t="s">
        <v>171</v>
      </c>
      <c r="B53">
        <v>2.549858714067849E-3</v>
      </c>
      <c r="C53" s="18">
        <f>Table11[[#This Row],[Adjusted Walmart %]]*$C$85</f>
        <v>42733.279375023492</v>
      </c>
      <c r="D53" s="36">
        <f>Table11[[#This Row],[Adjusted Walmart %]]*$D$85</f>
        <v>0</v>
      </c>
      <c r="E53" s="18">
        <f>Table11[[#This Row],[Adjusted Walmart %]]*$E$85</f>
        <v>223.09328650054121</v>
      </c>
      <c r="F53" s="18">
        <f>Table11[[#This Row],[Adjusted Walmart %]]*$F$85</f>
        <v>223.09328650054121</v>
      </c>
      <c r="G53" s="18">
        <f>Table11[[#This Row],[Adjusted Walmart %]]*$G$85</f>
        <v>223.09328650054121</v>
      </c>
      <c r="H53" s="18">
        <f>Table11[[#This Row],[Adjusted Walmart %]]*$H$85</f>
        <v>352.99570648819815</v>
      </c>
      <c r="I53" s="18">
        <f>SUM(Table11[[#This Row],[Payment 1]:[Payment 6]])</f>
        <v>43755.554941013303</v>
      </c>
    </row>
    <row r="54" spans="1:9" x14ac:dyDescent="0.3">
      <c r="A54" t="s">
        <v>172</v>
      </c>
      <c r="B54">
        <v>2.0785566573673711E-3</v>
      </c>
      <c r="C54" s="18">
        <f>Table11[[#This Row],[Adjusted Walmart %]]*$C$85</f>
        <v>34834.691759996611</v>
      </c>
      <c r="D54" s="36">
        <f>Table11[[#This Row],[Adjusted Walmart %]]*$D$85</f>
        <v>0</v>
      </c>
      <c r="E54" s="18">
        <f>Table11[[#This Row],[Adjusted Walmart %]]*$E$85</f>
        <v>181.85793326952441</v>
      </c>
      <c r="F54" s="18">
        <f>Table11[[#This Row],[Adjusted Walmart %]]*$F$85</f>
        <v>181.85793326952441</v>
      </c>
      <c r="G54" s="18">
        <f>Table11[[#This Row],[Adjusted Walmart %]]*$G$85</f>
        <v>181.85793326952441</v>
      </c>
      <c r="H54" s="18">
        <f>Table11[[#This Row],[Adjusted Walmart %]]*$H$85</f>
        <v>287.74989441380444</v>
      </c>
      <c r="I54" s="18">
        <f>SUM(Table11[[#This Row],[Payment 1]:[Payment 6]])</f>
        <v>35668.015454218985</v>
      </c>
    </row>
    <row r="55" spans="1:9" x14ac:dyDescent="0.3">
      <c r="A55" t="s">
        <v>173</v>
      </c>
      <c r="B55">
        <v>2.5021660583128616E-2</v>
      </c>
      <c r="C55" s="18">
        <f>Table11[[#This Row],[Adjusted Walmart %]]*$C$85</f>
        <v>419339.94469051849</v>
      </c>
      <c r="D55" s="36">
        <f>Table11[[#This Row],[Adjusted Walmart %]]*$D$85</f>
        <v>0</v>
      </c>
      <c r="E55" s="18">
        <f>Table11[[#This Row],[Adjusted Walmart %]]*$E$85</f>
        <v>2189.2054106346363</v>
      </c>
      <c r="F55" s="18">
        <f>Table11[[#This Row],[Adjusted Walmart %]]*$F$85</f>
        <v>2189.2054106346363</v>
      </c>
      <c r="G55" s="18">
        <f>Table11[[#This Row],[Adjusted Walmart %]]*$G$85</f>
        <v>2189.2054106346363</v>
      </c>
      <c r="H55" s="18">
        <f>Table11[[#This Row],[Adjusted Walmart %]]*$H$85</f>
        <v>3463.9326117636656</v>
      </c>
      <c r="I55" s="18">
        <f>SUM(Table11[[#This Row],[Payment 1]:[Payment 6]])</f>
        <v>429371.49353418604</v>
      </c>
    </row>
    <row r="56" spans="1:9" x14ac:dyDescent="0.3">
      <c r="A56" t="s">
        <v>174</v>
      </c>
      <c r="B56">
        <v>8.7752642206744922E-3</v>
      </c>
      <c r="C56" s="18">
        <f>Table11[[#This Row],[Adjusted Walmart %]]*$C$85</f>
        <v>147065.33168400193</v>
      </c>
      <c r="D56" s="36">
        <f>Table11[[#This Row],[Adjusted Walmart %]]*$D$85</f>
        <v>0</v>
      </c>
      <c r="E56" s="18">
        <f>Table11[[#This Row],[Adjusted Walmart %]]*$E$85</f>
        <v>767.76902347570251</v>
      </c>
      <c r="F56" s="18">
        <f>Table11[[#This Row],[Adjusted Walmart %]]*$F$85</f>
        <v>767.76902347570251</v>
      </c>
      <c r="G56" s="18">
        <f>Table11[[#This Row],[Adjusted Walmart %]]*$G$85</f>
        <v>767.76902347570251</v>
      </c>
      <c r="H56" s="18">
        <f>Table11[[#This Row],[Adjusted Walmart %]]*$H$85</f>
        <v>1214.8244042337064</v>
      </c>
      <c r="I56" s="18">
        <f>SUM(Table11[[#This Row],[Payment 1]:[Payment 6]])</f>
        <v>150583.46315866275</v>
      </c>
    </row>
    <row r="57" spans="1:9" x14ac:dyDescent="0.3">
      <c r="A57" t="s">
        <v>176</v>
      </c>
      <c r="B57">
        <v>8.5035252088316981E-3</v>
      </c>
      <c r="C57" s="18">
        <f>Table11[[#This Row],[Adjusted Walmart %]]*$C$85</f>
        <v>142511.23657037676</v>
      </c>
      <c r="D57" s="36">
        <f>Table11[[#This Row],[Adjusted Walmart %]]*$D$85</f>
        <v>0</v>
      </c>
      <c r="E57" s="18">
        <f>Table11[[#This Row],[Adjusted Walmart %]]*$E$85</f>
        <v>743.9939221777546</v>
      </c>
      <c r="F57" s="18">
        <f>Table11[[#This Row],[Adjusted Walmart %]]*$F$85</f>
        <v>743.9939221777546</v>
      </c>
      <c r="G57" s="18">
        <f>Table11[[#This Row],[Adjusted Walmart %]]*$G$85</f>
        <v>743.9939221777546</v>
      </c>
      <c r="H57" s="18">
        <f>Table11[[#This Row],[Adjusted Walmart %]]*$H$85</f>
        <v>1177.2055730660675</v>
      </c>
      <c r="I57" s="18">
        <f>SUM(Table11[[#This Row],[Payment 1]:[Payment 6]])</f>
        <v>145920.42390997612</v>
      </c>
    </row>
    <row r="58" spans="1:9" x14ac:dyDescent="0.3">
      <c r="A58" t="s">
        <v>177</v>
      </c>
      <c r="B58">
        <v>3.5381403012562929E-3</v>
      </c>
      <c r="C58" s="18">
        <f>Table11[[#This Row],[Adjusted Walmart %]]*$C$85</f>
        <v>59295.966920617298</v>
      </c>
      <c r="D58" s="36">
        <f>Table11[[#This Row],[Adjusted Walmart %]]*$D$85</f>
        <v>0</v>
      </c>
      <c r="E58" s="18">
        <f>Table11[[#This Row],[Adjusted Walmart %]]*$E$85</f>
        <v>309.56042527079325</v>
      </c>
      <c r="F58" s="18">
        <f>Table11[[#This Row],[Adjusted Walmart %]]*$F$85</f>
        <v>309.56042527079325</v>
      </c>
      <c r="G58" s="18">
        <f>Table11[[#This Row],[Adjusted Walmart %]]*$G$85</f>
        <v>309.56042527079325</v>
      </c>
      <c r="H58" s="18">
        <f>Table11[[#This Row],[Adjusted Walmart %]]*$H$85</f>
        <v>489.81079947910325</v>
      </c>
      <c r="I58" s="18">
        <f>SUM(Table11[[#This Row],[Payment 1]:[Payment 6]])</f>
        <v>60714.458995908783</v>
      </c>
    </row>
    <row r="59" spans="1:9" x14ac:dyDescent="0.3">
      <c r="A59" t="s">
        <v>178</v>
      </c>
      <c r="B59">
        <v>1.2935806743908949E-2</v>
      </c>
      <c r="C59" s="18">
        <f>Table11[[#This Row],[Adjusted Walmart %]]*$C$85</f>
        <v>216792.18557442981</v>
      </c>
      <c r="D59" s="36">
        <f>Table11[[#This Row],[Adjusted Walmart %]]*$D$85</f>
        <v>0</v>
      </c>
      <c r="E59" s="18">
        <f>Table11[[#This Row],[Adjusted Walmart %]]*$E$85</f>
        <v>1131.7849197340752</v>
      </c>
      <c r="F59" s="18">
        <f>Table11[[#This Row],[Adjusted Walmart %]]*$F$85</f>
        <v>1131.7849197340752</v>
      </c>
      <c r="G59" s="18">
        <f>Table11[[#This Row],[Adjusted Walmart %]]*$G$85</f>
        <v>1131.7849197340752</v>
      </c>
      <c r="H59" s="18">
        <f>Table11[[#This Row],[Adjusted Walmart %]]*$H$85</f>
        <v>1790.7989236298656</v>
      </c>
      <c r="I59" s="18">
        <f>SUM(Table11[[#This Row],[Payment 1]:[Payment 6]])</f>
        <v>221978.33925726192</v>
      </c>
    </row>
    <row r="60" spans="1:9" x14ac:dyDescent="0.3">
      <c r="A60" t="s">
        <v>179</v>
      </c>
      <c r="B60">
        <v>8.3142266294694849E-4</v>
      </c>
      <c r="C60" s="18">
        <f>Table11[[#This Row],[Adjusted Walmart %]]*$C$85</f>
        <v>13933.876703998645</v>
      </c>
      <c r="D60" s="36">
        <f>Table11[[#This Row],[Adjusted Walmart %]]*$D$85</f>
        <v>0</v>
      </c>
      <c r="E60" s="18">
        <f>Table11[[#This Row],[Adjusted Walmart %]]*$E$85</f>
        <v>72.743173307809769</v>
      </c>
      <c r="F60" s="18">
        <f>Table11[[#This Row],[Adjusted Walmart %]]*$F$85</f>
        <v>72.743173307809769</v>
      </c>
      <c r="G60" s="18">
        <f>Table11[[#This Row],[Adjusted Walmart %]]*$G$85</f>
        <v>72.743173307809769</v>
      </c>
      <c r="H60" s="18">
        <f>Table11[[#This Row],[Adjusted Walmart %]]*$H$85</f>
        <v>115.09995776552178</v>
      </c>
      <c r="I60" s="18">
        <f>SUM(Table11[[#This Row],[Payment 1]:[Payment 6]])</f>
        <v>14267.206181687598</v>
      </c>
    </row>
    <row r="61" spans="1:9" x14ac:dyDescent="0.3">
      <c r="A61" t="s">
        <v>180</v>
      </c>
      <c r="B61">
        <v>2.0785566573673715E-3</v>
      </c>
      <c r="C61" s="18">
        <f>Table11[[#This Row],[Adjusted Walmart %]]*$C$85</f>
        <v>34834.691759996618</v>
      </c>
      <c r="D61" s="36">
        <f>Table11[[#This Row],[Adjusted Walmart %]]*$D$85</f>
        <v>0</v>
      </c>
      <c r="E61" s="18">
        <f>Table11[[#This Row],[Adjusted Walmart %]]*$E$85</f>
        <v>181.85793326952447</v>
      </c>
      <c r="F61" s="18">
        <f>Table11[[#This Row],[Adjusted Walmart %]]*$F$85</f>
        <v>181.85793326952447</v>
      </c>
      <c r="G61" s="18">
        <f>Table11[[#This Row],[Adjusted Walmart %]]*$G$85</f>
        <v>181.85793326952447</v>
      </c>
      <c r="H61" s="18">
        <f>Table11[[#This Row],[Adjusted Walmart %]]*$H$85</f>
        <v>287.7498944138045</v>
      </c>
      <c r="I61" s="18">
        <f>SUM(Table11[[#This Row],[Payment 1]:[Payment 6]])</f>
        <v>35668.015454218992</v>
      </c>
    </row>
    <row r="62" spans="1:9" x14ac:dyDescent="0.3">
      <c r="A62" t="s">
        <v>182</v>
      </c>
      <c r="B62">
        <v>2.0785566573673711E-3</v>
      </c>
      <c r="C62" s="18">
        <f>Table11[[#This Row],[Adjusted Walmart %]]*$C$85</f>
        <v>34834.691759996611</v>
      </c>
      <c r="D62" s="36">
        <f>Table11[[#This Row],[Adjusted Walmart %]]*$D$85</f>
        <v>0</v>
      </c>
      <c r="E62" s="18">
        <f>Table11[[#This Row],[Adjusted Walmart %]]*$E$85</f>
        <v>181.85793326952441</v>
      </c>
      <c r="F62" s="18">
        <f>Table11[[#This Row],[Adjusted Walmart %]]*$F$85</f>
        <v>181.85793326952441</v>
      </c>
      <c r="G62" s="18">
        <f>Table11[[#This Row],[Adjusted Walmart %]]*$G$85</f>
        <v>181.85793326952441</v>
      </c>
      <c r="H62" s="18">
        <f>Table11[[#This Row],[Adjusted Walmart %]]*$H$85</f>
        <v>287.74989441380444</v>
      </c>
      <c r="I62" s="18">
        <f>SUM(Table11[[#This Row],[Payment 1]:[Payment 6]])</f>
        <v>35668.015454218985</v>
      </c>
    </row>
    <row r="63" spans="1:9" x14ac:dyDescent="0.3">
      <c r="A63" t="s">
        <v>183</v>
      </c>
      <c r="B63">
        <v>2.7472076344333182E-3</v>
      </c>
      <c r="C63" s="18">
        <f>Table11[[#This Row],[Adjusted Walmart %]]*$C$85</f>
        <v>46040.665192837259</v>
      </c>
      <c r="D63" s="36">
        <f>Table11[[#This Row],[Adjusted Walmart %]]*$D$85</f>
        <v>0</v>
      </c>
      <c r="E63" s="18">
        <f>Table11[[#This Row],[Adjusted Walmart %]]*$E$85</f>
        <v>240.35981934362115</v>
      </c>
      <c r="F63" s="18">
        <f>Table11[[#This Row],[Adjusted Walmart %]]*$F$85</f>
        <v>240.35981934362115</v>
      </c>
      <c r="G63" s="18">
        <f>Table11[[#This Row],[Adjusted Walmart %]]*$G$85</f>
        <v>240.35981934362115</v>
      </c>
      <c r="H63" s="18">
        <f>Table11[[#This Row],[Adjusted Walmart %]]*$H$85</f>
        <v>380.31616984750184</v>
      </c>
      <c r="I63" s="18">
        <f>SUM(Table11[[#This Row],[Payment 1]:[Payment 6]])</f>
        <v>47142.060820715618</v>
      </c>
    </row>
    <row r="64" spans="1:9" x14ac:dyDescent="0.3">
      <c r="A64" t="s">
        <v>184</v>
      </c>
      <c r="B64">
        <v>2.4050055287108123E-2</v>
      </c>
      <c r="C64" s="18">
        <f>Table11[[#This Row],[Adjusted Walmart %]]*$C$85</f>
        <v>403056.73639822117</v>
      </c>
      <c r="D64" s="36">
        <f>Table11[[#This Row],[Adjusted Walmart %]]*$D$85</f>
        <v>0</v>
      </c>
      <c r="E64" s="18">
        <f>Table11[[#This Row],[Adjusted Walmart %]]*$E$85</f>
        <v>2104.1973207845353</v>
      </c>
      <c r="F64" s="18">
        <f>Table11[[#This Row],[Adjusted Walmart %]]*$F$85</f>
        <v>2104.1973207845353</v>
      </c>
      <c r="G64" s="18">
        <f>Table11[[#This Row],[Adjusted Walmart %]]*$G$85</f>
        <v>2104.1973207845353</v>
      </c>
      <c r="H64" s="18">
        <f>Table11[[#This Row],[Adjusted Walmart %]]*$H$85</f>
        <v>3329.4261404818599</v>
      </c>
      <c r="I64" s="18">
        <f>SUM(Table11[[#This Row],[Payment 1]:[Payment 6]])</f>
        <v>412698.75450105668</v>
      </c>
    </row>
    <row r="65" spans="1:9" x14ac:dyDescent="0.3">
      <c r="A65" t="s">
        <v>185</v>
      </c>
      <c r="B65">
        <v>7.0430048694447318E-3</v>
      </c>
      <c r="C65" s="18">
        <f>Table11[[#This Row],[Adjusted Walmart %]]*$C$85</f>
        <v>118034.26325746771</v>
      </c>
      <c r="D65" s="36">
        <f>Table11[[#This Row],[Adjusted Walmart %]]*$D$85</f>
        <v>0</v>
      </c>
      <c r="E65" s="18">
        <f>Table11[[#This Row],[Adjusted Walmart %]]*$E$85</f>
        <v>616.20947642902672</v>
      </c>
      <c r="F65" s="18">
        <f>Table11[[#This Row],[Adjusted Walmart %]]*$F$85</f>
        <v>616.20947642902672</v>
      </c>
      <c r="G65" s="18">
        <f>Table11[[#This Row],[Adjusted Walmart %]]*$G$85</f>
        <v>616.20947642902672</v>
      </c>
      <c r="H65" s="18">
        <f>Table11[[#This Row],[Adjusted Walmart %]]*$H$85</f>
        <v>975.01499434972573</v>
      </c>
      <c r="I65" s="18">
        <f>SUM(Table11[[#This Row],[Payment 1]:[Payment 6]])</f>
        <v>120857.9066811045</v>
      </c>
    </row>
    <row r="66" spans="1:9" x14ac:dyDescent="0.3">
      <c r="A66" t="s">
        <v>222</v>
      </c>
      <c r="B66">
        <v>0.12325062555894739</v>
      </c>
      <c r="C66" s="18">
        <f>Table11[[#This Row],[Adjusted Walmart %]]*$C$85</f>
        <v>2065566.7649736153</v>
      </c>
      <c r="D66" s="36">
        <f>Table11[[#This Row],[Adjusted Walmart %]]*$D$85</f>
        <v>0</v>
      </c>
      <c r="E66" s="18">
        <f>Table11[[#This Row],[Adjusted Walmart %]]*$E$85</f>
        <v>10783.494382450528</v>
      </c>
      <c r="F66" s="18">
        <f>Table11[[#This Row],[Adjusted Walmart %]]*$F$85</f>
        <v>10783.494382450528</v>
      </c>
      <c r="G66" s="18">
        <f>Table11[[#This Row],[Adjusted Walmart %]]*$G$85</f>
        <v>10783.494382450528</v>
      </c>
      <c r="H66" s="18">
        <f>Table11[[#This Row],[Adjusted Walmart %]]*$H$85</f>
        <v>17062.491111472355</v>
      </c>
      <c r="I66" s="18">
        <f>SUM(Table11[[#This Row],[Payment 1]:[Payment 6]])</f>
        <v>2114979.7392324391</v>
      </c>
    </row>
    <row r="67" spans="1:9" x14ac:dyDescent="0.3">
      <c r="A67" t="s">
        <v>187</v>
      </c>
      <c r="B67">
        <v>4.4983719056046288E-3</v>
      </c>
      <c r="C67" s="18">
        <f>Table11[[#This Row],[Adjusted Walmart %]]*$C$85</f>
        <v>75388.562634629314</v>
      </c>
      <c r="D67" s="36">
        <f>Table11[[#This Row],[Adjusted Walmart %]]*$D$85</f>
        <v>0</v>
      </c>
      <c r="E67" s="18">
        <f>Table11[[#This Row],[Adjusted Walmart %]]*$E$85</f>
        <v>393.57340341498445</v>
      </c>
      <c r="F67" s="18">
        <f>Table11[[#This Row],[Adjusted Walmart %]]*$F$85</f>
        <v>393.57340341498445</v>
      </c>
      <c r="G67" s="18">
        <f>Table11[[#This Row],[Adjusted Walmart %]]*$G$85</f>
        <v>393.57340341498445</v>
      </c>
      <c r="H67" s="18">
        <f>Table11[[#This Row],[Adjusted Walmart %]]*$H$85</f>
        <v>622.74272692244369</v>
      </c>
      <c r="I67" s="18">
        <f>SUM(Table11[[#This Row],[Payment 1]:[Payment 6]])</f>
        <v>77192.025571796694</v>
      </c>
    </row>
    <row r="68" spans="1:9" x14ac:dyDescent="0.3">
      <c r="A68" t="s">
        <v>188</v>
      </c>
      <c r="B68">
        <v>2.3283099591918342E-2</v>
      </c>
      <c r="C68" s="18">
        <f>Table11[[#This Row],[Adjusted Walmart %]]*$C$85</f>
        <v>390203.2665922317</v>
      </c>
      <c r="D68" s="36">
        <f>Table11[[#This Row],[Adjusted Walmart %]]*$D$85</f>
        <v>0</v>
      </c>
      <c r="E68" s="18">
        <f>Table11[[#This Row],[Adjusted Walmart %]]*$E$85</f>
        <v>2037.0945179130651</v>
      </c>
      <c r="F68" s="18">
        <f>Table11[[#This Row],[Adjusted Walmart %]]*$F$85</f>
        <v>2037.0945179130651</v>
      </c>
      <c r="G68" s="18">
        <f>Table11[[#This Row],[Adjusted Walmart %]]*$G$85</f>
        <v>2037.0945179130651</v>
      </c>
      <c r="H68" s="18">
        <f>Table11[[#This Row],[Adjusted Walmart %]]*$H$85</f>
        <v>3223.2508194826978</v>
      </c>
      <c r="I68" s="18">
        <f>SUM(Table11[[#This Row],[Payment 1]:[Payment 6]])</f>
        <v>399537.80096545361</v>
      </c>
    </row>
    <row r="69" spans="1:9" x14ac:dyDescent="0.3">
      <c r="A69" t="s">
        <v>189</v>
      </c>
      <c r="B69">
        <v>8.3142266294694849E-4</v>
      </c>
      <c r="C69" s="18">
        <f>Table11[[#This Row],[Adjusted Walmart %]]*$C$85</f>
        <v>13933.876703998645</v>
      </c>
      <c r="D69" s="36">
        <f>Table11[[#This Row],[Adjusted Walmart %]]*$D$85</f>
        <v>0</v>
      </c>
      <c r="E69" s="18">
        <f>Table11[[#This Row],[Adjusted Walmart %]]*$E$85</f>
        <v>72.743173307809769</v>
      </c>
      <c r="F69" s="18">
        <f>Table11[[#This Row],[Adjusted Walmart %]]*$F$85</f>
        <v>72.743173307809769</v>
      </c>
      <c r="G69" s="18">
        <f>Table11[[#This Row],[Adjusted Walmart %]]*$G$85</f>
        <v>72.743173307809769</v>
      </c>
      <c r="H69" s="18">
        <f>Table11[[#This Row],[Adjusted Walmart %]]*$H$85</f>
        <v>115.09995776552178</v>
      </c>
      <c r="I69" s="18">
        <f>SUM(Table11[[#This Row],[Payment 1]:[Payment 6]])</f>
        <v>14267.206181687598</v>
      </c>
    </row>
    <row r="70" spans="1:9" x14ac:dyDescent="0.3">
      <c r="A70" t="s">
        <v>190</v>
      </c>
      <c r="B70">
        <v>1.0993210946012411E-2</v>
      </c>
      <c r="C70" s="18">
        <f>Table11[[#This Row],[Adjusted Walmart %]]*$C$85</f>
        <v>184236.07237244534</v>
      </c>
      <c r="D70" s="36">
        <f>Table11[[#This Row],[Adjusted Walmart %]]*$D$85</f>
        <v>0</v>
      </c>
      <c r="E70" s="18">
        <f>Table11[[#This Row],[Adjusted Walmart %]]*$E$85</f>
        <v>961.82252985581454</v>
      </c>
      <c r="F70" s="18">
        <f>Table11[[#This Row],[Adjusted Walmart %]]*$F$85</f>
        <v>961.82252985581454</v>
      </c>
      <c r="G70" s="18">
        <f>Table11[[#This Row],[Adjusted Walmart %]]*$G$85</f>
        <v>961.82252985581454</v>
      </c>
      <c r="H70" s="18">
        <f>Table11[[#This Row],[Adjusted Walmart %]]*$H$85</f>
        <v>1521.8710915440104</v>
      </c>
      <c r="I70" s="18">
        <f>SUM(Table11[[#This Row],[Payment 1]:[Payment 6]])</f>
        <v>188643.41105355683</v>
      </c>
    </row>
    <row r="71" spans="1:9" x14ac:dyDescent="0.3">
      <c r="A71" t="s">
        <v>192</v>
      </c>
      <c r="B71">
        <v>8.3142266294694849E-4</v>
      </c>
      <c r="C71" s="18">
        <f>Table11[[#This Row],[Adjusted Walmart %]]*$C$85</f>
        <v>13933.876703998645</v>
      </c>
      <c r="D71" s="36">
        <f>Table11[[#This Row],[Adjusted Walmart %]]*$D$85</f>
        <v>0</v>
      </c>
      <c r="E71" s="18">
        <f>Table11[[#This Row],[Adjusted Walmart %]]*$E$85</f>
        <v>72.743173307809769</v>
      </c>
      <c r="F71" s="18">
        <f>Table11[[#This Row],[Adjusted Walmart %]]*$F$85</f>
        <v>72.743173307809769</v>
      </c>
      <c r="G71" s="18">
        <f>Table11[[#This Row],[Adjusted Walmart %]]*$G$85</f>
        <v>72.743173307809769</v>
      </c>
      <c r="H71" s="18">
        <f>Table11[[#This Row],[Adjusted Walmart %]]*$H$85</f>
        <v>115.09995776552178</v>
      </c>
      <c r="I71" s="18">
        <f>SUM(Table11[[#This Row],[Payment 1]:[Payment 6]])</f>
        <v>14267.206181687598</v>
      </c>
    </row>
    <row r="72" spans="1:9" x14ac:dyDescent="0.3">
      <c r="A72" t="s">
        <v>193</v>
      </c>
      <c r="B72">
        <v>3.1542782073211238E-3</v>
      </c>
      <c r="C72" s="18">
        <f>Table11[[#This Row],[Adjusted Walmart %]]*$C$85</f>
        <v>52862.79240349125</v>
      </c>
      <c r="D72" s="36">
        <f>Table11[[#This Row],[Adjusted Walmart %]]*$D$85</f>
        <v>0</v>
      </c>
      <c r="E72" s="18">
        <f>Table11[[#This Row],[Adjusted Walmart %]]*$E$85</f>
        <v>275.9754051963447</v>
      </c>
      <c r="F72" s="18">
        <f>Table11[[#This Row],[Adjusted Walmart %]]*$F$85</f>
        <v>275.9754051963447</v>
      </c>
      <c r="G72" s="18">
        <f>Table11[[#This Row],[Adjusted Walmart %]]*$G$85</f>
        <v>275.9754051963447</v>
      </c>
      <c r="H72" s="18">
        <f>Table11[[#This Row],[Adjusted Walmart %]]*$H$85</f>
        <v>436.66994493092511</v>
      </c>
      <c r="I72" s="18">
        <f>SUM(Table11[[#This Row],[Payment 1]:[Payment 6]])</f>
        <v>54127.388564011213</v>
      </c>
    </row>
    <row r="73" spans="1:9" x14ac:dyDescent="0.3">
      <c r="A73" t="s">
        <v>196</v>
      </c>
      <c r="B73">
        <v>2.5823659544551517E-3</v>
      </c>
      <c r="C73" s="18">
        <f>Table11[[#This Row],[Adjusted Walmart %]]*$C$85</f>
        <v>43278.070730527863</v>
      </c>
      <c r="D73" s="36">
        <f>Table11[[#This Row],[Adjusted Walmart %]]*$D$85</f>
        <v>0</v>
      </c>
      <c r="E73" s="18">
        <f>Table11[[#This Row],[Adjusted Walmart %]]*$E$85</f>
        <v>225.93742333567471</v>
      </c>
      <c r="F73" s="18">
        <f>Table11[[#This Row],[Adjusted Walmart %]]*$F$85</f>
        <v>225.93742333567471</v>
      </c>
      <c r="G73" s="18">
        <f>Table11[[#This Row],[Adjusted Walmart %]]*$G$85</f>
        <v>225.93742333567471</v>
      </c>
      <c r="H73" s="18">
        <f>Table11[[#This Row],[Adjusted Walmart %]]*$H$85</f>
        <v>357.49592299948529</v>
      </c>
      <c r="I73" s="18">
        <f>SUM(Table11[[#This Row],[Payment 1]:[Payment 6]])</f>
        <v>44313.378923534365</v>
      </c>
    </row>
    <row r="74" spans="1:9" x14ac:dyDescent="0.3">
      <c r="A74" t="s">
        <v>197</v>
      </c>
      <c r="B74">
        <v>2.0785566573673715E-3</v>
      </c>
      <c r="C74" s="18">
        <f>Table11[[#This Row],[Adjusted Walmart %]]*$C$85</f>
        <v>34834.691759996618</v>
      </c>
      <c r="D74" s="36">
        <f>Table11[[#This Row],[Adjusted Walmart %]]*$D$85</f>
        <v>0</v>
      </c>
      <c r="E74" s="18">
        <f>Table11[[#This Row],[Adjusted Walmart %]]*$E$85</f>
        <v>181.85793326952447</v>
      </c>
      <c r="F74" s="18">
        <f>Table11[[#This Row],[Adjusted Walmart %]]*$F$85</f>
        <v>181.85793326952447</v>
      </c>
      <c r="G74" s="18">
        <f>Table11[[#This Row],[Adjusted Walmart %]]*$G$85</f>
        <v>181.85793326952447</v>
      </c>
      <c r="H74" s="18">
        <f>Table11[[#This Row],[Adjusted Walmart %]]*$H$85</f>
        <v>287.7498944138045</v>
      </c>
      <c r="I74" s="18">
        <f>SUM(Table11[[#This Row],[Payment 1]:[Payment 6]])</f>
        <v>35668.015454218992</v>
      </c>
    </row>
    <row r="75" spans="1:9" x14ac:dyDescent="0.3">
      <c r="A75" t="s">
        <v>198</v>
      </c>
      <c r="B75">
        <v>1.6088317418064806E-2</v>
      </c>
      <c r="C75" s="18">
        <f>Table11[[#This Row],[Adjusted Walmart %]]*$C$85</f>
        <v>269625.3557529173</v>
      </c>
      <c r="D75" s="36">
        <f>Table11[[#This Row],[Adjusted Walmart %]]*$D$85</f>
        <v>0</v>
      </c>
      <c r="E75" s="18">
        <f>Table11[[#This Row],[Adjusted Walmart %]]*$E$85</f>
        <v>1407.6056791923393</v>
      </c>
      <c r="F75" s="18">
        <f>Table11[[#This Row],[Adjusted Walmart %]]*$F$85</f>
        <v>1407.6056791923393</v>
      </c>
      <c r="G75" s="18">
        <f>Table11[[#This Row],[Adjusted Walmart %]]*$G$85</f>
        <v>1407.6056791923393</v>
      </c>
      <c r="H75" s="18">
        <f>Table11[[#This Row],[Adjusted Walmart %]]*$H$85</f>
        <v>2227.2241759372455</v>
      </c>
      <c r="I75" s="18">
        <f>SUM(Table11[[#This Row],[Payment 1]:[Payment 6]])</f>
        <v>276075.39696643158</v>
      </c>
    </row>
    <row r="76" spans="1:9" x14ac:dyDescent="0.3">
      <c r="A76" t="s">
        <v>199</v>
      </c>
      <c r="B76">
        <v>2.0785566573673715E-3</v>
      </c>
      <c r="C76" s="18">
        <f>Table11[[#This Row],[Adjusted Walmart %]]*$C$85</f>
        <v>34834.691759996618</v>
      </c>
      <c r="D76" s="36">
        <f>Table11[[#This Row],[Adjusted Walmart %]]*$D$85</f>
        <v>0</v>
      </c>
      <c r="E76" s="18">
        <f>Table11[[#This Row],[Adjusted Walmart %]]*$E$85</f>
        <v>181.85793326952447</v>
      </c>
      <c r="F76" s="18">
        <f>Table11[[#This Row],[Adjusted Walmart %]]*$F$85</f>
        <v>181.85793326952447</v>
      </c>
      <c r="G76" s="18">
        <f>Table11[[#This Row],[Adjusted Walmart %]]*$G$85</f>
        <v>181.85793326952447</v>
      </c>
      <c r="H76" s="18">
        <f>Table11[[#This Row],[Adjusted Walmart %]]*$H$85</f>
        <v>287.7498944138045</v>
      </c>
      <c r="I76" s="18">
        <f>SUM(Table11[[#This Row],[Payment 1]:[Payment 6]])</f>
        <v>35668.015454218992</v>
      </c>
    </row>
    <row r="77" spans="1:9" x14ac:dyDescent="0.3">
      <c r="A77" t="s">
        <v>200</v>
      </c>
      <c r="B77">
        <v>8.3142266294694849E-4</v>
      </c>
      <c r="C77" s="18">
        <f>Table11[[#This Row],[Adjusted Walmart %]]*$C$85</f>
        <v>13933.876703998645</v>
      </c>
      <c r="D77" s="36">
        <f>Table11[[#This Row],[Adjusted Walmart %]]*$D$85</f>
        <v>0</v>
      </c>
      <c r="E77" s="18">
        <f>Table11[[#This Row],[Adjusted Walmart %]]*$E$85</f>
        <v>72.743173307809769</v>
      </c>
      <c r="F77" s="18">
        <f>Table11[[#This Row],[Adjusted Walmart %]]*$F$85</f>
        <v>72.743173307809769</v>
      </c>
      <c r="G77" s="18">
        <f>Table11[[#This Row],[Adjusted Walmart %]]*$G$85</f>
        <v>72.743173307809769</v>
      </c>
      <c r="H77" s="18">
        <f>Table11[[#This Row],[Adjusted Walmart %]]*$H$85</f>
        <v>115.09995776552178</v>
      </c>
      <c r="I77" s="18">
        <f>SUM(Table11[[#This Row],[Payment 1]:[Payment 6]])</f>
        <v>14267.206181687598</v>
      </c>
    </row>
    <row r="78" spans="1:9" x14ac:dyDescent="0.3">
      <c r="A78" t="s">
        <v>201</v>
      </c>
      <c r="B78">
        <v>2.7255591956221993E-2</v>
      </c>
      <c r="C78" s="18">
        <f>Table11[[#This Row],[Adjusted Walmart %]]*$C$85</f>
        <v>456778.5733268222</v>
      </c>
      <c r="D78" s="36">
        <f>Table11[[#This Row],[Adjusted Walmart %]]*$D$85</f>
        <v>0</v>
      </c>
      <c r="E78" s="18">
        <f>Table11[[#This Row],[Adjusted Walmart %]]*$E$85</f>
        <v>2384.6574523852159</v>
      </c>
      <c r="F78" s="18">
        <f>Table11[[#This Row],[Adjusted Walmart %]]*$F$85</f>
        <v>2384.6574523852159</v>
      </c>
      <c r="G78" s="18">
        <f>Table11[[#This Row],[Adjusted Walmart %]]*$G$85</f>
        <v>2384.6574523852159</v>
      </c>
      <c r="H78" s="18">
        <f>Table11[[#This Row],[Adjusted Walmart %]]*$H$85</f>
        <v>3773.1921714955952</v>
      </c>
      <c r="I78" s="18">
        <f>SUM(Table11[[#This Row],[Payment 1]:[Payment 6]])</f>
        <v>467705.73785547348</v>
      </c>
    </row>
    <row r="79" spans="1:9" x14ac:dyDescent="0.3">
      <c r="A79" t="s">
        <v>202</v>
      </c>
      <c r="B79">
        <v>8.3142266294694849E-4</v>
      </c>
      <c r="C79" s="18">
        <f>Table11[[#This Row],[Adjusted Walmart %]]*$C$85</f>
        <v>13933.876703998645</v>
      </c>
      <c r="D79" s="36">
        <f>Table11[[#This Row],[Adjusted Walmart %]]*$D$85</f>
        <v>0</v>
      </c>
      <c r="E79" s="18">
        <f>Table11[[#This Row],[Adjusted Walmart %]]*$E$85</f>
        <v>72.743173307809769</v>
      </c>
      <c r="F79" s="18">
        <f>Table11[[#This Row],[Adjusted Walmart %]]*$F$85</f>
        <v>72.743173307809769</v>
      </c>
      <c r="G79" s="18">
        <f>Table11[[#This Row],[Adjusted Walmart %]]*$G$85</f>
        <v>72.743173307809769</v>
      </c>
      <c r="H79" s="18">
        <f>Table11[[#This Row],[Adjusted Walmart %]]*$H$85</f>
        <v>115.09995776552178</v>
      </c>
      <c r="I79" s="18">
        <f>SUM(Table11[[#This Row],[Payment 1]:[Payment 6]])</f>
        <v>14267.206181687598</v>
      </c>
    </row>
    <row r="80" spans="1:9" x14ac:dyDescent="0.3">
      <c r="A80" t="s">
        <v>203</v>
      </c>
      <c r="B80">
        <v>3.4065743543459804E-3</v>
      </c>
      <c r="C80" s="18">
        <f>Table11[[#This Row],[Adjusted Walmart %]]*$C$85</f>
        <v>57091.043042074794</v>
      </c>
      <c r="D80" s="36">
        <f>Table11[[#This Row],[Adjusted Walmart %]]*$D$85</f>
        <v>0</v>
      </c>
      <c r="E80" s="18">
        <f>Table11[[#This Row],[Adjusted Walmart %]]*$E$85</f>
        <v>298.04940337540665</v>
      </c>
      <c r="F80" s="18">
        <f>Table11[[#This Row],[Adjusted Walmart %]]*$F$85</f>
        <v>298.04940337540665</v>
      </c>
      <c r="G80" s="18">
        <f>Table11[[#This Row],[Adjusted Walmart %]]*$G$85</f>
        <v>298.04940337540665</v>
      </c>
      <c r="H80" s="18">
        <f>Table11[[#This Row],[Adjusted Walmart %]]*$H$85</f>
        <v>471.59715723956748</v>
      </c>
      <c r="I80" s="18">
        <f>SUM(Table11[[#This Row],[Payment 1]:[Payment 6]])</f>
        <v>58456.788409440582</v>
      </c>
    </row>
    <row r="81" spans="1:9" x14ac:dyDescent="0.3">
      <c r="A81" t="s">
        <v>204</v>
      </c>
      <c r="B81">
        <v>8.3142266294694849E-4</v>
      </c>
      <c r="C81" s="18">
        <f>Table11[[#This Row],[Adjusted Walmart %]]*$C$85</f>
        <v>13933.876703998645</v>
      </c>
      <c r="D81" s="36">
        <f>Table11[[#This Row],[Adjusted Walmart %]]*$D$85</f>
        <v>0</v>
      </c>
      <c r="E81" s="18">
        <f>Table11[[#This Row],[Adjusted Walmart %]]*$E$85</f>
        <v>72.743173307809769</v>
      </c>
      <c r="F81" s="18">
        <f>Table11[[#This Row],[Adjusted Walmart %]]*$F$85</f>
        <v>72.743173307809769</v>
      </c>
      <c r="G81" s="18">
        <f>Table11[[#This Row],[Adjusted Walmart %]]*$G$85</f>
        <v>72.743173307809769</v>
      </c>
      <c r="H81" s="18">
        <f>Table11[[#This Row],[Adjusted Walmart %]]*$H$85</f>
        <v>115.09995776552178</v>
      </c>
      <c r="I81" s="18">
        <f>SUM(Table11[[#This Row],[Payment 1]:[Payment 6]])</f>
        <v>14267.206181687598</v>
      </c>
    </row>
    <row r="82" spans="1:9" x14ac:dyDescent="0.3">
      <c r="A82" t="s">
        <v>205</v>
      </c>
      <c r="B82">
        <v>8.3142266294694849E-4</v>
      </c>
      <c r="C82" s="18">
        <f>Table11[[#This Row],[Adjusted Walmart %]]*$C$85</f>
        <v>13933.876703998645</v>
      </c>
      <c r="D82" s="36">
        <f>Table11[[#This Row],[Adjusted Walmart %]]*$D$85</f>
        <v>0</v>
      </c>
      <c r="E82" s="18">
        <f>Table11[[#This Row],[Adjusted Walmart %]]*$E$85</f>
        <v>72.743173307809769</v>
      </c>
      <c r="F82" s="18">
        <f>Table11[[#This Row],[Adjusted Walmart %]]*$F$85</f>
        <v>72.743173307809769</v>
      </c>
      <c r="G82" s="18">
        <f>Table11[[#This Row],[Adjusted Walmart %]]*$G$85</f>
        <v>72.743173307809769</v>
      </c>
      <c r="H82" s="18">
        <f>Table11[[#This Row],[Adjusted Walmart %]]*$H$85</f>
        <v>115.09995776552178</v>
      </c>
      <c r="I82" s="18">
        <f>SUM(Table11[[#This Row],[Payment 1]:[Payment 6]])</f>
        <v>14267.206181687598</v>
      </c>
    </row>
    <row r="83" spans="1:9" x14ac:dyDescent="0.3">
      <c r="A83" t="s">
        <v>206</v>
      </c>
      <c r="B83">
        <v>2.0785566573673715E-3</v>
      </c>
      <c r="C83" s="18">
        <f>Table11[[#This Row],[Adjusted Walmart %]]*$C$85</f>
        <v>34834.691759996618</v>
      </c>
      <c r="D83" s="36">
        <f>Table11[[#This Row],[Adjusted Walmart %]]*$D$85</f>
        <v>0</v>
      </c>
      <c r="E83" s="18">
        <f>Table11[[#This Row],[Adjusted Walmart %]]*$E$85</f>
        <v>181.85793326952447</v>
      </c>
      <c r="F83" s="18">
        <f>Table11[[#This Row],[Adjusted Walmart %]]*$F$85</f>
        <v>181.85793326952447</v>
      </c>
      <c r="G83" s="18">
        <f>Table11[[#This Row],[Adjusted Walmart %]]*$G$85</f>
        <v>181.85793326952447</v>
      </c>
      <c r="H83" s="18">
        <f>Table11[[#This Row],[Adjusted Walmart %]]*$H$85</f>
        <v>287.7498944138045</v>
      </c>
      <c r="I83" s="18">
        <f>SUM(Table11[[#This Row],[Payment 1]:[Payment 6]])</f>
        <v>35668.015454218992</v>
      </c>
    </row>
    <row r="84" spans="1:9" x14ac:dyDescent="0.3">
      <c r="D84" s="37"/>
    </row>
    <row r="85" spans="1:9" s="16" customFormat="1" x14ac:dyDescent="0.3">
      <c r="A85" s="16" t="s">
        <v>6</v>
      </c>
      <c r="C85" s="34">
        <f>'Pharmacies Breakdown'!I2</f>
        <v>16759077.332112294</v>
      </c>
      <c r="D85" s="42">
        <f>'Pharmacies Breakdown'!I3</f>
        <v>0</v>
      </c>
      <c r="E85" s="34">
        <f>'Pharmacies Breakdown'!I4</f>
        <v>87492.410959756788</v>
      </c>
      <c r="F85" s="34">
        <f>'Pharmacies Breakdown'!I5</f>
        <v>87492.410959756788</v>
      </c>
      <c r="G85" s="34">
        <f>'Pharmacies Breakdown'!I6</f>
        <v>87492.410959756788</v>
      </c>
      <c r="H85" s="34">
        <f>'Pharmacies Breakdown'!I7</f>
        <v>138437.35911353922</v>
      </c>
      <c r="I85" s="34">
        <f>SUM(C85:H85)</f>
        <v>17159991.924105108</v>
      </c>
    </row>
    <row r="86" spans="1:9" x14ac:dyDescent="0.3">
      <c r="D86" s="37"/>
    </row>
    <row r="87" spans="1:9" x14ac:dyDescent="0.3">
      <c r="D87" s="37"/>
    </row>
    <row r="88" spans="1:9" x14ac:dyDescent="0.3">
      <c r="C88" s="7"/>
      <c r="D88" s="38"/>
      <c r="E88" s="7"/>
      <c r="F88" s="7"/>
      <c r="G88" s="7"/>
      <c r="H88" s="7"/>
      <c r="I88" s="7"/>
    </row>
    <row r="89" spans="1:9" x14ac:dyDescent="0.3">
      <c r="D89" s="35"/>
    </row>
    <row r="90" spans="1:9" x14ac:dyDescent="0.3">
      <c r="A90" s="39"/>
      <c r="B90" s="39"/>
      <c r="C90" s="39"/>
      <c r="D90" s="39"/>
      <c r="E90" s="39"/>
      <c r="F90" s="39"/>
      <c r="G90" s="39"/>
      <c r="H90" s="39"/>
      <c r="I90" s="39"/>
    </row>
    <row r="91" spans="1:9" x14ac:dyDescent="0.3">
      <c r="C91" s="40"/>
      <c r="D91" s="41"/>
      <c r="E91" s="40"/>
      <c r="F91" s="40"/>
      <c r="G91" s="40"/>
      <c r="H91" s="40"/>
      <c r="I91" s="40"/>
    </row>
    <row r="92" spans="1:9" x14ac:dyDescent="0.3">
      <c r="C92" s="40"/>
      <c r="D92" s="41"/>
      <c r="E92" s="40"/>
      <c r="F92" s="40"/>
      <c r="G92" s="40"/>
      <c r="H92" s="40"/>
      <c r="I92" s="40"/>
    </row>
    <row r="93" spans="1:9" x14ac:dyDescent="0.3">
      <c r="C93" s="40"/>
      <c r="D93" s="41"/>
      <c r="E93" s="40"/>
      <c r="F93" s="40"/>
      <c r="G93" s="40"/>
      <c r="H93" s="40"/>
      <c r="I93" s="40"/>
    </row>
  </sheetData>
  <pageMargins left="0.7" right="0.7" top="0.75" bottom="0.75" header="0.3" footer="0.3"/>
  <pageSetup orientation="portrait" r:id="rId1"/>
  <customProperties>
    <customPr name="OrphanNamesChecked" r:id="rId2"/>
  </customProperties>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4"/>
  <sheetViews>
    <sheetView workbookViewId="0">
      <selection activeCell="C24" sqref="C24"/>
    </sheetView>
  </sheetViews>
  <sheetFormatPr defaultRowHeight="14.4" x14ac:dyDescent="0.3"/>
  <cols>
    <col min="1" max="1" width="13.5546875" customWidth="1"/>
    <col min="2" max="2" width="17.5546875" customWidth="1"/>
    <col min="3" max="3" width="20" customWidth="1"/>
    <col min="4" max="4" width="26.109375" customWidth="1"/>
    <col min="5" max="6" width="32.88671875" customWidth="1"/>
    <col min="7" max="7" width="29.33203125" customWidth="1"/>
    <col min="8" max="8" width="37" customWidth="1"/>
    <col min="9" max="9" width="28.5546875" customWidth="1"/>
  </cols>
  <sheetData>
    <row r="1" spans="1:11" ht="15.6" x14ac:dyDescent="0.3">
      <c r="A1" s="19" t="s">
        <v>0</v>
      </c>
      <c r="B1" s="19" t="s">
        <v>1</v>
      </c>
      <c r="C1" s="19" t="s">
        <v>18</v>
      </c>
      <c r="D1" s="28" t="s">
        <v>208</v>
      </c>
      <c r="E1" s="27" t="s">
        <v>209</v>
      </c>
      <c r="F1" s="27" t="s">
        <v>210</v>
      </c>
      <c r="G1" s="27" t="s">
        <v>211</v>
      </c>
      <c r="H1" s="27" t="s">
        <v>213</v>
      </c>
      <c r="I1" s="30" t="s">
        <v>212</v>
      </c>
      <c r="J1" s="3"/>
      <c r="K1" s="3"/>
    </row>
    <row r="2" spans="1:11" ht="15.6" x14ac:dyDescent="0.3">
      <c r="A2" s="12">
        <v>1</v>
      </c>
      <c r="B2" s="12">
        <v>2024</v>
      </c>
      <c r="C2" s="5">
        <f>Table14[[#This Row],[Teva/Allergan Litigating]]</f>
        <v>-148406.15178125599</v>
      </c>
      <c r="D2" s="4">
        <f>((Table14[[#This Row],[Teva]]-Table14[[#This Row],[Teva Attorney Fees]])*0.15)*0.25</f>
        <v>-20853.748967255433</v>
      </c>
      <c r="E2" s="4">
        <f>((Table14[[#This Row],[Teva]]-Table14[[#This Row],[Teva Attorney Fees]])*0.15)*0.75</f>
        <v>-62561.246901766295</v>
      </c>
      <c r="F2" s="4">
        <f>Table6[[#This Row],[Teva Bellwether]]+Table6[[#This Row],[Teva Litigating Total Less Fees and Bellwether]]</f>
        <v>-83414.995869021732</v>
      </c>
      <c r="G2" s="4">
        <f>((Table14[[#This Row],[Allergan]]-Table14[[#This Row],[Allergan Attorney Fees ]])*0.15)*0.25</f>
        <v>-16247.788978058568</v>
      </c>
      <c r="H2" s="4">
        <f>((Table14[[#This Row],[Allergan]]-Table14[[#This Row],[Allergan Attorney Fees ]])*0.15)*0.75</f>
        <v>-48743.366934175705</v>
      </c>
      <c r="I2" s="29">
        <f>Table6[[#This Row],[Allergan Bellwether]]+Table6[[#This Row],[Allergan Litigating Less Fees and Bellwether]]</f>
        <v>-64991.155912234273</v>
      </c>
      <c r="J2" s="3"/>
      <c r="K2" s="3"/>
    </row>
    <row r="3" spans="1:11" ht="15.6" x14ac:dyDescent="0.3">
      <c r="A3" s="20">
        <v>2</v>
      </c>
      <c r="B3" s="21">
        <v>46006</v>
      </c>
      <c r="C3" s="6">
        <f>Table14[[#This Row],[Teva/Allergan Litigating]]</f>
        <v>3926590.923718744</v>
      </c>
      <c r="D3" s="4">
        <f>((Table14[[#This Row],[Teva]]-Table14[[#This Row],[Teva Attorney Fees]])*0.15)*0.25</f>
        <v>473766.11840774457</v>
      </c>
      <c r="E3" s="4">
        <f>((Table14[[#This Row],[Teva]]-Table14[[#This Row],[Teva Attorney Fees]])*0.15)*0.75</f>
        <v>1421298.3552232338</v>
      </c>
      <c r="F3" s="4">
        <f>Table6[[#This Row],[Teva Bellwether]]+Table6[[#This Row],[Teva Litigating Total Less Fees and Bellwether]]</f>
        <v>1895064.4736309783</v>
      </c>
      <c r="G3" s="4">
        <f>((Table14[[#This Row],[Allergan]]-Table14[[#This Row],[Allergan Attorney Fees ]])*0.15)*0.25</f>
        <v>507881.61252194142</v>
      </c>
      <c r="H3" s="4">
        <f>((Table14[[#This Row],[Allergan]]-Table14[[#This Row],[Allergan Attorney Fees ]])*0.15)*0.75</f>
        <v>1523644.8375658244</v>
      </c>
      <c r="I3" s="29">
        <f>Table6[[#This Row],[Allergan Bellwether]]+Table6[[#This Row],[Allergan Litigating Less Fees and Bellwether]]</f>
        <v>2031526.4500877657</v>
      </c>
      <c r="J3" s="3"/>
      <c r="K3" s="3"/>
    </row>
    <row r="4" spans="1:11" ht="15.6" x14ac:dyDescent="0.3">
      <c r="A4" s="22">
        <v>3</v>
      </c>
      <c r="B4" s="23">
        <v>46371</v>
      </c>
      <c r="C4" s="24">
        <f>Table14[[#This Row],[Teva/Allergan Litigating]]</f>
        <v>3179944.7635987373</v>
      </c>
      <c r="D4" s="4">
        <f>((Table14[[#This Row],[Teva]]-Table14[[#This Row],[Teva Attorney Fees]])*0.15)*0.25</f>
        <v>368996.25823667354</v>
      </c>
      <c r="E4" s="4">
        <f>((Table14[[#This Row],[Teva]]-Table14[[#This Row],[Teva Attorney Fees]])*0.15)*0.75</f>
        <v>1106988.7747100205</v>
      </c>
      <c r="F4" s="4">
        <f>Table6[[#This Row],[Teva Bellwether]]+Table6[[#This Row],[Teva Litigating Total Less Fees and Bellwether]]</f>
        <v>1475985.0329466942</v>
      </c>
      <c r="G4" s="4">
        <f>((Table14[[#This Row],[Allergan]]-Table14[[#This Row],[Allergan Attorney Fees ]])*0.15)*0.25</f>
        <v>425989.93266301067</v>
      </c>
      <c r="H4" s="4">
        <f>((Table14[[#This Row],[Allergan]]-Table14[[#This Row],[Allergan Attorney Fees ]])*0.15)*0.75</f>
        <v>1277969.797989032</v>
      </c>
      <c r="I4" s="29">
        <f>Table6[[#This Row],[Allergan Bellwether]]+Table6[[#This Row],[Allergan Litigating Less Fees and Bellwether]]</f>
        <v>1703959.7306520427</v>
      </c>
      <c r="J4" s="3"/>
      <c r="K4" s="3"/>
    </row>
    <row r="5" spans="1:11" ht="15.6" x14ac:dyDescent="0.3">
      <c r="A5" s="20">
        <v>4</v>
      </c>
      <c r="B5" s="21">
        <v>46736</v>
      </c>
      <c r="C5" s="25">
        <f>Table14[[#This Row],[Teva/Allergan Litigating]]</f>
        <v>3179944.7636675606</v>
      </c>
      <c r="D5" s="4">
        <f>((Table14[[#This Row],[Teva]]-Table14[[#This Row],[Teva Attorney Fees]])*0.15)*0.25</f>
        <v>368996.25823667354</v>
      </c>
      <c r="E5" s="4">
        <f>((Table14[[#This Row],[Teva]]-Table14[[#This Row],[Teva Attorney Fees]])*0.15)*0.75</f>
        <v>1106988.7747100205</v>
      </c>
      <c r="F5" s="4">
        <f>Table6[[#This Row],[Teva Bellwether]]+Table6[[#This Row],[Teva Litigating Total Less Fees and Bellwether]]</f>
        <v>1475985.0329466942</v>
      </c>
      <c r="G5" s="4">
        <f>((Table14[[#This Row],[Allergan]]-Table14[[#This Row],[Allergan Attorney Fees ]])*0.15)*0.25</f>
        <v>425989.93268021656</v>
      </c>
      <c r="H5" s="4">
        <f>((Table14[[#This Row],[Allergan]]-Table14[[#This Row],[Allergan Attorney Fees ]])*0.15)*0.75</f>
        <v>1277969.7980406496</v>
      </c>
      <c r="I5" s="29">
        <f>Table6[[#This Row],[Allergan Bellwether]]+Table6[[#This Row],[Allergan Litigating Less Fees and Bellwether]]</f>
        <v>1703959.7307208662</v>
      </c>
      <c r="J5" s="3"/>
      <c r="K5" s="3"/>
    </row>
    <row r="6" spans="1:11" ht="15.6" x14ac:dyDescent="0.3">
      <c r="A6" s="22">
        <v>5</v>
      </c>
      <c r="B6" s="23">
        <v>47102</v>
      </c>
      <c r="C6" s="24">
        <f>Table14[[#This Row],[Teva/Allergan Litigating]]</f>
        <v>3179944.7636675606</v>
      </c>
      <c r="D6" s="4">
        <f>((Table14[[#This Row],[Teva]]-Table14[[#This Row],[Teva Attorney Fees]])*0.15)*0.25</f>
        <v>368996.25823667354</v>
      </c>
      <c r="E6" s="4">
        <f>((Table14[[#This Row],[Teva]]-Table14[[#This Row],[Teva Attorney Fees]])*0.15)*0.75</f>
        <v>1106988.7747100205</v>
      </c>
      <c r="F6" s="4">
        <f>Table6[[#This Row],[Teva Bellwether]]+Table6[[#This Row],[Teva Litigating Total Less Fees and Bellwether]]</f>
        <v>1475985.0329466942</v>
      </c>
      <c r="G6" s="4">
        <f>((Table14[[#This Row],[Allergan]]-Table14[[#This Row],[Allergan Attorney Fees ]])*0.15)*0.25</f>
        <v>425989.93268021656</v>
      </c>
      <c r="H6" s="4">
        <f>((Table14[[#This Row],[Allergan]]-Table14[[#This Row],[Allergan Attorney Fees ]])*0.15)*0.75</f>
        <v>1277969.7980406496</v>
      </c>
      <c r="I6" s="29">
        <f>Table6[[#This Row],[Allergan Bellwether]]+Table6[[#This Row],[Allergan Litigating Less Fees and Bellwether]]</f>
        <v>1703959.7307208662</v>
      </c>
      <c r="J6" s="3"/>
      <c r="K6" s="3"/>
    </row>
    <row r="7" spans="1:11" ht="15.6" x14ac:dyDescent="0.3">
      <c r="A7" s="20">
        <v>6</v>
      </c>
      <c r="B7" s="21">
        <v>47467</v>
      </c>
      <c r="C7" s="25">
        <f>Table14[[#This Row],[Teva/Allergan Litigating]]</f>
        <v>3328350.9154488165</v>
      </c>
      <c r="D7" s="4">
        <f>((Table14[[#This Row],[Teva]]-Table14[[#This Row],[Teva Attorney Fees]])*0.15)*0.25</f>
        <v>389850.00720392901</v>
      </c>
      <c r="E7" s="4">
        <f>((Table14[[#This Row],[Teva]]-Table14[[#This Row],[Teva Attorney Fees]])*0.15)*0.75</f>
        <v>1169550.0216117869</v>
      </c>
      <c r="F7" s="4">
        <f>Table6[[#This Row],[Teva Bellwether]]+Table6[[#This Row],[Teva Litigating Total Less Fees and Bellwether]]</f>
        <v>1559400.028815716</v>
      </c>
      <c r="G7" s="4">
        <f>((Table14[[#This Row],[Allergan]]-Table14[[#This Row],[Allergan Attorney Fees ]])*0.15)*0.25</f>
        <v>442237.72165827511</v>
      </c>
      <c r="H7" s="4">
        <f>((Table14[[#This Row],[Allergan]]-Table14[[#This Row],[Allergan Attorney Fees ]])*0.15)*0.75</f>
        <v>1326713.1649748255</v>
      </c>
      <c r="I7" s="29">
        <f>Table6[[#This Row],[Allergan Bellwether]]+Table6[[#This Row],[Allergan Litigating Less Fees and Bellwether]]</f>
        <v>1768950.8866331005</v>
      </c>
      <c r="J7" s="3"/>
      <c r="K7" s="3"/>
    </row>
    <row r="8" spans="1:11" ht="15.6" x14ac:dyDescent="0.3">
      <c r="A8" s="22">
        <v>7</v>
      </c>
      <c r="B8" s="23">
        <v>47832</v>
      </c>
      <c r="C8" s="24">
        <f>Table14[[#This Row],[Teva/Allergan Litigating]]</f>
        <v>3328350.9154488165</v>
      </c>
      <c r="D8" s="4">
        <f>((Table14[[#This Row],[Teva]]-Table14[[#This Row],[Teva Attorney Fees]])*0.15)*0.25</f>
        <v>389850.00720392895</v>
      </c>
      <c r="E8" s="4">
        <f>((Table14[[#This Row],[Teva]]-Table14[[#This Row],[Teva Attorney Fees]])*0.15)*0.75</f>
        <v>1169550.0216117869</v>
      </c>
      <c r="F8" s="4">
        <f>Table6[[#This Row],[Teva Bellwether]]+Table6[[#This Row],[Teva Litigating Total Less Fees and Bellwether]]</f>
        <v>1559400.0288157158</v>
      </c>
      <c r="G8" s="4">
        <f>((Table14[[#This Row],[Allergan]]-Table14[[#This Row],[Allergan Attorney Fees ]])*0.15)*0.25</f>
        <v>442237.72165827511</v>
      </c>
      <c r="H8" s="4">
        <f>((Table14[[#This Row],[Allergan]]-Table14[[#This Row],[Allergan Attorney Fees ]])*0.15)*0.75</f>
        <v>1326713.1649748255</v>
      </c>
      <c r="I8" s="29">
        <f>Table6[[#This Row],[Allergan Bellwether]]+Table6[[#This Row],[Allergan Litigating Less Fees and Bellwether]]</f>
        <v>1768950.8866331005</v>
      </c>
      <c r="J8" s="3"/>
      <c r="K8" s="3"/>
    </row>
    <row r="9" spans="1:11" ht="15.6" x14ac:dyDescent="0.3">
      <c r="A9" s="20">
        <v>8</v>
      </c>
      <c r="B9" s="21">
        <v>48197</v>
      </c>
      <c r="C9" s="25">
        <f>Table14[[#This Row],[Teva/Allergan Litigating]]</f>
        <v>1559400.0288157158</v>
      </c>
      <c r="D9" s="4">
        <f>((Table14[[#This Row],[Teva]]-Table14[[#This Row],[Teva Attorney Fees]])*0.15)*0.25</f>
        <v>389850.00720392895</v>
      </c>
      <c r="E9" s="4">
        <f>((Table14[[#This Row],[Teva]]-Table14[[#This Row],[Teva Attorney Fees]])*0.15)*0.75</f>
        <v>1169550.0216117869</v>
      </c>
      <c r="F9" s="4">
        <f>Table6[[#This Row],[Teva Bellwether]]+Table6[[#This Row],[Teva Litigating Total Less Fees and Bellwether]]</f>
        <v>1559400.0288157158</v>
      </c>
      <c r="G9" s="4">
        <f>((Table14[[#This Row],[Allergan]]-Table14[[#This Row],[Allergan Attorney Fees ]])*0.15)*0.25</f>
        <v>0</v>
      </c>
      <c r="H9" s="4">
        <f>((Table14[[#This Row],[Allergan]]-Table14[[#This Row],[Allergan Attorney Fees ]])*0.15)*0.75</f>
        <v>0</v>
      </c>
      <c r="I9" s="29">
        <f>Table6[[#This Row],[Allergan Bellwether]]+Table6[[#This Row],[Allergan Litigating Less Fees and Bellwether]]</f>
        <v>0</v>
      </c>
      <c r="J9" s="3"/>
      <c r="K9" s="3"/>
    </row>
    <row r="10" spans="1:11" ht="15.6" x14ac:dyDescent="0.3">
      <c r="A10" s="22">
        <v>9</v>
      </c>
      <c r="B10" s="23">
        <v>48563</v>
      </c>
      <c r="C10" s="24">
        <f>Table14[[#This Row],[Teva/Allergan Litigating]]</f>
        <v>1559400.0288157158</v>
      </c>
      <c r="D10" s="4">
        <f>((Table14[[#This Row],[Teva]]-Table14[[#This Row],[Teva Attorney Fees]])*0.15)*0.25</f>
        <v>389850.00720392895</v>
      </c>
      <c r="E10" s="4">
        <f>((Table14[[#This Row],[Teva]]-Table14[[#This Row],[Teva Attorney Fees]])*0.15)*0.75</f>
        <v>1169550.0216117869</v>
      </c>
      <c r="F10" s="4">
        <f>Table6[[#This Row],[Teva Bellwether]]+Table6[[#This Row],[Teva Litigating Total Less Fees and Bellwether]]</f>
        <v>1559400.0288157158</v>
      </c>
      <c r="G10" s="4">
        <f>((Table14[[#This Row],[Allergan]]-Table14[[#This Row],[Allergan Attorney Fees ]])*0.15)*0.25</f>
        <v>0</v>
      </c>
      <c r="H10" s="4">
        <f>((Table14[[#This Row],[Allergan]]-Table14[[#This Row],[Allergan Attorney Fees ]])*0.15)*0.75</f>
        <v>0</v>
      </c>
      <c r="I10" s="29">
        <f>Table6[[#This Row],[Allergan Bellwether]]+Table6[[#This Row],[Allergan Litigating Less Fees and Bellwether]]</f>
        <v>0</v>
      </c>
      <c r="J10" s="3"/>
      <c r="K10" s="3"/>
    </row>
    <row r="11" spans="1:11" ht="15.6" x14ac:dyDescent="0.3">
      <c r="A11" s="20">
        <v>10</v>
      </c>
      <c r="B11" s="21">
        <v>48928</v>
      </c>
      <c r="C11" s="25">
        <f>Table14[[#This Row],[Teva/Allergan Litigating]]</f>
        <v>1559400.0288157158</v>
      </c>
      <c r="D11" s="4">
        <f>((Table14[[#This Row],[Teva]]-Table14[[#This Row],[Teva Attorney Fees]])*0.15)*0.25</f>
        <v>389850.00720392895</v>
      </c>
      <c r="E11" s="4">
        <f>((Table14[[#This Row],[Teva]]-Table14[[#This Row],[Teva Attorney Fees]])*0.15)*0.75</f>
        <v>1169550.0216117869</v>
      </c>
      <c r="F11" s="4">
        <f>Table6[[#This Row],[Teva Bellwether]]+Table6[[#This Row],[Teva Litigating Total Less Fees and Bellwether]]</f>
        <v>1559400.0288157158</v>
      </c>
      <c r="G11" s="4">
        <f>((Table14[[#This Row],[Allergan]]-Table14[[#This Row],[Allergan Attorney Fees ]])*0.15)*0.25</f>
        <v>0</v>
      </c>
      <c r="H11" s="4">
        <f>((Table14[[#This Row],[Allergan]]-Table14[[#This Row],[Allergan Attorney Fees ]])*0.15)*0.75</f>
        <v>0</v>
      </c>
      <c r="I11" s="29">
        <f>Table6[[#This Row],[Allergan Bellwether]]+Table6[[#This Row],[Allergan Litigating Less Fees and Bellwether]]</f>
        <v>0</v>
      </c>
      <c r="J11" s="3"/>
      <c r="K11" s="3"/>
    </row>
    <row r="12" spans="1:11" ht="15.6" x14ac:dyDescent="0.3">
      <c r="A12" s="22">
        <v>11</v>
      </c>
      <c r="B12" s="23">
        <v>49293</v>
      </c>
      <c r="C12" s="24">
        <f>Table14[[#This Row],[Teva/Allergan Litigating]]</f>
        <v>1559400.028815716</v>
      </c>
      <c r="D12" s="4">
        <f>((Table14[[#This Row],[Teva]]-Table14[[#This Row],[Teva Attorney Fees]])*0.15)*0.25</f>
        <v>389850.00720392901</v>
      </c>
      <c r="E12" s="4">
        <f>((Table14[[#This Row],[Teva]]-Table14[[#This Row],[Teva Attorney Fees]])*0.15)*0.75</f>
        <v>1169550.0216117869</v>
      </c>
      <c r="F12" s="4">
        <f>Table6[[#This Row],[Teva Bellwether]]+Table6[[#This Row],[Teva Litigating Total Less Fees and Bellwether]]</f>
        <v>1559400.028815716</v>
      </c>
      <c r="G12" s="4">
        <f>((Table14[[#This Row],[Allergan]]-Table14[[#This Row],[Allergan Attorney Fees ]])*0.15)*0.25</f>
        <v>0</v>
      </c>
      <c r="H12" s="4">
        <f>((Table14[[#This Row],[Allergan]]-Table14[[#This Row],[Allergan Attorney Fees ]])*0.15)*0.75</f>
        <v>0</v>
      </c>
      <c r="I12" s="29">
        <f>Table6[[#This Row],[Allergan Bellwether]]+Table6[[#This Row],[Allergan Litigating Less Fees and Bellwether]]</f>
        <v>0</v>
      </c>
      <c r="J12" s="3"/>
      <c r="K12" s="3"/>
    </row>
    <row r="13" spans="1:11" ht="15.6" x14ac:dyDescent="0.3">
      <c r="A13" s="20">
        <v>12</v>
      </c>
      <c r="B13" s="21">
        <v>49658</v>
      </c>
      <c r="C13" s="25">
        <f>Table14[[#This Row],[Teva/Allergan Litigating]]</f>
        <v>1559400.028815716</v>
      </c>
      <c r="D13" s="4">
        <f>((Table14[[#This Row],[Teva]]-Table14[[#This Row],[Teva Attorney Fees]])*0.15)*0.25</f>
        <v>389850.00720392901</v>
      </c>
      <c r="E13" s="4">
        <f>((Table14[[#This Row],[Teva]]-Table14[[#This Row],[Teva Attorney Fees]])*0.15)*0.75</f>
        <v>1169550.0216117869</v>
      </c>
      <c r="F13" s="4">
        <f>Table6[[#This Row],[Teva Bellwether]]+Table6[[#This Row],[Teva Litigating Total Less Fees and Bellwether]]</f>
        <v>1559400.028815716</v>
      </c>
      <c r="G13" s="4">
        <f>((Table14[[#This Row],[Allergan]]-Table14[[#This Row],[Allergan Attorney Fees ]])*0.15)*0.25</f>
        <v>0</v>
      </c>
      <c r="H13" s="4">
        <f>((Table14[[#This Row],[Allergan]]-Table14[[#This Row],[Allergan Attorney Fees ]])*0.15)*0.75</f>
        <v>0</v>
      </c>
      <c r="I13" s="29">
        <f>Table6[[#This Row],[Allergan Bellwether]]+Table6[[#This Row],[Allergan Litigating Less Fees and Bellwether]]</f>
        <v>0</v>
      </c>
      <c r="J13" s="3"/>
      <c r="K13" s="3"/>
    </row>
    <row r="14" spans="1:11" ht="15.6" x14ac:dyDescent="0.3">
      <c r="A14" s="22">
        <v>13</v>
      </c>
      <c r="B14" s="23">
        <v>50024</v>
      </c>
      <c r="C14" s="24">
        <f>Table14[[#This Row],[Teva/Allergan Litigating]]</f>
        <v>1559400.028815716</v>
      </c>
      <c r="D14" s="4">
        <f>((Table14[[#This Row],[Teva]]-Table14[[#This Row],[Teva Attorney Fees]])*0.15)*0.25</f>
        <v>389850.00720392901</v>
      </c>
      <c r="E14" s="4">
        <f>((Table14[[#This Row],[Teva]]-Table14[[#This Row],[Teva Attorney Fees]])*0.15)*0.75</f>
        <v>1169550.0216117869</v>
      </c>
      <c r="F14" s="4">
        <f>Table6[[#This Row],[Teva Bellwether]]+Table6[[#This Row],[Teva Litigating Total Less Fees and Bellwether]]</f>
        <v>1559400.028815716</v>
      </c>
      <c r="G14" s="4">
        <f>((Table14[[#This Row],[Allergan]]-Table14[[#This Row],[Allergan Attorney Fees ]])*0.15)*0.25</f>
        <v>0</v>
      </c>
      <c r="H14" s="4">
        <f>((Table14[[#This Row],[Allergan]]-Table14[[#This Row],[Allergan Attorney Fees ]])*0.15)*0.75</f>
        <v>0</v>
      </c>
      <c r="I14" s="29">
        <f>Table6[[#This Row],[Allergan Bellwether]]+Table6[[#This Row],[Allergan Litigating Less Fees and Bellwether]]</f>
        <v>0</v>
      </c>
      <c r="J14" s="3"/>
      <c r="K14" s="3"/>
    </row>
    <row r="15" spans="1:11" ht="15.6" x14ac:dyDescent="0.3">
      <c r="A15" s="26" t="s">
        <v>6</v>
      </c>
      <c r="B15" s="26"/>
      <c r="C15" s="26">
        <f>SUM(C2:C14)</f>
        <v>29331121.06666328</v>
      </c>
      <c r="D15" s="26">
        <f t="shared" ref="D15:I15" si="0">SUM(D2:D14)</f>
        <v>4678701.2017819425</v>
      </c>
      <c r="E15" s="26">
        <f t="shared" si="0"/>
        <v>14036103.605345828</v>
      </c>
      <c r="F15" s="26">
        <f t="shared" si="0"/>
        <v>18714804.80712777</v>
      </c>
      <c r="G15" s="26">
        <f t="shared" si="0"/>
        <v>2654079.0648838771</v>
      </c>
      <c r="H15" s="26">
        <f t="shared" si="0"/>
        <v>7962237.1946516316</v>
      </c>
      <c r="I15" s="26">
        <f t="shared" si="0"/>
        <v>10616316.259535508</v>
      </c>
      <c r="J15" s="3"/>
      <c r="K15" s="3"/>
    </row>
    <row r="16" spans="1:11" ht="15.6" x14ac:dyDescent="0.3">
      <c r="A16" s="3"/>
      <c r="B16" s="3"/>
      <c r="C16" s="3"/>
      <c r="D16" s="3"/>
      <c r="E16" s="3"/>
      <c r="F16" s="3"/>
      <c r="G16" s="3"/>
      <c r="H16" s="3"/>
      <c r="I16" s="3"/>
    </row>
    <row r="17" spans="1:9" ht="15.6" x14ac:dyDescent="0.3">
      <c r="A17" s="3" t="s">
        <v>232</v>
      </c>
      <c r="B17" s="3"/>
      <c r="C17" s="3"/>
      <c r="D17" s="3"/>
      <c r="E17" s="3"/>
      <c r="F17" s="3"/>
      <c r="G17" s="3"/>
      <c r="H17" s="3"/>
      <c r="I17" s="3"/>
    </row>
    <row r="18" spans="1:9" ht="15.6" x14ac:dyDescent="0.3">
      <c r="A18" s="3"/>
      <c r="B18" s="3"/>
      <c r="C18" s="3"/>
      <c r="D18" s="3"/>
      <c r="E18" s="3"/>
      <c r="F18" s="3"/>
      <c r="G18" s="3"/>
      <c r="H18" s="3"/>
      <c r="I18" s="3"/>
    </row>
    <row r="19" spans="1:9" ht="15.6" x14ac:dyDescent="0.3">
      <c r="A19" s="3"/>
      <c r="B19" s="3"/>
      <c r="C19" s="3"/>
      <c r="D19" s="3"/>
      <c r="E19" s="3"/>
      <c r="F19" s="3"/>
      <c r="G19" s="3"/>
      <c r="H19" s="3"/>
      <c r="I19" s="3"/>
    </row>
    <row r="20" spans="1:9" ht="15.6" x14ac:dyDescent="0.3">
      <c r="A20" s="3"/>
      <c r="B20" s="3"/>
      <c r="C20" s="3"/>
      <c r="D20" s="3"/>
      <c r="E20" s="3"/>
      <c r="F20" s="3"/>
      <c r="G20" s="3"/>
      <c r="H20" s="3"/>
      <c r="I20" s="3"/>
    </row>
    <row r="21" spans="1:9" ht="15.6" x14ac:dyDescent="0.3">
      <c r="A21" s="3"/>
      <c r="B21" s="3"/>
      <c r="C21" s="3"/>
      <c r="D21" s="3"/>
      <c r="E21" s="3"/>
      <c r="F21" s="3"/>
      <c r="G21" s="3"/>
      <c r="H21" s="3"/>
      <c r="I21" s="3"/>
    </row>
    <row r="22" spans="1:9" ht="15.6" x14ac:dyDescent="0.3">
      <c r="A22" s="3"/>
      <c r="B22" s="3"/>
      <c r="C22" s="3"/>
      <c r="D22" s="3"/>
      <c r="E22" s="3"/>
      <c r="F22" s="3"/>
      <c r="G22" s="3"/>
      <c r="H22" s="3"/>
      <c r="I22" s="3"/>
    </row>
    <row r="23" spans="1:9" ht="15.6" x14ac:dyDescent="0.3">
      <c r="A23" s="3"/>
      <c r="B23" s="3"/>
      <c r="C23" s="3"/>
      <c r="D23" s="3"/>
      <c r="E23" s="3"/>
      <c r="F23" s="3"/>
      <c r="G23" s="3"/>
      <c r="H23" s="3"/>
      <c r="I23" s="3"/>
    </row>
    <row r="24" spans="1:9" ht="15.6" x14ac:dyDescent="0.3">
      <c r="A24" s="3"/>
      <c r="B24" s="3"/>
      <c r="C24" s="3"/>
      <c r="D24" s="3"/>
      <c r="E24" s="3"/>
      <c r="F24" s="9"/>
      <c r="G24" s="3"/>
      <c r="H24" s="3"/>
      <c r="I24" s="3"/>
    </row>
  </sheetData>
  <pageMargins left="0.7" right="0.7" top="0.75" bottom="0.75" header="0.3" footer="0.3"/>
  <pageSetup orientation="portrait" r:id="rId1"/>
  <customProperties>
    <customPr name="OrphanNamesChecke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2988-8452-4CD6-B159-9E4435B1B67C}">
  <dimension ref="A1:R136"/>
  <sheetViews>
    <sheetView topLeftCell="A10" zoomScale="146" zoomScaleNormal="146" workbookViewId="0">
      <selection activeCell="C95" sqref="C95"/>
    </sheetView>
  </sheetViews>
  <sheetFormatPr defaultRowHeight="14.4" x14ac:dyDescent="0.3"/>
  <cols>
    <col min="1" max="1" width="38.88671875" customWidth="1"/>
    <col min="2" max="2" width="9" bestFit="1" customWidth="1"/>
    <col min="3" max="3" width="23.6640625" customWidth="1"/>
    <col min="4" max="4" width="18.21875" customWidth="1"/>
    <col min="5" max="5" width="19.109375" hidden="1" customWidth="1"/>
    <col min="6" max="6" width="17.88671875" hidden="1" customWidth="1"/>
    <col min="7" max="7" width="16.44140625" hidden="1" customWidth="1"/>
    <col min="8" max="8" width="21.44140625" hidden="1" customWidth="1"/>
    <col min="9" max="9" width="14.88671875" bestFit="1" customWidth="1"/>
    <col min="10" max="10" width="17.109375" bestFit="1" customWidth="1"/>
    <col min="11" max="11" width="11.5546875" bestFit="1" customWidth="1"/>
    <col min="12" max="12" width="14.5546875" bestFit="1" customWidth="1"/>
    <col min="13" max="13" width="3.88671875" customWidth="1"/>
    <col min="14" max="14" width="14.21875" hidden="1" customWidth="1"/>
    <col min="15" max="17" width="8.88671875" hidden="1" customWidth="1"/>
    <col min="18" max="18" width="18.5546875" bestFit="1" customWidth="1"/>
  </cols>
  <sheetData>
    <row r="1" spans="1:9" x14ac:dyDescent="0.3">
      <c r="A1" s="100" t="s">
        <v>396</v>
      </c>
      <c r="B1" s="100" t="s">
        <v>355</v>
      </c>
      <c r="C1" s="105" t="s">
        <v>488</v>
      </c>
      <c r="D1" s="105"/>
      <c r="E1" s="103"/>
      <c r="F1" s="103"/>
      <c r="G1" s="103"/>
      <c r="H1" s="103"/>
      <c r="I1" s="100"/>
    </row>
    <row r="2" spans="1:9" x14ac:dyDescent="0.3">
      <c r="A2" s="99" t="s">
        <v>26</v>
      </c>
      <c r="B2" s="99">
        <v>1</v>
      </c>
      <c r="C2" s="98">
        <v>262828.72781065147</v>
      </c>
      <c r="D2" s="98"/>
      <c r="E2" s="98"/>
      <c r="F2" s="98"/>
      <c r="G2" s="98"/>
      <c r="H2" s="98"/>
      <c r="I2" s="97"/>
    </row>
    <row r="3" spans="1:9" x14ac:dyDescent="0.3">
      <c r="A3" s="35" t="s">
        <v>27</v>
      </c>
      <c r="B3" s="35">
        <v>2</v>
      </c>
      <c r="C3" s="97">
        <v>6967189.7524823286</v>
      </c>
      <c r="D3" s="97"/>
      <c r="E3" s="97"/>
      <c r="F3" s="97"/>
      <c r="G3" s="97"/>
      <c r="H3" s="104"/>
      <c r="I3" s="97"/>
    </row>
    <row r="4" spans="1:9" x14ac:dyDescent="0.3">
      <c r="A4" s="99" t="s">
        <v>28</v>
      </c>
      <c r="B4" s="99">
        <v>3</v>
      </c>
      <c r="C4" s="98">
        <v>366585.18946713908</v>
      </c>
      <c r="D4" s="98"/>
      <c r="E4" s="98"/>
      <c r="F4" s="98"/>
      <c r="G4" s="98"/>
      <c r="H4" s="98"/>
      <c r="I4" s="97"/>
    </row>
    <row r="5" spans="1:9" x14ac:dyDescent="0.3">
      <c r="A5" s="35" t="s">
        <v>29</v>
      </c>
      <c r="B5" s="35">
        <v>4</v>
      </c>
      <c r="C5" s="97">
        <v>788381.60454764962</v>
      </c>
      <c r="D5" s="97"/>
      <c r="E5" s="97"/>
      <c r="F5" s="97"/>
      <c r="G5" s="97"/>
      <c r="H5" s="97"/>
      <c r="I5" s="97"/>
    </row>
    <row r="6" spans="1:9" x14ac:dyDescent="0.3">
      <c r="A6" s="99" t="s">
        <v>30</v>
      </c>
      <c r="B6" s="99">
        <v>5</v>
      </c>
      <c r="C6" s="98">
        <v>132275.05347983376</v>
      </c>
      <c r="D6" s="98"/>
      <c r="E6" s="98"/>
      <c r="F6" s="98"/>
      <c r="G6" s="98"/>
      <c r="H6" s="98"/>
      <c r="I6" s="97"/>
    </row>
    <row r="7" spans="1:9" x14ac:dyDescent="0.3">
      <c r="A7" s="35" t="s">
        <v>31</v>
      </c>
      <c r="B7" s="35">
        <v>6</v>
      </c>
      <c r="C7" s="97">
        <v>1018979.5383515304</v>
      </c>
      <c r="D7" s="97"/>
      <c r="E7" s="97"/>
      <c r="F7" s="97"/>
      <c r="G7" s="97"/>
      <c r="H7" s="97"/>
      <c r="I7" s="97"/>
    </row>
    <row r="8" spans="1:9" x14ac:dyDescent="0.3">
      <c r="A8" s="99" t="s">
        <v>32</v>
      </c>
      <c r="B8" s="99">
        <v>7</v>
      </c>
      <c r="C8" s="98">
        <v>434858.04165987222</v>
      </c>
      <c r="D8" s="98"/>
      <c r="E8" s="98"/>
      <c r="F8" s="98"/>
      <c r="G8" s="98"/>
      <c r="H8" s="98"/>
      <c r="I8" s="97"/>
    </row>
    <row r="9" spans="1:9" x14ac:dyDescent="0.3">
      <c r="A9" s="35" t="s">
        <v>33</v>
      </c>
      <c r="B9" s="35">
        <v>8</v>
      </c>
      <c r="C9" s="97">
        <v>150394.84656813438</v>
      </c>
      <c r="D9" s="97"/>
      <c r="E9" s="97"/>
      <c r="F9" s="97"/>
      <c r="G9" s="97"/>
      <c r="H9" s="97"/>
      <c r="I9" s="97"/>
    </row>
    <row r="10" spans="1:9" x14ac:dyDescent="0.3">
      <c r="A10" s="99" t="s">
        <v>34</v>
      </c>
      <c r="B10" s="99">
        <v>9</v>
      </c>
      <c r="C10" s="98">
        <v>3518557.1921808263</v>
      </c>
      <c r="D10" s="98"/>
      <c r="E10" s="98"/>
      <c r="F10" s="98"/>
      <c r="G10" s="98"/>
      <c r="H10" s="98"/>
      <c r="I10" s="97"/>
    </row>
    <row r="11" spans="1:9" x14ac:dyDescent="0.3">
      <c r="A11" s="35" t="s">
        <v>35</v>
      </c>
      <c r="B11" s="35">
        <v>10</v>
      </c>
      <c r="C11" s="97">
        <v>737695.9069482832</v>
      </c>
      <c r="D11" s="97"/>
      <c r="E11" s="97"/>
      <c r="F11" s="97"/>
      <c r="G11" s="97"/>
      <c r="H11" s="97"/>
      <c r="I11" s="97"/>
    </row>
    <row r="12" spans="1:9" x14ac:dyDescent="0.3">
      <c r="A12" s="99" t="s">
        <v>36</v>
      </c>
      <c r="B12" s="99">
        <v>11</v>
      </c>
      <c r="C12" s="98">
        <v>935992.31185628753</v>
      </c>
      <c r="D12" s="98"/>
      <c r="E12" s="98"/>
      <c r="F12" s="98"/>
      <c r="G12" s="98"/>
      <c r="H12" s="98"/>
      <c r="I12" s="97"/>
    </row>
    <row r="13" spans="1:9" x14ac:dyDescent="0.3">
      <c r="A13" s="35" t="s">
        <v>37</v>
      </c>
      <c r="B13" s="35">
        <v>12</v>
      </c>
      <c r="C13" s="97">
        <v>77462.718767322978</v>
      </c>
      <c r="D13" s="97"/>
      <c r="E13" s="97"/>
      <c r="F13" s="97"/>
      <c r="G13" s="97"/>
      <c r="H13" s="97"/>
      <c r="I13" s="97"/>
    </row>
    <row r="14" spans="1:9" x14ac:dyDescent="0.3">
      <c r="A14" s="99" t="s">
        <v>38</v>
      </c>
      <c r="B14" s="99">
        <v>13</v>
      </c>
      <c r="C14" s="98">
        <v>532044.9049532169</v>
      </c>
      <c r="D14" s="98"/>
      <c r="E14" s="98"/>
      <c r="F14" s="98"/>
      <c r="G14" s="98"/>
      <c r="H14" s="98"/>
      <c r="I14" s="97"/>
    </row>
    <row r="15" spans="1:9" x14ac:dyDescent="0.3">
      <c r="A15" s="35" t="s">
        <v>39</v>
      </c>
      <c r="B15" s="35">
        <v>14</v>
      </c>
      <c r="C15" s="97">
        <v>134714.40719290738</v>
      </c>
      <c r="D15" s="97"/>
      <c r="E15" s="97"/>
      <c r="F15" s="97"/>
      <c r="G15" s="97"/>
      <c r="H15" s="97"/>
      <c r="I15" s="97"/>
    </row>
    <row r="16" spans="1:9" x14ac:dyDescent="0.3">
      <c r="A16" s="99" t="s">
        <v>40</v>
      </c>
      <c r="B16" s="99">
        <v>15</v>
      </c>
      <c r="C16" s="98">
        <v>1525312.2938164375</v>
      </c>
      <c r="D16" s="98"/>
      <c r="E16" s="98"/>
      <c r="F16" s="98"/>
      <c r="G16" s="98"/>
      <c r="H16" s="98"/>
      <c r="I16" s="97"/>
    </row>
    <row r="17" spans="1:9" x14ac:dyDescent="0.3">
      <c r="A17" s="35" t="s">
        <v>41</v>
      </c>
      <c r="B17" s="35">
        <v>16</v>
      </c>
      <c r="C17" s="97">
        <v>101766.57351909236</v>
      </c>
      <c r="D17" s="97"/>
      <c r="E17" s="97"/>
      <c r="F17" s="97"/>
      <c r="G17" s="97"/>
      <c r="H17" s="97"/>
      <c r="I17" s="97"/>
    </row>
    <row r="18" spans="1:9" x14ac:dyDescent="0.3">
      <c r="A18" s="99" t="s">
        <v>42</v>
      </c>
      <c r="B18" s="99">
        <v>17</v>
      </c>
      <c r="C18" s="98">
        <v>209909.72610393423</v>
      </c>
      <c r="D18" s="98"/>
      <c r="E18" s="98"/>
      <c r="F18" s="98"/>
      <c r="G18" s="98"/>
      <c r="H18" s="98"/>
      <c r="I18" s="97"/>
    </row>
    <row r="19" spans="1:9" x14ac:dyDescent="0.3">
      <c r="A19" s="35" t="s">
        <v>43</v>
      </c>
      <c r="B19" s="35">
        <v>18</v>
      </c>
      <c r="C19" s="97">
        <v>100143.81099928687</v>
      </c>
      <c r="D19" s="97"/>
      <c r="E19" s="97"/>
      <c r="F19" s="97"/>
      <c r="G19" s="97"/>
      <c r="H19" s="97"/>
      <c r="I19" s="97"/>
    </row>
    <row r="20" spans="1:9" x14ac:dyDescent="0.3">
      <c r="A20" s="99" t="s">
        <v>44</v>
      </c>
      <c r="B20" s="99">
        <v>19</v>
      </c>
      <c r="C20" s="98">
        <v>216518.1609613343</v>
      </c>
      <c r="D20" s="98"/>
      <c r="E20" s="98"/>
      <c r="F20" s="98"/>
      <c r="G20" s="98"/>
      <c r="H20" s="98"/>
      <c r="I20" s="97"/>
    </row>
    <row r="21" spans="1:9" x14ac:dyDescent="0.3">
      <c r="A21" s="35" t="s">
        <v>45</v>
      </c>
      <c r="B21" s="35">
        <v>20</v>
      </c>
      <c r="C21" s="97">
        <v>436078.96209198359</v>
      </c>
      <c r="D21" s="97"/>
      <c r="E21" s="97"/>
      <c r="F21" s="97"/>
      <c r="G21" s="97"/>
      <c r="H21" s="97"/>
      <c r="I21" s="97"/>
    </row>
    <row r="22" spans="1:9" x14ac:dyDescent="0.3">
      <c r="A22" s="99" t="s">
        <v>46</v>
      </c>
      <c r="B22" s="99">
        <v>21</v>
      </c>
      <c r="C22" s="98">
        <v>729600.02525107004</v>
      </c>
      <c r="D22" s="98"/>
      <c r="E22" s="98"/>
      <c r="F22" s="98"/>
      <c r="G22" s="98"/>
      <c r="H22" s="98"/>
      <c r="I22" s="97"/>
    </row>
    <row r="23" spans="1:9" x14ac:dyDescent="0.3">
      <c r="A23" s="35" t="s">
        <v>47</v>
      </c>
      <c r="B23" s="35">
        <v>22</v>
      </c>
      <c r="C23" s="97">
        <v>1033734.129903808</v>
      </c>
      <c r="D23" s="97"/>
      <c r="E23" s="97"/>
      <c r="F23" s="97"/>
      <c r="G23" s="97"/>
      <c r="H23" s="97"/>
      <c r="I23" s="97"/>
    </row>
    <row r="24" spans="1:9" x14ac:dyDescent="0.3">
      <c r="A24" s="99" t="s">
        <v>48</v>
      </c>
      <c r="B24" s="99">
        <v>23</v>
      </c>
      <c r="C24" s="98">
        <v>4395249.0568143204</v>
      </c>
      <c r="D24" s="98"/>
      <c r="E24" s="98"/>
      <c r="F24" s="98"/>
      <c r="G24" s="98"/>
      <c r="H24" s="98"/>
      <c r="I24" s="97"/>
    </row>
    <row r="25" spans="1:9" x14ac:dyDescent="0.3">
      <c r="A25" s="35" t="s">
        <v>49</v>
      </c>
      <c r="B25" s="35">
        <v>24</v>
      </c>
      <c r="C25" s="97">
        <v>90528.045690932267</v>
      </c>
      <c r="D25" s="97"/>
      <c r="E25" s="97"/>
      <c r="F25" s="97"/>
      <c r="G25" s="97"/>
      <c r="H25" s="97"/>
      <c r="I25" s="97"/>
    </row>
    <row r="26" spans="1:9" x14ac:dyDescent="0.3">
      <c r="A26" s="99" t="s">
        <v>50</v>
      </c>
      <c r="B26" s="99">
        <v>25</v>
      </c>
      <c r="C26" s="98">
        <v>1269249.1372396336</v>
      </c>
      <c r="D26" s="98"/>
      <c r="E26" s="98"/>
      <c r="F26" s="98"/>
      <c r="G26" s="98"/>
      <c r="H26" s="98"/>
      <c r="I26" s="97"/>
    </row>
    <row r="27" spans="1:9" x14ac:dyDescent="0.3">
      <c r="A27" s="35" t="s">
        <v>51</v>
      </c>
      <c r="B27" s="35">
        <v>26</v>
      </c>
      <c r="C27" s="97">
        <v>805718.64174335904</v>
      </c>
      <c r="D27" s="97"/>
      <c r="E27" s="97"/>
      <c r="F27" s="97"/>
      <c r="G27" s="97"/>
      <c r="H27" s="97"/>
      <c r="I27" s="97"/>
    </row>
    <row r="28" spans="1:9" x14ac:dyDescent="0.3">
      <c r="A28" s="99" t="s">
        <v>52</v>
      </c>
      <c r="B28" s="99">
        <v>27</v>
      </c>
      <c r="C28" s="98">
        <v>77462.718767322978</v>
      </c>
      <c r="D28" s="98"/>
      <c r="E28" s="98"/>
      <c r="F28" s="98"/>
      <c r="G28" s="98"/>
      <c r="H28" s="98"/>
      <c r="I28" s="97"/>
    </row>
    <row r="29" spans="1:9" x14ac:dyDescent="0.3">
      <c r="A29" s="35" t="s">
        <v>53</v>
      </c>
      <c r="B29" s="35">
        <v>28</v>
      </c>
      <c r="C29" s="97">
        <v>371410.88645593578</v>
      </c>
      <c r="D29" s="97"/>
      <c r="E29" s="97"/>
      <c r="F29" s="97"/>
      <c r="G29" s="97"/>
      <c r="H29" s="97"/>
      <c r="I29" s="97"/>
    </row>
    <row r="30" spans="1:9" x14ac:dyDescent="0.3">
      <c r="A30" s="99" t="s">
        <v>54</v>
      </c>
      <c r="B30" s="99">
        <v>29</v>
      </c>
      <c r="C30" s="98">
        <v>77462.718767322978</v>
      </c>
      <c r="D30" s="98"/>
      <c r="E30" s="98"/>
      <c r="F30" s="98"/>
      <c r="G30" s="98"/>
      <c r="H30" s="98"/>
      <c r="I30" s="97"/>
    </row>
    <row r="31" spans="1:9" x14ac:dyDescent="0.3">
      <c r="A31" s="35" t="s">
        <v>55</v>
      </c>
      <c r="B31" s="35">
        <v>30</v>
      </c>
      <c r="C31" s="97">
        <v>132240.84737682843</v>
      </c>
      <c r="D31" s="97"/>
      <c r="E31" s="97"/>
      <c r="F31" s="97"/>
      <c r="G31" s="97"/>
      <c r="H31" s="97"/>
      <c r="I31" s="97"/>
    </row>
    <row r="32" spans="1:9" x14ac:dyDescent="0.3">
      <c r="A32" s="99" t="s">
        <v>56</v>
      </c>
      <c r="B32" s="99">
        <v>31</v>
      </c>
      <c r="C32" s="98">
        <v>123159.22373719612</v>
      </c>
      <c r="D32" s="98"/>
      <c r="E32" s="98"/>
      <c r="F32" s="98"/>
      <c r="G32" s="98"/>
      <c r="H32" s="98"/>
      <c r="I32" s="97"/>
    </row>
    <row r="33" spans="1:9" x14ac:dyDescent="0.3">
      <c r="A33" s="35" t="s">
        <v>57</v>
      </c>
      <c r="B33" s="35">
        <v>32</v>
      </c>
      <c r="C33" s="97">
        <v>418456.535342146</v>
      </c>
      <c r="D33" s="97"/>
      <c r="E33" s="97"/>
      <c r="F33" s="97"/>
      <c r="G33" s="97"/>
      <c r="H33" s="97"/>
      <c r="I33" s="97"/>
    </row>
    <row r="34" spans="1:9" x14ac:dyDescent="0.3">
      <c r="A34" s="99" t="s">
        <v>58</v>
      </c>
      <c r="B34" s="99">
        <v>33</v>
      </c>
      <c r="C34" s="98">
        <v>101844.03203661912</v>
      </c>
      <c r="D34" s="98"/>
      <c r="E34" s="98"/>
      <c r="F34" s="98"/>
      <c r="G34" s="98"/>
      <c r="H34" s="98"/>
      <c r="I34" s="97"/>
    </row>
    <row r="35" spans="1:9" x14ac:dyDescent="0.3">
      <c r="A35" s="35" t="s">
        <v>59</v>
      </c>
      <c r="B35" s="35">
        <v>34</v>
      </c>
      <c r="C35" s="97">
        <v>77462.718767322978</v>
      </c>
      <c r="D35" s="97"/>
      <c r="E35" s="97"/>
      <c r="F35" s="97"/>
      <c r="G35" s="97"/>
      <c r="H35" s="97"/>
      <c r="I35" s="97"/>
    </row>
    <row r="36" spans="1:9" x14ac:dyDescent="0.3">
      <c r="A36" s="99" t="s">
        <v>60</v>
      </c>
      <c r="B36" s="99">
        <v>35</v>
      </c>
      <c r="C36" s="98">
        <v>881383.0686328304</v>
      </c>
      <c r="D36" s="98"/>
      <c r="E36" s="98"/>
      <c r="F36" s="98"/>
      <c r="G36" s="98"/>
      <c r="H36" s="98"/>
      <c r="I36" s="97"/>
    </row>
    <row r="37" spans="1:9" x14ac:dyDescent="0.3">
      <c r="A37" s="35" t="s">
        <v>61</v>
      </c>
      <c r="B37" s="35">
        <v>36</v>
      </c>
      <c r="C37" s="97">
        <v>1221051.110409532</v>
      </c>
      <c r="D37" s="97"/>
      <c r="E37" s="97"/>
      <c r="F37" s="97"/>
      <c r="G37" s="97"/>
      <c r="H37" s="97"/>
      <c r="I37" s="97"/>
    </row>
    <row r="38" spans="1:9" x14ac:dyDescent="0.3">
      <c r="A38" s="99" t="s">
        <v>62</v>
      </c>
      <c r="B38" s="99">
        <v>37</v>
      </c>
      <c r="C38" s="98">
        <v>585057.24982064124</v>
      </c>
      <c r="D38" s="98"/>
      <c r="E38" s="98"/>
      <c r="F38" s="98"/>
      <c r="G38" s="98"/>
      <c r="H38" s="98"/>
      <c r="I38" s="97"/>
    </row>
    <row r="39" spans="1:9" x14ac:dyDescent="0.3">
      <c r="A39" s="35" t="s">
        <v>63</v>
      </c>
      <c r="B39" s="35">
        <v>38</v>
      </c>
      <c r="C39" s="97">
        <v>324931.084770758</v>
      </c>
      <c r="D39" s="97"/>
      <c r="E39" s="97"/>
      <c r="F39" s="97"/>
      <c r="G39" s="97"/>
      <c r="H39" s="97"/>
      <c r="I39" s="97"/>
    </row>
    <row r="40" spans="1:9" x14ac:dyDescent="0.3">
      <c r="A40" s="99" t="s">
        <v>64</v>
      </c>
      <c r="B40" s="99">
        <v>39</v>
      </c>
      <c r="C40" s="98">
        <v>1362218.2167606819</v>
      </c>
      <c r="D40" s="98"/>
      <c r="E40" s="98"/>
      <c r="F40" s="98"/>
      <c r="G40" s="98"/>
      <c r="H40" s="98"/>
      <c r="I40" s="97"/>
    </row>
    <row r="41" spans="1:9" x14ac:dyDescent="0.3">
      <c r="A41" s="35" t="s">
        <v>65</v>
      </c>
      <c r="B41" s="35">
        <v>40</v>
      </c>
      <c r="C41" s="97">
        <v>1965721.9965002332</v>
      </c>
      <c r="D41" s="97"/>
      <c r="E41" s="97"/>
      <c r="F41" s="97"/>
      <c r="G41" s="97"/>
      <c r="H41" s="97"/>
      <c r="I41" s="97"/>
    </row>
    <row r="42" spans="1:9" x14ac:dyDescent="0.3">
      <c r="A42" s="99" t="s">
        <v>66</v>
      </c>
      <c r="B42" s="99">
        <v>41</v>
      </c>
      <c r="C42" s="98">
        <v>423408.24665084312</v>
      </c>
      <c r="D42" s="98"/>
      <c r="E42" s="98"/>
      <c r="F42" s="98"/>
      <c r="G42" s="98"/>
      <c r="H42" s="98"/>
      <c r="I42" s="97"/>
    </row>
    <row r="43" spans="1:9" x14ac:dyDescent="0.3">
      <c r="A43" s="35" t="s">
        <v>67</v>
      </c>
      <c r="B43" s="35">
        <v>42</v>
      </c>
      <c r="C43" s="97">
        <v>96994.323602753313</v>
      </c>
      <c r="D43" s="97"/>
      <c r="E43" s="97"/>
      <c r="F43" s="97"/>
      <c r="G43" s="97"/>
      <c r="H43" s="97"/>
      <c r="I43" s="97"/>
    </row>
    <row r="44" spans="1:9" x14ac:dyDescent="0.3">
      <c r="A44" s="99" t="s">
        <v>68</v>
      </c>
      <c r="B44" s="99">
        <v>43</v>
      </c>
      <c r="C44" s="98">
        <v>579138.13451988762</v>
      </c>
      <c r="D44" s="98"/>
      <c r="E44" s="98"/>
      <c r="F44" s="98"/>
      <c r="G44" s="98"/>
      <c r="H44" s="98"/>
      <c r="I44" s="97"/>
    </row>
    <row r="45" spans="1:9" x14ac:dyDescent="0.3">
      <c r="A45" s="35" t="s">
        <v>69</v>
      </c>
      <c r="B45" s="35">
        <v>44</v>
      </c>
      <c r="C45" s="97">
        <v>93222.3539750973</v>
      </c>
      <c r="D45" s="97"/>
      <c r="E45" s="97"/>
      <c r="F45" s="97"/>
      <c r="G45" s="97"/>
      <c r="H45" s="97"/>
      <c r="I45" s="97"/>
    </row>
    <row r="46" spans="1:9" x14ac:dyDescent="0.3">
      <c r="A46" s="99" t="s">
        <v>70</v>
      </c>
      <c r="B46" s="99">
        <v>45</v>
      </c>
      <c r="C46" s="98">
        <v>547580.11885987408</v>
      </c>
      <c r="D46" s="98"/>
      <c r="E46" s="98"/>
      <c r="F46" s="98"/>
      <c r="G46" s="98"/>
      <c r="H46" s="98"/>
      <c r="I46" s="97"/>
    </row>
    <row r="47" spans="1:9" x14ac:dyDescent="0.3">
      <c r="A47" s="35" t="s">
        <v>71</v>
      </c>
      <c r="B47" s="35">
        <v>46</v>
      </c>
      <c r="C47" s="97">
        <v>2719613.8051319369</v>
      </c>
      <c r="D47" s="97"/>
      <c r="E47" s="97"/>
      <c r="F47" s="97"/>
      <c r="G47" s="97"/>
      <c r="H47" s="97"/>
      <c r="I47" s="97"/>
    </row>
    <row r="48" spans="1:9" x14ac:dyDescent="0.3">
      <c r="A48" s="99" t="s">
        <v>72</v>
      </c>
      <c r="B48" s="99">
        <v>47</v>
      </c>
      <c r="C48" s="98">
        <v>77462.718767322978</v>
      </c>
      <c r="D48" s="98"/>
      <c r="E48" s="98"/>
      <c r="F48" s="98"/>
      <c r="G48" s="98"/>
      <c r="H48" s="98"/>
      <c r="I48" s="97"/>
    </row>
    <row r="49" spans="1:9" x14ac:dyDescent="0.3">
      <c r="A49" s="35" t="s">
        <v>73</v>
      </c>
      <c r="B49" s="35">
        <v>48</v>
      </c>
      <c r="C49" s="97">
        <v>998376.52313826035</v>
      </c>
      <c r="D49" s="97"/>
      <c r="E49" s="97"/>
      <c r="F49" s="97"/>
      <c r="G49" s="97"/>
      <c r="H49" s="97"/>
      <c r="I49" s="97"/>
    </row>
    <row r="50" spans="1:9" x14ac:dyDescent="0.3">
      <c r="A50" s="99" t="s">
        <v>74</v>
      </c>
      <c r="B50" s="99">
        <v>49</v>
      </c>
      <c r="C50" s="98">
        <v>366964.40211526299</v>
      </c>
      <c r="D50" s="98"/>
      <c r="E50" s="98"/>
      <c r="F50" s="98"/>
      <c r="G50" s="98"/>
      <c r="H50" s="98"/>
      <c r="I50" s="97"/>
    </row>
    <row r="51" spans="1:9" x14ac:dyDescent="0.3">
      <c r="A51" s="35" t="s">
        <v>75</v>
      </c>
      <c r="B51" s="35">
        <v>50</v>
      </c>
      <c r="C51" s="97">
        <v>124476.08219071156</v>
      </c>
      <c r="D51" s="97"/>
      <c r="E51" s="97"/>
      <c r="F51" s="97"/>
      <c r="G51" s="97"/>
      <c r="H51" s="97"/>
      <c r="I51" s="97"/>
    </row>
    <row r="52" spans="1:9" x14ac:dyDescent="0.3">
      <c r="A52" s="99" t="s">
        <v>76</v>
      </c>
      <c r="B52" s="99">
        <v>51</v>
      </c>
      <c r="C52" s="98">
        <v>15477085.21836172</v>
      </c>
      <c r="D52" s="98"/>
      <c r="E52" s="98"/>
      <c r="F52" s="98"/>
      <c r="G52" s="98"/>
      <c r="H52" s="98"/>
      <c r="I52" s="97"/>
    </row>
    <row r="53" spans="1:9" x14ac:dyDescent="0.3">
      <c r="A53" s="35" t="s">
        <v>77</v>
      </c>
      <c r="B53" s="35">
        <v>52</v>
      </c>
      <c r="C53" s="97">
        <v>191227.55078374865</v>
      </c>
      <c r="D53" s="97"/>
      <c r="E53" s="97"/>
      <c r="F53" s="97"/>
      <c r="G53" s="97"/>
      <c r="H53" s="97"/>
      <c r="I53" s="97"/>
    </row>
    <row r="54" spans="1:9" x14ac:dyDescent="0.3">
      <c r="A54" s="99" t="s">
        <v>78</v>
      </c>
      <c r="B54" s="99">
        <v>53</v>
      </c>
      <c r="C54" s="98">
        <v>77462.718767322978</v>
      </c>
      <c r="D54" s="98"/>
      <c r="E54" s="98"/>
      <c r="F54" s="98"/>
      <c r="G54" s="98"/>
      <c r="H54" s="98"/>
      <c r="I54" s="97"/>
    </row>
    <row r="55" spans="1:9" x14ac:dyDescent="0.3">
      <c r="A55" s="35" t="s">
        <v>79</v>
      </c>
      <c r="B55" s="35">
        <v>54</v>
      </c>
      <c r="C55" s="97">
        <v>617949.25055056508</v>
      </c>
      <c r="D55" s="97"/>
      <c r="E55" s="97"/>
      <c r="F55" s="97"/>
      <c r="G55" s="97"/>
      <c r="H55" s="97"/>
      <c r="I55" s="97"/>
    </row>
    <row r="56" spans="1:9" x14ac:dyDescent="0.3">
      <c r="A56" s="99" t="s">
        <v>80</v>
      </c>
      <c r="B56" s="99">
        <v>55</v>
      </c>
      <c r="C56" s="98">
        <v>77462.718767322978</v>
      </c>
      <c r="D56" s="98"/>
      <c r="E56" s="98"/>
      <c r="F56" s="98"/>
      <c r="G56" s="98"/>
      <c r="H56" s="98"/>
      <c r="I56" s="97"/>
    </row>
    <row r="57" spans="1:9" x14ac:dyDescent="0.3">
      <c r="A57" s="35" t="s">
        <v>81</v>
      </c>
      <c r="B57" s="35">
        <v>56</v>
      </c>
      <c r="C57" s="97">
        <v>229014.42251149568</v>
      </c>
      <c r="D57" s="97"/>
      <c r="E57" s="97"/>
      <c r="F57" s="97"/>
      <c r="G57" s="97"/>
      <c r="H57" s="97"/>
      <c r="I57" s="97"/>
    </row>
    <row r="58" spans="1:9" x14ac:dyDescent="0.3">
      <c r="A58" s="99" t="s">
        <v>82</v>
      </c>
      <c r="B58" s="99">
        <v>57</v>
      </c>
      <c r="C58" s="98">
        <v>77462.718767322978</v>
      </c>
      <c r="D58" s="98"/>
      <c r="E58" s="98"/>
      <c r="F58" s="98"/>
      <c r="G58" s="98"/>
      <c r="H58" s="98"/>
      <c r="I58" s="97"/>
    </row>
    <row r="59" spans="1:9" x14ac:dyDescent="0.3">
      <c r="A59" s="35" t="s">
        <v>83</v>
      </c>
      <c r="B59" s="35">
        <v>58</v>
      </c>
      <c r="C59" s="97">
        <v>89450.384347441272</v>
      </c>
      <c r="D59" s="97"/>
      <c r="E59" s="97"/>
      <c r="F59" s="97"/>
      <c r="G59" s="97"/>
      <c r="H59" s="97"/>
      <c r="I59" s="97"/>
    </row>
    <row r="60" spans="1:9" x14ac:dyDescent="0.3">
      <c r="A60" s="99" t="s">
        <v>84</v>
      </c>
      <c r="B60" s="99">
        <v>59</v>
      </c>
      <c r="C60" s="98">
        <v>105148.15411035928</v>
      </c>
      <c r="D60" s="98"/>
      <c r="E60" s="98"/>
      <c r="F60" s="98"/>
      <c r="G60" s="98"/>
      <c r="H60" s="98"/>
      <c r="I60" s="97"/>
    </row>
    <row r="61" spans="1:9" x14ac:dyDescent="0.3">
      <c r="A61" s="35" t="s">
        <v>85</v>
      </c>
      <c r="B61" s="35">
        <v>60</v>
      </c>
      <c r="C61" s="97">
        <v>77462.718767322978</v>
      </c>
      <c r="D61" s="97"/>
      <c r="E61" s="97"/>
      <c r="F61" s="97"/>
      <c r="G61" s="97"/>
      <c r="H61" s="97"/>
      <c r="I61" s="97"/>
    </row>
    <row r="62" spans="1:9" x14ac:dyDescent="0.3">
      <c r="A62" s="99" t="s">
        <v>86</v>
      </c>
      <c r="B62" s="99">
        <v>61</v>
      </c>
      <c r="C62" s="98">
        <v>181056.09138186453</v>
      </c>
      <c r="D62" s="98"/>
      <c r="E62" s="98"/>
      <c r="F62" s="98"/>
      <c r="G62" s="98"/>
      <c r="H62" s="98"/>
      <c r="I62" s="97"/>
    </row>
    <row r="63" spans="1:9" x14ac:dyDescent="0.3">
      <c r="A63" s="35" t="s">
        <v>87</v>
      </c>
      <c r="B63" s="35">
        <v>62</v>
      </c>
      <c r="C63" s="97">
        <v>77462.718767322978</v>
      </c>
      <c r="D63" s="97"/>
      <c r="E63" s="97"/>
      <c r="F63" s="97"/>
      <c r="G63" s="97"/>
      <c r="H63" s="97"/>
      <c r="I63" s="97"/>
    </row>
    <row r="64" spans="1:9" x14ac:dyDescent="0.3">
      <c r="A64" s="99" t="s">
        <v>88</v>
      </c>
      <c r="B64" s="99">
        <v>63</v>
      </c>
      <c r="C64" s="98">
        <v>1014287.7682636402</v>
      </c>
      <c r="D64" s="98"/>
      <c r="E64" s="98"/>
      <c r="F64" s="98"/>
      <c r="G64" s="98"/>
      <c r="H64" s="98"/>
      <c r="I64" s="97"/>
    </row>
    <row r="65" spans="1:18" x14ac:dyDescent="0.3">
      <c r="A65" s="35" t="s">
        <v>89</v>
      </c>
      <c r="B65" s="35">
        <v>64</v>
      </c>
      <c r="C65" s="97">
        <v>169740.10503617767</v>
      </c>
      <c r="D65" s="97"/>
      <c r="E65" s="97"/>
      <c r="F65" s="97"/>
      <c r="G65" s="97"/>
      <c r="H65" s="97"/>
      <c r="I65" s="97"/>
    </row>
    <row r="66" spans="1:18" x14ac:dyDescent="0.3">
      <c r="A66" s="99" t="s">
        <v>90</v>
      </c>
      <c r="B66" s="99">
        <v>65</v>
      </c>
      <c r="C66" s="98">
        <v>1953690.0937407492</v>
      </c>
      <c r="D66" s="98"/>
      <c r="E66" s="98"/>
      <c r="F66" s="98"/>
      <c r="G66" s="98"/>
      <c r="H66" s="98"/>
      <c r="I66" s="97"/>
    </row>
    <row r="67" spans="1:18" x14ac:dyDescent="0.3">
      <c r="A67" s="35" t="s">
        <v>91</v>
      </c>
      <c r="B67" s="35">
        <v>66</v>
      </c>
      <c r="C67" s="97">
        <v>129292.39855578085</v>
      </c>
      <c r="D67" s="97"/>
      <c r="E67" s="97"/>
      <c r="F67" s="97"/>
      <c r="G67" s="97"/>
      <c r="H67" s="97"/>
      <c r="I67" s="97"/>
    </row>
    <row r="68" spans="1:18" x14ac:dyDescent="0.3">
      <c r="A68" s="99" t="s">
        <v>92</v>
      </c>
      <c r="B68" s="99">
        <v>67</v>
      </c>
      <c r="C68" s="98">
        <v>1661838.2571049146</v>
      </c>
      <c r="D68" s="98"/>
      <c r="E68" s="98"/>
      <c r="F68" s="98"/>
      <c r="G68" s="98"/>
      <c r="H68" s="98"/>
      <c r="I68" s="97"/>
    </row>
    <row r="69" spans="1:18" x14ac:dyDescent="0.3">
      <c r="A69" s="96" t="s">
        <v>362</v>
      </c>
      <c r="B69" s="16"/>
      <c r="C69" s="17">
        <f>SUM(C2:C68)</f>
        <v>62925961.166083544</v>
      </c>
      <c r="D69" s="17"/>
      <c r="E69" s="17"/>
      <c r="F69" s="17"/>
      <c r="G69" s="17"/>
      <c r="H69" s="17"/>
      <c r="I69" s="17"/>
    </row>
    <row r="70" spans="1:18" x14ac:dyDescent="0.3">
      <c r="A70" s="96"/>
      <c r="B70" s="16"/>
      <c r="C70" s="123"/>
      <c r="D70" s="124"/>
      <c r="E70" s="17"/>
      <c r="F70" s="17"/>
      <c r="G70" s="17"/>
      <c r="H70" s="17"/>
      <c r="I70" s="17"/>
      <c r="J70" s="64"/>
    </row>
    <row r="72" spans="1:18" x14ac:dyDescent="0.3">
      <c r="A72" s="100" t="s">
        <v>387</v>
      </c>
      <c r="B72" s="100" t="s">
        <v>355</v>
      </c>
      <c r="C72" s="105"/>
      <c r="D72" s="105"/>
      <c r="E72" s="103" t="s">
        <v>487</v>
      </c>
      <c r="F72" s="103" t="s">
        <v>385</v>
      </c>
      <c r="G72" s="103" t="s">
        <v>384</v>
      </c>
      <c r="H72" s="103"/>
      <c r="I72" s="100"/>
    </row>
    <row r="73" spans="1:18" x14ac:dyDescent="0.3">
      <c r="A73" s="99" t="s">
        <v>248</v>
      </c>
      <c r="B73" s="99">
        <v>68</v>
      </c>
      <c r="C73" s="98">
        <v>340311.8767686052</v>
      </c>
      <c r="D73" s="98"/>
      <c r="E73" s="98"/>
      <c r="F73" s="98"/>
      <c r="G73" s="98"/>
      <c r="H73" s="98"/>
      <c r="I73" s="101"/>
      <c r="R73" s="122"/>
    </row>
    <row r="74" spans="1:18" x14ac:dyDescent="0.3">
      <c r="A74" s="35" t="s">
        <v>249</v>
      </c>
      <c r="B74" s="35">
        <v>69</v>
      </c>
      <c r="C74" s="97">
        <v>303620.35932371265</v>
      </c>
      <c r="D74" s="97"/>
      <c r="E74" s="97"/>
      <c r="F74" s="97"/>
      <c r="G74" s="97"/>
      <c r="H74" s="97"/>
      <c r="I74" s="101"/>
      <c r="R74" s="122"/>
    </row>
    <row r="75" spans="1:18" x14ac:dyDescent="0.3">
      <c r="A75" s="99" t="s">
        <v>250</v>
      </c>
      <c r="B75" s="99">
        <v>70</v>
      </c>
      <c r="C75" s="98">
        <v>197152.42714070203</v>
      </c>
      <c r="D75" s="98"/>
      <c r="E75" s="98"/>
      <c r="F75" s="98"/>
      <c r="G75" s="98"/>
      <c r="H75" s="98"/>
      <c r="I75" s="101"/>
      <c r="R75" s="122"/>
    </row>
    <row r="76" spans="1:18" x14ac:dyDescent="0.3">
      <c r="A76" s="35" t="s">
        <v>251</v>
      </c>
      <c r="B76" s="35">
        <v>71</v>
      </c>
      <c r="C76" s="97">
        <v>186681.01714402024</v>
      </c>
      <c r="D76" s="97"/>
      <c r="E76" s="97"/>
      <c r="F76" s="97"/>
      <c r="G76" s="97"/>
      <c r="H76" s="97"/>
      <c r="I76" s="101"/>
      <c r="R76" s="122"/>
    </row>
    <row r="77" spans="1:18" x14ac:dyDescent="0.3">
      <c r="A77" s="99" t="s">
        <v>382</v>
      </c>
      <c r="B77" s="99">
        <v>72</v>
      </c>
      <c r="C77" s="98">
        <v>142578.34795723174</v>
      </c>
      <c r="D77" s="98"/>
      <c r="E77" s="102"/>
      <c r="F77" s="98"/>
      <c r="G77" s="98"/>
      <c r="H77" s="98"/>
      <c r="I77" s="101"/>
      <c r="R77" s="122"/>
    </row>
    <row r="78" spans="1:18" x14ac:dyDescent="0.3">
      <c r="A78" s="35" t="s">
        <v>252</v>
      </c>
      <c r="B78" s="35">
        <v>73</v>
      </c>
      <c r="C78" s="97">
        <v>281294.26470125094</v>
      </c>
      <c r="D78" s="97"/>
      <c r="E78" s="97"/>
      <c r="F78" s="97"/>
      <c r="G78" s="97"/>
      <c r="H78" s="97"/>
      <c r="I78" s="101"/>
      <c r="R78" s="122"/>
    </row>
    <row r="79" spans="1:18" x14ac:dyDescent="0.3">
      <c r="A79" s="99" t="s">
        <v>253</v>
      </c>
      <c r="B79" s="99">
        <v>74</v>
      </c>
      <c r="C79" s="98">
        <v>164725.48010865337</v>
      </c>
      <c r="D79" s="98"/>
      <c r="E79" s="98"/>
      <c r="F79" s="98"/>
      <c r="G79" s="98"/>
      <c r="H79" s="98"/>
      <c r="I79" s="101"/>
      <c r="R79" s="122"/>
    </row>
    <row r="80" spans="1:18" x14ac:dyDescent="0.3">
      <c r="A80" s="35" t="s">
        <v>254</v>
      </c>
      <c r="B80" s="35">
        <v>75</v>
      </c>
      <c r="C80" s="97">
        <v>150750.61656125711</v>
      </c>
      <c r="D80" s="97"/>
      <c r="E80" s="97"/>
      <c r="F80" s="97"/>
      <c r="G80" s="97"/>
      <c r="H80" s="97"/>
      <c r="I80" s="101"/>
      <c r="R80" s="122"/>
    </row>
    <row r="81" spans="1:18" x14ac:dyDescent="0.3">
      <c r="A81" s="99" t="s">
        <v>255</v>
      </c>
      <c r="B81" s="99">
        <v>76</v>
      </c>
      <c r="C81" s="98">
        <v>225729.57560455275</v>
      </c>
      <c r="D81" s="98"/>
      <c r="E81" s="98"/>
      <c r="F81" s="98"/>
      <c r="G81" s="98"/>
      <c r="H81" s="98"/>
      <c r="I81" s="101"/>
      <c r="R81" s="122"/>
    </row>
    <row r="82" spans="1:18" x14ac:dyDescent="0.3">
      <c r="A82" s="35" t="s">
        <v>256</v>
      </c>
      <c r="B82" s="35">
        <v>77</v>
      </c>
      <c r="C82" s="97">
        <v>42404.631152743335</v>
      </c>
      <c r="D82" s="97"/>
      <c r="E82" s="97"/>
      <c r="F82" s="97"/>
      <c r="G82" s="97"/>
      <c r="H82" s="97"/>
      <c r="I82" s="101"/>
      <c r="R82" s="122"/>
    </row>
    <row r="83" spans="1:18" x14ac:dyDescent="0.3">
      <c r="A83" s="96" t="s">
        <v>362</v>
      </c>
      <c r="B83" s="16"/>
      <c r="C83" s="17">
        <f>SUM(C73:C82)</f>
        <v>2035248.5964627292</v>
      </c>
      <c r="D83" s="17"/>
      <c r="E83" s="17">
        <f>SUM(E73:E82)</f>
        <v>0</v>
      </c>
      <c r="F83" s="17">
        <f>SUM(F73:F82)</f>
        <v>0</v>
      </c>
      <c r="G83" s="17">
        <f>SUM(G73:G82)</f>
        <v>0</v>
      </c>
      <c r="H83" s="17">
        <f>SUM(H73:H82)</f>
        <v>0</v>
      </c>
      <c r="I83" s="17"/>
      <c r="R83" s="122"/>
    </row>
    <row r="84" spans="1:18" x14ac:dyDescent="0.3">
      <c r="A84" s="35"/>
      <c r="B84" s="35"/>
      <c r="C84" s="97"/>
      <c r="D84" s="97"/>
      <c r="E84" s="97"/>
      <c r="F84" s="97"/>
      <c r="G84" s="97"/>
      <c r="H84" s="97"/>
      <c r="I84" s="97"/>
      <c r="J84" s="101"/>
    </row>
    <row r="86" spans="1:18" x14ac:dyDescent="0.3">
      <c r="A86" s="100" t="s">
        <v>381</v>
      </c>
      <c r="B86" s="100" t="s">
        <v>355</v>
      </c>
      <c r="C86" s="105"/>
    </row>
    <row r="87" spans="1:18" x14ac:dyDescent="0.3">
      <c r="A87" s="99" t="s">
        <v>377</v>
      </c>
      <c r="B87" s="99">
        <v>78</v>
      </c>
      <c r="C87" s="97">
        <v>3831.5912000000003</v>
      </c>
    </row>
    <row r="88" spans="1:18" x14ac:dyDescent="0.3">
      <c r="A88" s="35" t="s">
        <v>376</v>
      </c>
      <c r="B88" s="35">
        <v>79</v>
      </c>
      <c r="C88" s="97">
        <v>78396.308698233508</v>
      </c>
    </row>
    <row r="89" spans="1:18" x14ac:dyDescent="0.3">
      <c r="A89" s="99" t="s">
        <v>375</v>
      </c>
      <c r="B89" s="99">
        <v>80</v>
      </c>
      <c r="C89" s="97">
        <v>38970.274625348742</v>
      </c>
    </row>
    <row r="90" spans="1:18" x14ac:dyDescent="0.3">
      <c r="A90" s="35" t="s">
        <v>374</v>
      </c>
      <c r="B90" s="35">
        <v>81</v>
      </c>
      <c r="C90" s="97">
        <v>38730.879333333338</v>
      </c>
    </row>
    <row r="91" spans="1:18" x14ac:dyDescent="0.3">
      <c r="A91" s="99" t="s">
        <v>373</v>
      </c>
      <c r="B91" s="99">
        <v>82</v>
      </c>
      <c r="C91" s="97">
        <v>7746.1758666666683</v>
      </c>
    </row>
    <row r="92" spans="1:18" x14ac:dyDescent="0.3">
      <c r="A92" s="35" t="s">
        <v>372</v>
      </c>
      <c r="B92" s="35">
        <v>83</v>
      </c>
      <c r="C92" s="97">
        <v>19365.439666666669</v>
      </c>
    </row>
    <row r="93" spans="1:18" x14ac:dyDescent="0.3">
      <c r="A93" s="99" t="s">
        <v>371</v>
      </c>
      <c r="B93" s="99">
        <v>84</v>
      </c>
      <c r="C93" s="97">
        <v>7746.1758666666683</v>
      </c>
    </row>
    <row r="94" spans="1:18" x14ac:dyDescent="0.3">
      <c r="A94" s="35" t="s">
        <v>370</v>
      </c>
      <c r="B94" s="35">
        <v>85</v>
      </c>
      <c r="C94" s="97">
        <v>7746.1758666666683</v>
      </c>
    </row>
    <row r="95" spans="1:18" x14ac:dyDescent="0.3">
      <c r="A95" s="99" t="s">
        <v>369</v>
      </c>
      <c r="B95" s="99">
        <v>86</v>
      </c>
      <c r="C95" s="97">
        <v>19365.439666666669</v>
      </c>
    </row>
    <row r="96" spans="1:18" x14ac:dyDescent="0.3">
      <c r="A96" s="35" t="s">
        <v>368</v>
      </c>
      <c r="B96" s="35">
        <v>87</v>
      </c>
      <c r="C96" s="97">
        <v>7746.1758666666683</v>
      </c>
    </row>
    <row r="97" spans="1:3" x14ac:dyDescent="0.3">
      <c r="A97" s="99" t="s">
        <v>367</v>
      </c>
      <c r="B97" s="99">
        <v>88</v>
      </c>
      <c r="C97" s="97">
        <v>19365.439666666669</v>
      </c>
    </row>
    <row r="98" spans="1:3" x14ac:dyDescent="0.3">
      <c r="A98" s="35" t="s">
        <v>366</v>
      </c>
      <c r="B98" s="35">
        <v>89</v>
      </c>
      <c r="C98" s="97">
        <v>19365.439666666669</v>
      </c>
    </row>
    <row r="99" spans="1:3" x14ac:dyDescent="0.3">
      <c r="A99" s="99" t="s">
        <v>365</v>
      </c>
      <c r="B99" s="99">
        <v>90</v>
      </c>
      <c r="C99" s="97">
        <v>19365.439666666669</v>
      </c>
    </row>
    <row r="100" spans="1:3" x14ac:dyDescent="0.3">
      <c r="A100" s="35" t="s">
        <v>257</v>
      </c>
      <c r="B100" s="35">
        <v>91</v>
      </c>
      <c r="C100" s="97">
        <v>20146.482171380572</v>
      </c>
    </row>
    <row r="101" spans="1:3" x14ac:dyDescent="0.3">
      <c r="A101" s="99" t="s">
        <v>258</v>
      </c>
      <c r="B101" s="99">
        <v>92</v>
      </c>
      <c r="C101" s="97">
        <v>19365.439666666669</v>
      </c>
    </row>
    <row r="102" spans="1:3" x14ac:dyDescent="0.3">
      <c r="A102" s="35" t="s">
        <v>259</v>
      </c>
      <c r="B102" s="35">
        <v>93</v>
      </c>
      <c r="C102" s="97">
        <v>3831.5912000000003</v>
      </c>
    </row>
    <row r="103" spans="1:3" x14ac:dyDescent="0.3">
      <c r="A103" s="99" t="s">
        <v>260</v>
      </c>
      <c r="B103" s="99">
        <v>94</v>
      </c>
      <c r="C103" s="97">
        <v>27883.510984235454</v>
      </c>
    </row>
    <row r="104" spans="1:3" x14ac:dyDescent="0.3">
      <c r="A104" s="35" t="s">
        <v>261</v>
      </c>
      <c r="B104" s="35">
        <v>95</v>
      </c>
      <c r="C104" s="97">
        <v>7746.1758666666683</v>
      </c>
    </row>
    <row r="105" spans="1:3" x14ac:dyDescent="0.3">
      <c r="A105" s="99" t="s">
        <v>262</v>
      </c>
      <c r="B105" s="99">
        <v>96</v>
      </c>
      <c r="C105" s="97">
        <v>19365.439666666669</v>
      </c>
    </row>
    <row r="106" spans="1:3" x14ac:dyDescent="0.3">
      <c r="A106" s="35" t="s">
        <v>263</v>
      </c>
      <c r="B106" s="35">
        <v>97</v>
      </c>
      <c r="C106" s="97">
        <v>9578.978000000001</v>
      </c>
    </row>
    <row r="107" spans="1:3" x14ac:dyDescent="0.3">
      <c r="A107" s="99" t="s">
        <v>264</v>
      </c>
      <c r="B107" s="99">
        <v>98</v>
      </c>
      <c r="C107" s="97">
        <v>19365.439666666669</v>
      </c>
    </row>
    <row r="108" spans="1:3" x14ac:dyDescent="0.3">
      <c r="A108" s="35" t="s">
        <v>265</v>
      </c>
      <c r="B108" s="35">
        <v>99</v>
      </c>
      <c r="C108" s="97">
        <v>21650.298667776908</v>
      </c>
    </row>
    <row r="109" spans="1:3" x14ac:dyDescent="0.3">
      <c r="A109" s="99" t="s">
        <v>266</v>
      </c>
      <c r="B109" s="99">
        <v>100</v>
      </c>
      <c r="C109" s="97">
        <v>183490.33897490875</v>
      </c>
    </row>
    <row r="110" spans="1:3" x14ac:dyDescent="0.3">
      <c r="A110" s="35" t="s">
        <v>267</v>
      </c>
      <c r="B110" s="35">
        <v>101</v>
      </c>
      <c r="C110" s="97">
        <v>7746.1758666666683</v>
      </c>
    </row>
    <row r="111" spans="1:3" x14ac:dyDescent="0.3">
      <c r="A111" s="99" t="s">
        <v>268</v>
      </c>
      <c r="B111" s="99">
        <v>102</v>
      </c>
      <c r="C111" s="97">
        <v>121122.11046538854</v>
      </c>
    </row>
    <row r="112" spans="1:3" x14ac:dyDescent="0.3">
      <c r="A112" s="35" t="s">
        <v>269</v>
      </c>
      <c r="B112" s="35">
        <v>103</v>
      </c>
      <c r="C112" s="97">
        <v>7746.1758666666683</v>
      </c>
    </row>
    <row r="113" spans="1:3" x14ac:dyDescent="0.3">
      <c r="A113" s="99" t="s">
        <v>270</v>
      </c>
      <c r="B113" s="99">
        <v>104</v>
      </c>
      <c r="C113" s="97">
        <v>3831.5912000000003</v>
      </c>
    </row>
    <row r="114" spans="1:3" x14ac:dyDescent="0.3">
      <c r="A114" s="35" t="s">
        <v>271</v>
      </c>
      <c r="B114" s="35">
        <v>105</v>
      </c>
      <c r="C114" s="97">
        <v>3831.5912000000003</v>
      </c>
    </row>
    <row r="115" spans="1:3" x14ac:dyDescent="0.3">
      <c r="A115" s="99" t="s">
        <v>272</v>
      </c>
      <c r="B115" s="99">
        <v>106</v>
      </c>
      <c r="C115" s="97">
        <v>20281.203517507573</v>
      </c>
    </row>
    <row r="116" spans="1:3" x14ac:dyDescent="0.3">
      <c r="A116" s="35" t="s">
        <v>273</v>
      </c>
      <c r="B116" s="35">
        <v>107</v>
      </c>
      <c r="C116" s="97">
        <v>19365.439666666669</v>
      </c>
    </row>
    <row r="117" spans="1:3" x14ac:dyDescent="0.3">
      <c r="A117" s="99" t="s">
        <v>274</v>
      </c>
      <c r="B117" s="99">
        <v>108</v>
      </c>
      <c r="C117" s="97">
        <v>19365.439666666669</v>
      </c>
    </row>
    <row r="118" spans="1:3" x14ac:dyDescent="0.3">
      <c r="A118" s="35" t="s">
        <v>275</v>
      </c>
      <c r="B118" s="35">
        <v>109</v>
      </c>
      <c r="C118" s="97">
        <v>7746.1758666666683</v>
      </c>
    </row>
    <row r="119" spans="1:3" x14ac:dyDescent="0.3">
      <c r="A119" s="99" t="s">
        <v>364</v>
      </c>
      <c r="B119" s="99">
        <v>110</v>
      </c>
      <c r="C119" s="97">
        <v>26846.661053631389</v>
      </c>
    </row>
    <row r="120" spans="1:3" x14ac:dyDescent="0.3">
      <c r="A120" s="35" t="s">
        <v>363</v>
      </c>
      <c r="B120" s="35">
        <v>111</v>
      </c>
      <c r="C120" s="97">
        <v>7746.1758666666683</v>
      </c>
    </row>
    <row r="121" spans="1:3" x14ac:dyDescent="0.3">
      <c r="A121" s="99" t="s">
        <v>276</v>
      </c>
      <c r="B121" s="99">
        <v>112</v>
      </c>
      <c r="C121" s="97">
        <v>7746.1758666666683</v>
      </c>
    </row>
    <row r="122" spans="1:3" x14ac:dyDescent="0.3">
      <c r="A122" s="35" t="s">
        <v>277</v>
      </c>
      <c r="B122" s="35">
        <v>113</v>
      </c>
      <c r="C122" s="97">
        <v>7746.1758666666683</v>
      </c>
    </row>
    <row r="123" spans="1:3" x14ac:dyDescent="0.3">
      <c r="A123" s="96" t="s">
        <v>362</v>
      </c>
      <c r="B123" s="16"/>
      <c r="C123" s="17">
        <f>SUM(C87:C122)</f>
        <v>881285.74249174504</v>
      </c>
    </row>
    <row r="124" spans="1:3" x14ac:dyDescent="0.3">
      <c r="A124" s="96"/>
      <c r="B124" s="16"/>
      <c r="C124" s="17"/>
    </row>
    <row r="126" spans="1:3" ht="28.8" x14ac:dyDescent="0.3">
      <c r="A126" t="s">
        <v>361</v>
      </c>
      <c r="B126" t="s">
        <v>355</v>
      </c>
      <c r="C126" s="125" t="s">
        <v>486</v>
      </c>
    </row>
    <row r="127" spans="1:3" x14ac:dyDescent="0.3">
      <c r="A127" t="s">
        <v>357</v>
      </c>
      <c r="B127">
        <v>114</v>
      </c>
      <c r="C127" s="45">
        <v>11619263.933631387</v>
      </c>
    </row>
    <row r="128" spans="1:3" x14ac:dyDescent="0.3">
      <c r="C128" s="45"/>
    </row>
    <row r="129" spans="1:4" x14ac:dyDescent="0.3">
      <c r="C129" s="45"/>
    </row>
    <row r="130" spans="1:4" ht="43.2" x14ac:dyDescent="0.3">
      <c r="A130" t="s">
        <v>356</v>
      </c>
      <c r="B130" t="s">
        <v>355</v>
      </c>
      <c r="C130" s="95" t="s">
        <v>351</v>
      </c>
      <c r="D130" s="45"/>
    </row>
    <row r="131" spans="1:4" x14ac:dyDescent="0.3">
      <c r="A131" t="s">
        <v>278</v>
      </c>
      <c r="B131">
        <v>115</v>
      </c>
      <c r="C131" s="126">
        <v>11515707.224017434</v>
      </c>
    </row>
    <row r="132" spans="1:4" x14ac:dyDescent="0.3">
      <c r="A132" t="s">
        <v>350</v>
      </c>
      <c r="C132" s="95">
        <v>0</v>
      </c>
    </row>
    <row r="134" spans="1:4" x14ac:dyDescent="0.3">
      <c r="A134" s="127" t="s">
        <v>349</v>
      </c>
      <c r="B134" s="128"/>
      <c r="C134" s="129">
        <f>C131</f>
        <v>11515707.224017434</v>
      </c>
    </row>
    <row r="135" spans="1:4" x14ac:dyDescent="0.3">
      <c r="A135" s="127" t="s">
        <v>348</v>
      </c>
      <c r="B135" s="128"/>
      <c r="C135" s="129">
        <f>+C69+C83+C123+C127</f>
        <v>77461759.438669398</v>
      </c>
    </row>
    <row r="136" spans="1:4" x14ac:dyDescent="0.3">
      <c r="A136" s="127" t="s">
        <v>347</v>
      </c>
      <c r="B136" s="128"/>
      <c r="C136" s="129">
        <f>C134+C135</f>
        <v>88977466.662686825</v>
      </c>
    </row>
  </sheetData>
  <autoFilter ref="A86:C86" xr:uid="{2F521CBF-AB09-4562-A2EA-1699344780B0}"/>
  <pageMargins left="0.7" right="0.7" top="0.75" bottom="0.75" header="0.3" footer="0.3"/>
  <pageSetup orientation="portrait" horizontalDpi="1200" verticalDpi="1200" r:id="rId1"/>
  <customProperties>
    <customPr name="OrphanNamesChecked" r:id="rId2"/>
  </customProperties>
  <tableParts count="2">
    <tablePart r:id="rId3"/>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workbookViewId="0">
      <selection activeCell="E25" sqref="E25"/>
    </sheetView>
  </sheetViews>
  <sheetFormatPr defaultRowHeight="14.4" x14ac:dyDescent="0.3"/>
  <cols>
    <col min="1" max="1" width="13.5546875" customWidth="1"/>
    <col min="2" max="2" width="23.5546875" customWidth="1"/>
    <col min="3" max="3" width="36.44140625" customWidth="1"/>
    <col min="4" max="4" width="24.33203125" customWidth="1"/>
    <col min="5" max="5" width="19.5546875" customWidth="1"/>
    <col min="6" max="6" width="30.44140625" customWidth="1"/>
    <col min="7" max="7" width="19.44140625" customWidth="1"/>
    <col min="8" max="8" width="27" customWidth="1"/>
    <col min="9" max="9" width="40.6640625" customWidth="1"/>
    <col min="10" max="10" width="16.6640625" customWidth="1"/>
  </cols>
  <sheetData>
    <row r="1" spans="1:9" ht="15.6" x14ac:dyDescent="0.3">
      <c r="A1" s="31" t="s">
        <v>0</v>
      </c>
      <c r="B1" s="31" t="s">
        <v>1</v>
      </c>
      <c r="C1" s="31" t="s">
        <v>236</v>
      </c>
      <c r="D1" s="31" t="s">
        <v>238</v>
      </c>
      <c r="E1" s="31" t="s">
        <v>239</v>
      </c>
      <c r="F1" s="31" t="s">
        <v>240</v>
      </c>
      <c r="G1" s="33" t="s">
        <v>217</v>
      </c>
      <c r="H1" s="31" t="s">
        <v>235</v>
      </c>
      <c r="I1" s="31" t="s">
        <v>241</v>
      </c>
    </row>
    <row r="2" spans="1:9" ht="15.6" x14ac:dyDescent="0.3">
      <c r="A2" s="12">
        <v>1</v>
      </c>
      <c r="B2" s="12">
        <v>2024</v>
      </c>
      <c r="C2" s="5">
        <f>Table14[[#This Row],[Pharmacies Litigating]]</f>
        <v>17737534.157842632</v>
      </c>
      <c r="D2" s="32">
        <f>((Table14[[#This Row],[Walgreens]]-Table14[[#This Row],[Walgreens Attorney Fees]])*0.15)</f>
        <v>-27737.211091847927</v>
      </c>
      <c r="E2" s="32">
        <f>((Table14[[#This Row],[CVS]]-Table14[[#This Row],[CVS Attorney Fees]])*0.15)</f>
        <v>-37403.846775697879</v>
      </c>
      <c r="F2" s="32">
        <f>Table10[[#This Row],[Walgreens Litigating]]+Table10[[#This Row],[CVS Litigating]]</f>
        <v>-65141.057867545809</v>
      </c>
      <c r="G2" s="32">
        <f>Table14[[#This Row],[Litigating Sub Escrow]]</f>
        <v>1043597.8835978836</v>
      </c>
      <c r="H2" s="32">
        <f>(((Table14[[#This Row],[Walmart]]-Table14[[#This Row],[Walmart Attorney Fees]])*0.15))</f>
        <v>17802675.215710178</v>
      </c>
      <c r="I2" s="32">
        <f>Table10[[#This Row],[Walmart Litigating Subs]]-Table10[[#This Row],[Walmart Escrow]]</f>
        <v>16759077.332112294</v>
      </c>
    </row>
    <row r="3" spans="1:9" ht="15.6" x14ac:dyDescent="0.3">
      <c r="A3" s="20">
        <v>2</v>
      </c>
      <c r="B3" s="21">
        <v>46006</v>
      </c>
      <c r="C3" s="6">
        <f>Table14[[#This Row],[Pharmacies Litigating]]</f>
        <v>3279675.0721324547</v>
      </c>
      <c r="D3" s="32">
        <f>((Table14[[#This Row],[Walgreens]]-Table14[[#This Row],[Walgreens Attorney Fees]])*0.15)</f>
        <v>1842852.7244081523</v>
      </c>
      <c r="E3" s="32">
        <f>((Table14[[#This Row],[CVS]]-Table14[[#This Row],[CVS Attorney Fees]])*0.15)</f>
        <v>1436822.3477243022</v>
      </c>
      <c r="F3" s="32">
        <f>Table10[[#This Row],[Walgreens Litigating]]+Table10[[#This Row],[CVS Litigating]]</f>
        <v>3279675.0721324543</v>
      </c>
      <c r="G3" s="32">
        <f>Table14[[#This Row],[Litigating Sub Escrow]]</f>
        <v>0</v>
      </c>
      <c r="H3" s="25">
        <f>(((Table14[[#This Row],[Walmart]]-Table14[[#This Row],[Walmart Attorney Fees]])*0.15))</f>
        <v>0</v>
      </c>
      <c r="I3" s="25">
        <f>Table10[[#This Row],[Walmart Litigating Subs]]-Table10[[#This Row],[Walmart Escrow]]</f>
        <v>0</v>
      </c>
    </row>
    <row r="4" spans="1:9" ht="15.6" x14ac:dyDescent="0.3">
      <c r="A4" s="22">
        <v>3</v>
      </c>
      <c r="B4" s="23">
        <v>46371</v>
      </c>
      <c r="C4" s="24">
        <f>Table14[[#This Row],[Pharmacies Litigating]]</f>
        <v>2521021.6629788191</v>
      </c>
      <c r="D4" s="32">
        <f>((Table14[[#This Row],[Walgreens]]-Table14[[#This Row],[Walgreens Attorney Fees]])*0.15)</f>
        <v>907929.23492548359</v>
      </c>
      <c r="E4" s="32">
        <f>((Table14[[#This Row],[CVS]]-Table14[[#This Row],[CVS Attorney Fees]])*0.15)</f>
        <v>1525600.0170935788</v>
      </c>
      <c r="F4" s="32">
        <f>Table10[[#This Row],[Walgreens Litigating]]+Table10[[#This Row],[CVS Litigating]]</f>
        <v>2433529.2520190626</v>
      </c>
      <c r="G4" s="32">
        <f>Table14[[#This Row],[Litigating Sub Escrow]]</f>
        <v>0</v>
      </c>
      <c r="H4" s="32">
        <f>(((Table14[[#This Row],[Walmart]]-Table14[[#This Row],[Walmart Attorney Fees]])*0.15))</f>
        <v>87492.410959756788</v>
      </c>
      <c r="I4" s="32">
        <f>Table10[[#This Row],[Walmart Litigating Subs]]-Table10[[#This Row],[Walmart Escrow]]</f>
        <v>87492.410959756788</v>
      </c>
    </row>
    <row r="5" spans="1:9" ht="15.6" x14ac:dyDescent="0.3">
      <c r="A5" s="20">
        <v>4</v>
      </c>
      <c r="B5" s="21">
        <v>46736</v>
      </c>
      <c r="C5" s="25">
        <f>Table14[[#This Row],[Pharmacies Litigating]]</f>
        <v>2521021.6629788191</v>
      </c>
      <c r="D5" s="32">
        <f>((Table14[[#This Row],[Walgreens]]-Table14[[#This Row],[Walgreens Attorney Fees]])*0.15)</f>
        <v>907929.23492548359</v>
      </c>
      <c r="E5" s="32">
        <f>((Table14[[#This Row],[CVS]]-Table14[[#This Row],[CVS Attorney Fees]])*0.15)</f>
        <v>1525600.0170935788</v>
      </c>
      <c r="F5" s="32">
        <f>Table10[[#This Row],[Walgreens Litigating]]+Table10[[#This Row],[CVS Litigating]]</f>
        <v>2433529.2520190626</v>
      </c>
      <c r="G5" s="32">
        <f>Table14[[#This Row],[Litigating Sub Escrow]]</f>
        <v>0</v>
      </c>
      <c r="H5" s="32">
        <f>(((Table14[[#This Row],[Walmart]]-Table14[[#This Row],[Walmart Attorney Fees]])*0.15))</f>
        <v>87492.410959756788</v>
      </c>
      <c r="I5" s="32">
        <f>Table10[[#This Row],[Walmart Litigating Subs]]-Table10[[#This Row],[Walmart Escrow]]</f>
        <v>87492.410959756788</v>
      </c>
    </row>
    <row r="6" spans="1:9" ht="15.6" x14ac:dyDescent="0.3">
      <c r="A6" s="22">
        <v>5</v>
      </c>
      <c r="B6" s="23">
        <v>47102</v>
      </c>
      <c r="C6" s="24">
        <f>Table14[[#This Row],[Pharmacies Litigating]]</f>
        <v>2521021.6629788191</v>
      </c>
      <c r="D6" s="32">
        <f>((Table14[[#This Row],[Walgreens]]-Table14[[#This Row],[Walgreens Attorney Fees]])*0.15)</f>
        <v>907929.23492548359</v>
      </c>
      <c r="E6" s="32">
        <f>((Table14[[#This Row],[CVS]]-Table14[[#This Row],[CVS Attorney Fees]])*0.15)</f>
        <v>1525600.0170935788</v>
      </c>
      <c r="F6" s="32">
        <f>Table10[[#This Row],[Walgreens Litigating]]+Table10[[#This Row],[CVS Litigating]]</f>
        <v>2433529.2520190626</v>
      </c>
      <c r="G6" s="32">
        <f>Table14[[#This Row],[Litigating Sub Escrow]]</f>
        <v>0</v>
      </c>
      <c r="H6" s="32">
        <f>(((Table14[[#This Row],[Walmart]]-Table14[[#This Row],[Walmart Attorney Fees]])*0.15))</f>
        <v>87492.410959756788</v>
      </c>
      <c r="I6" s="32">
        <f>Table10[[#This Row],[Walmart Litigating Subs]]-Table10[[#This Row],[Walmart Escrow]]</f>
        <v>87492.410959756788</v>
      </c>
    </row>
    <row r="7" spans="1:9" ht="15.6" x14ac:dyDescent="0.3">
      <c r="A7" s="20">
        <v>6</v>
      </c>
      <c r="B7" s="21">
        <v>47467</v>
      </c>
      <c r="C7" s="25">
        <f>Table14[[#This Row],[Pharmacies Litigating]]</f>
        <v>3224658.2620939268</v>
      </c>
      <c r="D7" s="32">
        <f>((Table14[[#This Row],[Walgreens]]-Table14[[#This Row],[Walgreens Attorney Fees]])*0.15)</f>
        <v>1240489.9566128566</v>
      </c>
      <c r="E7" s="32">
        <f>((Table14[[#This Row],[CVS]]-Table14[[#This Row],[CVS Attorney Fees]])*0.15)</f>
        <v>1845730.9463675313</v>
      </c>
      <c r="F7" s="32">
        <f>Table10[[#This Row],[Walgreens Litigating]]+Table10[[#This Row],[CVS Litigating]]</f>
        <v>3086220.9029803881</v>
      </c>
      <c r="G7" s="32">
        <f>Table14[[#This Row],[Litigating Sub Escrow]]</f>
        <v>0</v>
      </c>
      <c r="H7" s="32">
        <f>(((Table14[[#This Row],[Walmart]]-Table14[[#This Row],[Walmart Attorney Fees]])*0.15))</f>
        <v>138437.35911353922</v>
      </c>
      <c r="I7" s="32">
        <f>Table10[[#This Row],[Walmart Litigating Subs]]-Table10[[#This Row],[Walmart Escrow]]</f>
        <v>138437.35911353922</v>
      </c>
    </row>
    <row r="8" spans="1:9" ht="15.6" x14ac:dyDescent="0.3">
      <c r="A8" s="22">
        <v>7</v>
      </c>
      <c r="B8" s="23">
        <v>47832</v>
      </c>
      <c r="C8" s="24">
        <f>Table14[[#This Row],[Pharmacies Litigating]]</f>
        <v>3008132.6791339652</v>
      </c>
      <c r="D8" s="32">
        <f>((Table14[[#This Row],[Walgreens]]-Table14[[#This Row],[Walgreens Attorney Fees]])*0.15)</f>
        <v>1240489.9566128566</v>
      </c>
      <c r="E8" s="32">
        <f>((Table14[[#This Row],[CVS]]-Table14[[#This Row],[CVS Attorney Fees]])*0.15)</f>
        <v>1767642.7225211083</v>
      </c>
      <c r="F8" s="32">
        <f>Table10[[#This Row],[Walgreens Litigating]]+Table10[[#This Row],[CVS Litigating]]</f>
        <v>3008132.6791339647</v>
      </c>
      <c r="G8" s="32">
        <f>Table14[[#This Row],[Litigating Sub Escrow]]</f>
        <v>0</v>
      </c>
      <c r="H8" s="32">
        <f>(((Table14[[#This Row],[Walmart]]-Table14[[#This Row],[Walmart Attorney Fees]])*0.15))</f>
        <v>0</v>
      </c>
      <c r="I8" s="32">
        <f>Table10[[#This Row],[Walmart Litigating Subs]]-Table10[[#This Row],[Walmart Escrow]]</f>
        <v>0</v>
      </c>
    </row>
    <row r="9" spans="1:9" ht="15.6" x14ac:dyDescent="0.3">
      <c r="A9" s="20">
        <v>8</v>
      </c>
      <c r="B9" s="21">
        <v>48197</v>
      </c>
      <c r="C9" s="25">
        <f>Table14[[#This Row],[Pharmacies Litigating]]</f>
        <v>3271270.0549567519</v>
      </c>
      <c r="D9" s="32">
        <f>((Table14[[#This Row],[Walgreens]]-Table14[[#This Row],[Walgreens Attorney Fees]])*0.15)</f>
        <v>1581715.5562820663</v>
      </c>
      <c r="E9" s="32">
        <f>((Table14[[#This Row],[CVS]]-Table14[[#This Row],[CVS Attorney Fees]])*0.15)</f>
        <v>1689554.4986746854</v>
      </c>
      <c r="F9" s="32">
        <f>Table10[[#This Row],[Walgreens Litigating]]+Table10[[#This Row],[CVS Litigating]]</f>
        <v>3271270.0549567519</v>
      </c>
      <c r="G9" s="32">
        <f>Table14[[#This Row],[Litigating Sub Escrow]]</f>
        <v>0</v>
      </c>
      <c r="H9" s="32">
        <f>(((Table14[[#This Row],[Walmart]]-Table14[[#This Row],[Walmart Attorney Fees]])*0.15))</f>
        <v>0</v>
      </c>
      <c r="I9" s="32">
        <f>Table10[[#This Row],[Walmart Litigating Subs]]-Table10[[#This Row],[Walmart Escrow]]</f>
        <v>0</v>
      </c>
    </row>
    <row r="10" spans="1:9" ht="15.6" x14ac:dyDescent="0.3">
      <c r="A10" s="22">
        <v>9</v>
      </c>
      <c r="B10" s="23">
        <v>48563</v>
      </c>
      <c r="C10" s="24">
        <f>Table14[[#This Row],[Pharmacies Litigating]]</f>
        <v>3270030.7478513415</v>
      </c>
      <c r="D10" s="32">
        <f>((Table14[[#This Row],[Walgreens]]-Table14[[#This Row],[Walgreens Attorney Fees]])*0.15)</f>
        <v>1581715.5562820663</v>
      </c>
      <c r="E10" s="32">
        <f>((Table14[[#This Row],[CVS]]-Table14[[#This Row],[CVS Attorney Fees]])*0.15)</f>
        <v>1688315.1915692752</v>
      </c>
      <c r="F10" s="32">
        <f>Table10[[#This Row],[Walgreens Litigating]]+Table10[[#This Row],[CVS Litigating]]</f>
        <v>3270030.7478513415</v>
      </c>
      <c r="G10" s="32">
        <f>Table14[[#This Row],[Litigating Sub Escrow]]</f>
        <v>0</v>
      </c>
      <c r="H10" s="32">
        <f>(((Table14[[#This Row],[Walmart]]-Table14[[#This Row],[Walmart Attorney Fees]])*0.15))</f>
        <v>0</v>
      </c>
      <c r="I10" s="32">
        <f>Table10[[#This Row],[Walmart Litigating Subs]]-Table10[[#This Row],[Walmart Escrow]]</f>
        <v>0</v>
      </c>
    </row>
    <row r="11" spans="1:9" ht="15.6" x14ac:dyDescent="0.3">
      <c r="A11" s="20">
        <v>10</v>
      </c>
      <c r="B11" s="21">
        <v>48928</v>
      </c>
      <c r="C11" s="25">
        <f>Table14[[#This Row],[Pharmacies Litigating]]</f>
        <v>3270030.7506042873</v>
      </c>
      <c r="D11" s="32">
        <f>((Table14[[#This Row],[Walgreens]]-Table14[[#This Row],[Walgreens Attorney Fees]])*0.15)</f>
        <v>1581715.5562820663</v>
      </c>
      <c r="E11" s="32">
        <f>((Table14[[#This Row],[CVS]]-Table14[[#This Row],[CVS Attorney Fees]])*0.15)</f>
        <v>1688315.1943222207</v>
      </c>
      <c r="F11" s="32">
        <f>Table10[[#This Row],[Walgreens Litigating]]+Table10[[#This Row],[CVS Litigating]]</f>
        <v>3270030.7506042868</v>
      </c>
      <c r="G11" s="32">
        <f>Table14[[#This Row],[Litigating Sub Escrow]]</f>
        <v>0</v>
      </c>
      <c r="H11" s="32">
        <f>(((Table14[[#This Row],[Walmart]]-Table14[[#This Row],[Walmart Attorney Fees]])*0.15))</f>
        <v>0</v>
      </c>
      <c r="I11" s="32">
        <f>Table10[[#This Row],[Walmart Litigating Subs]]-Table10[[#This Row],[Walmart Escrow]]</f>
        <v>0</v>
      </c>
    </row>
    <row r="12" spans="1:9" ht="15.6" x14ac:dyDescent="0.3">
      <c r="A12" s="22">
        <v>11</v>
      </c>
      <c r="B12" s="23">
        <v>49293</v>
      </c>
      <c r="C12" s="24">
        <f>Table14[[#This Row],[Pharmacies Litigating]]</f>
        <v>1581715.5562820663</v>
      </c>
      <c r="D12" s="32">
        <f>((Table14[[#This Row],[Walgreens]]-Table14[[#This Row],[Walgreens Attorney Fees]])*0.15)</f>
        <v>1581715.5562820663</v>
      </c>
      <c r="E12" s="32">
        <f>((Table14[[#This Row],[CVS]]-Table14[[#This Row],[CVS Attorney Fees]])*0.15)</f>
        <v>0</v>
      </c>
      <c r="F12" s="32">
        <f>Table10[[#This Row],[Walgreens Litigating]]+Table10[[#This Row],[CVS Litigating]]</f>
        <v>1581715.5562820663</v>
      </c>
      <c r="G12" s="32">
        <f>Table14[[#This Row],[Litigating Sub Escrow]]</f>
        <v>0</v>
      </c>
      <c r="H12" s="32">
        <f>(((Table14[[#This Row],[Walmart]]-Table14[[#This Row],[Walmart Attorney Fees]])*0.15))</f>
        <v>0</v>
      </c>
      <c r="I12" s="32">
        <f>Table10[[#This Row],[Walmart Litigating Subs]]-Table10[[#This Row],[Walmart Escrow]]</f>
        <v>0</v>
      </c>
    </row>
    <row r="13" spans="1:9" ht="15.6" x14ac:dyDescent="0.3">
      <c r="A13" s="20">
        <v>12</v>
      </c>
      <c r="B13" s="21">
        <v>49658</v>
      </c>
      <c r="C13" s="25">
        <f>Table14[[#This Row],[Pharmacies Litigating]]</f>
        <v>1581715.5562820663</v>
      </c>
      <c r="D13" s="32">
        <f>((Table14[[#This Row],[Walgreens]]-Table14[[#This Row],[Walgreens Attorney Fees]])*0.15)</f>
        <v>1581715.5562820663</v>
      </c>
      <c r="E13" s="32">
        <f>((Table14[[#This Row],[CVS]]-Table14[[#This Row],[CVS Attorney Fees]])*0.15)</f>
        <v>0</v>
      </c>
      <c r="F13" s="32">
        <f>Table10[[#This Row],[Walgreens Litigating]]+Table10[[#This Row],[CVS Litigating]]</f>
        <v>1581715.5562820663</v>
      </c>
      <c r="G13" s="32">
        <f>Table14[[#This Row],[Litigating Sub Escrow]]</f>
        <v>0</v>
      </c>
      <c r="H13" s="32">
        <f>(((Table14[[#This Row],[Walmart]]-Table14[[#This Row],[Walmart Attorney Fees]])*0.15))</f>
        <v>0</v>
      </c>
      <c r="I13" s="32">
        <f>Table10[[#This Row],[Walmart Litigating Subs]]-Table10[[#This Row],[Walmart Escrow]]</f>
        <v>0</v>
      </c>
    </row>
    <row r="14" spans="1:9" ht="15.6" x14ac:dyDescent="0.3">
      <c r="A14" s="22">
        <v>13</v>
      </c>
      <c r="B14" s="23">
        <v>50024</v>
      </c>
      <c r="C14" s="24">
        <f>Table14[[#This Row],[Pharmacies Litigating]]</f>
        <v>1581715.5562820663</v>
      </c>
      <c r="D14" s="32">
        <f>((Table14[[#This Row],[Walgreens]]-Table14[[#This Row],[Walgreens Attorney Fees]])*0.15)</f>
        <v>1581715.5562820663</v>
      </c>
      <c r="E14" s="32">
        <f>((Table14[[#This Row],[CVS]]-Table14[[#This Row],[CVS Attorney Fees]])*0.15)</f>
        <v>0</v>
      </c>
      <c r="F14" s="32">
        <f>Table10[[#This Row],[Walgreens Litigating]]+Table10[[#This Row],[CVS Litigating]]</f>
        <v>1581715.5562820663</v>
      </c>
      <c r="G14" s="32">
        <f>Table14[[#This Row],[Litigating Sub Escrow]]</f>
        <v>0</v>
      </c>
      <c r="H14" s="32">
        <f>(((Table14[[#This Row],[Walmart]]-Table14[[#This Row],[Walmart Attorney Fees]])*0.15))</f>
        <v>0</v>
      </c>
      <c r="I14" s="32">
        <f>Table10[[#This Row],[Walmart Litigating Subs]]-Table10[[#This Row],[Walmart Escrow]]</f>
        <v>0</v>
      </c>
    </row>
    <row r="15" spans="1:9" ht="15.6" x14ac:dyDescent="0.3">
      <c r="A15" s="20">
        <v>14</v>
      </c>
      <c r="B15" s="21">
        <v>50389</v>
      </c>
      <c r="C15" s="25">
        <f>Table14[[#This Row],[Pharmacies Litigating]]</f>
        <v>1581715.5562820663</v>
      </c>
      <c r="D15" s="32">
        <f>((Table14[[#This Row],[Walgreens]]-Table14[[#This Row],[Walgreens Attorney Fees]])*0.15)</f>
        <v>1581715.5562820663</v>
      </c>
      <c r="E15" s="32">
        <f>((Table14[[#This Row],[CVS]]-Table14[[#This Row],[CVS Attorney Fees]])*0.15)</f>
        <v>0</v>
      </c>
      <c r="F15" s="32">
        <f>Table10[[#This Row],[Walgreens Litigating]]+Table10[[#This Row],[CVS Litigating]]</f>
        <v>1581715.5562820663</v>
      </c>
      <c r="G15" s="32">
        <f>Table14[[#This Row],[Litigating Sub Escrow]]</f>
        <v>0</v>
      </c>
      <c r="H15" s="32">
        <f>(((Table14[[#This Row],[Walmart]]-Table14[[#This Row],[Walmart Attorney Fees]])*0.15))</f>
        <v>0</v>
      </c>
      <c r="I15" s="32">
        <f>Table10[[#This Row],[Walmart Litigating Subs]]-Table10[[#This Row],[Walmart Escrow]]</f>
        <v>0</v>
      </c>
    </row>
    <row r="16" spans="1:9" ht="15.6" x14ac:dyDescent="0.3">
      <c r="A16" s="22">
        <v>15</v>
      </c>
      <c r="B16" s="23">
        <v>50754</v>
      </c>
      <c r="C16" s="24">
        <f>Table14[[#This Row],[Pharmacies Litigating]]</f>
        <v>1581715.5562820663</v>
      </c>
      <c r="D16" s="32">
        <f>((Table14[[#This Row],[Walgreens]]-Table14[[#This Row],[Walgreens Attorney Fees]])*0.15)</f>
        <v>1581715.5562820663</v>
      </c>
      <c r="E16" s="32">
        <f>((Table14[[#This Row],[CVS]]-Table14[[#This Row],[CVS Attorney Fees]])*0.15)</f>
        <v>0</v>
      </c>
      <c r="F16" s="32">
        <f>Table10[[#This Row],[Walgreens Litigating]]+Table10[[#This Row],[CVS Litigating]]</f>
        <v>1581715.5562820663</v>
      </c>
      <c r="G16" s="32">
        <f>Table14[[#This Row],[Litigating Sub Escrow]]</f>
        <v>0</v>
      </c>
      <c r="H16" s="32">
        <f>(((Table14[[#This Row],[Walmart]]-Table14[[#This Row],[Walmart Attorney Fees]])*0.15))</f>
        <v>0</v>
      </c>
      <c r="I16" s="32">
        <f>Table10[[#This Row],[Walmart Litigating Subs]]-Table10[[#This Row],[Walmart Escrow]]</f>
        <v>0</v>
      </c>
    </row>
    <row r="17" spans="1:9" ht="15.6" x14ac:dyDescent="0.3">
      <c r="A17" s="25" t="s">
        <v>6</v>
      </c>
      <c r="B17" s="25"/>
      <c r="C17" s="25">
        <f>SUM(C2:C16)</f>
        <v>52532974.494962148</v>
      </c>
      <c r="D17" s="25">
        <f>((Table14[[#This Row],[Walgreens]]-Table14[[#This Row],[Walgreens Attorney Fees]])*0.15)</f>
        <v>19673607.581574995</v>
      </c>
      <c r="E17" s="25">
        <f>((Table14[[#This Row],[CVS]]-Table14[[#This Row],[CVS Attorney Fees]])*0.15)</f>
        <v>14655777.105684159</v>
      </c>
      <c r="F17" s="25">
        <f>Table10[[#This Row],[Walgreens Litigating]]+Table10[[#This Row],[CVS Litigating]]</f>
        <v>34329384.687259153</v>
      </c>
      <c r="G17" s="25">
        <f t="shared" ref="G17" si="0">SUM(G2:G16)</f>
        <v>1043597.8835978836</v>
      </c>
      <c r="H17" s="25">
        <f>(((Table14[[#This Row],[Walmart]]-Table14[[#This Row],[Walmart Attorney Fees]])*0.15))</f>
        <v>18203589.807702988</v>
      </c>
      <c r="I17" s="25">
        <f>Table10[[#This Row],[Walmart Litigating Subs]]-Table10[[#This Row],[Walmart Escrow]]</f>
        <v>17159991.924105104</v>
      </c>
    </row>
    <row r="19" spans="1:9" x14ac:dyDescent="0.3">
      <c r="A19" t="s">
        <v>234</v>
      </c>
    </row>
    <row r="20" spans="1:9" x14ac:dyDescent="0.3">
      <c r="D20" s="7"/>
    </row>
    <row r="23" spans="1:9" x14ac:dyDescent="0.3">
      <c r="G23" s="7"/>
      <c r="H23" s="7"/>
    </row>
    <row r="24" spans="1:9" x14ac:dyDescent="0.3">
      <c r="G24" s="7"/>
    </row>
    <row r="25" spans="1:9" x14ac:dyDescent="0.3">
      <c r="G25" s="7"/>
      <c r="H25" s="7"/>
    </row>
    <row r="26" spans="1:9" x14ac:dyDescent="0.3">
      <c r="H26" s="7"/>
    </row>
    <row r="27" spans="1:9" x14ac:dyDescent="0.3">
      <c r="G27" s="7"/>
    </row>
  </sheetData>
  <pageMargins left="0.7" right="0.7" top="0.75" bottom="0.75" header="0.3" footer="0.3"/>
  <customProperties>
    <customPr name="OrphanNamesChecked" r:id="rId1"/>
  </customPropertie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961A-DB0F-49F2-9AC4-2F9BFF1048C7}">
  <dimension ref="A1:L9"/>
  <sheetViews>
    <sheetView workbookViewId="0">
      <selection activeCell="E19" sqref="E19"/>
    </sheetView>
  </sheetViews>
  <sheetFormatPr defaultColWidth="12.21875" defaultRowHeight="15.6" x14ac:dyDescent="0.3"/>
  <cols>
    <col min="1" max="1" width="15.109375" style="1" customWidth="1"/>
    <col min="2" max="2" width="16.6640625" style="1" customWidth="1"/>
    <col min="3" max="3" width="32.109375" style="1" customWidth="1"/>
    <col min="4" max="4" width="24.6640625" style="1" customWidth="1"/>
    <col min="5" max="5" width="25.5546875" style="1" customWidth="1"/>
    <col min="6" max="6" width="23.44140625" style="1" customWidth="1"/>
    <col min="7" max="7" width="19.88671875" style="1" customWidth="1"/>
    <col min="8" max="8" width="18.77734375" style="1" customWidth="1"/>
    <col min="9" max="9" width="18.33203125" style="1" customWidth="1"/>
    <col min="10" max="10" width="16.109375" style="1" customWidth="1"/>
    <col min="11" max="11" width="15.44140625" style="1" customWidth="1"/>
    <col min="12" max="12" width="13.44140625" style="1" bestFit="1" customWidth="1"/>
    <col min="13" max="16384" width="12.21875" style="1"/>
  </cols>
  <sheetData>
    <row r="1" spans="1:12" x14ac:dyDescent="0.3">
      <c r="A1" s="1" t="s">
        <v>0</v>
      </c>
      <c r="B1" s="1" t="s">
        <v>1</v>
      </c>
      <c r="C1" s="1" t="s">
        <v>315</v>
      </c>
      <c r="D1" s="1" t="s">
        <v>3</v>
      </c>
      <c r="E1" s="1" t="s">
        <v>4</v>
      </c>
      <c r="F1" s="1" t="s">
        <v>5</v>
      </c>
      <c r="G1" s="1" t="s">
        <v>6</v>
      </c>
    </row>
    <row r="2" spans="1:12" x14ac:dyDescent="0.3">
      <c r="A2" s="1" t="s">
        <v>314</v>
      </c>
      <c r="B2" s="2">
        <v>45575</v>
      </c>
      <c r="C2" s="80">
        <v>14453680.23</v>
      </c>
      <c r="D2" s="80">
        <f>Table144[[#This Row],[PA Endo]]*0.15</f>
        <v>2168052.0345000001</v>
      </c>
      <c r="E2" s="80">
        <f>Table144[[#This Row],[PA Endo]]*0.7</f>
        <v>10117576.161</v>
      </c>
      <c r="F2" s="80">
        <f>Table144[[#This Row],[PA Endo]]*0.15</f>
        <v>2168052.0345000001</v>
      </c>
      <c r="G2" s="80">
        <f>Table144[[#This Row],[Commonwealth]]+Table144[[#This Row],[County]]+Table144[[#This Row],[Litigating]]</f>
        <v>14453680.23</v>
      </c>
    </row>
    <row r="6" spans="1:12" x14ac:dyDescent="0.3">
      <c r="D6" s="79"/>
      <c r="E6" s="79"/>
      <c r="F6" s="79"/>
      <c r="G6" s="79"/>
      <c r="H6" s="79"/>
      <c r="I6" s="79"/>
    </row>
    <row r="7" spans="1:12" x14ac:dyDescent="0.3">
      <c r="C7" s="80"/>
      <c r="F7" s="79"/>
      <c r="G7" s="79"/>
      <c r="J7" s="81"/>
      <c r="K7" s="81"/>
      <c r="L7" s="79"/>
    </row>
    <row r="8" spans="1:12" x14ac:dyDescent="0.3">
      <c r="A8" s="1" t="s">
        <v>313</v>
      </c>
      <c r="B8" s="80">
        <v>632035.4</v>
      </c>
      <c r="D8" s="81"/>
      <c r="E8" s="81"/>
      <c r="F8" s="79"/>
      <c r="G8" s="79"/>
      <c r="H8" s="80"/>
    </row>
    <row r="9" spans="1:12" x14ac:dyDescent="0.3">
      <c r="A9" s="1" t="s">
        <v>312</v>
      </c>
      <c r="F9" s="79"/>
      <c r="G9" s="79"/>
    </row>
  </sheetData>
  <pageMargins left="0.7" right="0.7" top="0.75" bottom="0.75" header="0.3" footer="0.3"/>
  <pageSetup orientation="portrait" copies="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FC62-027A-41D2-963E-CE075A033D13}">
  <dimension ref="A1:C70"/>
  <sheetViews>
    <sheetView topLeftCell="A43" workbookViewId="0">
      <selection activeCell="E19" sqref="E19"/>
    </sheetView>
  </sheetViews>
  <sheetFormatPr defaultColWidth="12.21875" defaultRowHeight="15.6" x14ac:dyDescent="0.3"/>
  <cols>
    <col min="1" max="1" width="16.109375" style="1" customWidth="1"/>
    <col min="2" max="2" width="26.6640625" style="1" customWidth="1"/>
    <col min="3" max="3" width="25.77734375" style="1" customWidth="1"/>
    <col min="4" max="16384" width="12.21875" style="1"/>
  </cols>
  <sheetData>
    <row r="1" spans="1:3" x14ac:dyDescent="0.3">
      <c r="A1" s="87" t="s">
        <v>4</v>
      </c>
      <c r="B1" s="87" t="s">
        <v>318</v>
      </c>
      <c r="C1" s="87" t="s">
        <v>317</v>
      </c>
    </row>
    <row r="2" spans="1:3" x14ac:dyDescent="0.3">
      <c r="A2" s="87" t="s">
        <v>25</v>
      </c>
      <c r="B2" s="87"/>
      <c r="C2" s="80">
        <v>10117576.161</v>
      </c>
    </row>
    <row r="3" spans="1:3" x14ac:dyDescent="0.3">
      <c r="A3" s="86" t="s">
        <v>4</v>
      </c>
      <c r="B3" s="1" t="s">
        <v>24</v>
      </c>
      <c r="C3" s="80" t="s">
        <v>316</v>
      </c>
    </row>
    <row r="4" spans="1:3" x14ac:dyDescent="0.3">
      <c r="A4" s="82" t="s">
        <v>26</v>
      </c>
      <c r="B4" s="1">
        <v>3.4185894747622387E-3</v>
      </c>
      <c r="C4" s="80">
        <f t="shared" ref="C4:C35" si="0">B4*$C$2</f>
        <v>34587.839374099938</v>
      </c>
    </row>
    <row r="5" spans="1:3" x14ac:dyDescent="0.3">
      <c r="A5" s="82" t="s">
        <v>27</v>
      </c>
      <c r="B5" s="1">
        <v>0.11452275526177516</v>
      </c>
      <c r="C5" s="80">
        <f t="shared" si="0"/>
        <v>1158692.6985285736</v>
      </c>
    </row>
    <row r="6" spans="1:3" x14ac:dyDescent="0.3">
      <c r="A6" s="82" t="s">
        <v>28</v>
      </c>
      <c r="B6" s="1">
        <v>6.0222831445004236E-3</v>
      </c>
      <c r="C6" s="80">
        <f t="shared" si="0"/>
        <v>60930.908377589607</v>
      </c>
    </row>
    <row r="7" spans="1:3" x14ac:dyDescent="0.3">
      <c r="A7" s="82" t="s">
        <v>29</v>
      </c>
      <c r="B7" s="1">
        <v>1.2660706775723332E-2</v>
      </c>
      <c r="C7" s="80">
        <f t="shared" si="0"/>
        <v>128095.66505546957</v>
      </c>
    </row>
    <row r="8" spans="1:3" x14ac:dyDescent="0.3">
      <c r="A8" s="82" t="s">
        <v>30</v>
      </c>
      <c r="B8" s="1">
        <v>1.9080507699772487E-3</v>
      </c>
      <c r="C8" s="80">
        <f t="shared" si="0"/>
        <v>19304.848984299508</v>
      </c>
    </row>
    <row r="9" spans="1:3" x14ac:dyDescent="0.3">
      <c r="A9" s="82" t="s">
        <v>31</v>
      </c>
      <c r="B9" s="1">
        <v>1.8792305559577987E-2</v>
      </c>
      <c r="C9" s="80">
        <f t="shared" si="0"/>
        <v>190132.58273981401</v>
      </c>
    </row>
    <row r="10" spans="1:3" x14ac:dyDescent="0.3">
      <c r="A10" s="82" t="s">
        <v>32</v>
      </c>
      <c r="B10" s="1">
        <v>8.0197735934250114E-3</v>
      </c>
      <c r="C10" s="80">
        <f t="shared" si="0"/>
        <v>81140.670125454199</v>
      </c>
    </row>
    <row r="11" spans="1:3" x14ac:dyDescent="0.3">
      <c r="A11" s="82" t="s">
        <v>33</v>
      </c>
      <c r="B11" s="1">
        <v>2.2359962594508242E-3</v>
      </c>
      <c r="C11" s="80">
        <f t="shared" si="0"/>
        <v>22622.86245070483</v>
      </c>
    </row>
    <row r="12" spans="1:3" x14ac:dyDescent="0.3">
      <c r="A12" s="82" t="s">
        <v>34</v>
      </c>
      <c r="B12" s="1">
        <v>5.7668825533399602E-2</v>
      </c>
      <c r="C12" s="80">
        <f t="shared" si="0"/>
        <v>583468.73444959195</v>
      </c>
    </row>
    <row r="13" spans="1:3" x14ac:dyDescent="0.3">
      <c r="A13" s="82" t="s">
        <v>35</v>
      </c>
      <c r="B13" s="1">
        <v>1.3604794180508509E-2</v>
      </c>
      <c r="C13" s="80">
        <f t="shared" si="0"/>
        <v>137647.54127602442</v>
      </c>
    </row>
    <row r="14" spans="1:3" x14ac:dyDescent="0.3">
      <c r="A14" s="82" t="s">
        <v>36</v>
      </c>
      <c r="B14" s="1">
        <v>1.5771226721418889E-2</v>
      </c>
      <c r="C14" s="80">
        <f t="shared" si="0"/>
        <v>159566.58750635394</v>
      </c>
    </row>
    <row r="15" spans="1:3" x14ac:dyDescent="0.3">
      <c r="A15" s="82" t="s">
        <v>37</v>
      </c>
      <c r="B15" s="1">
        <v>1.4285891185863999E-3</v>
      </c>
      <c r="C15" s="80">
        <f t="shared" si="0"/>
        <v>14453.859210073762</v>
      </c>
    </row>
    <row r="16" spans="1:3" x14ac:dyDescent="0.3">
      <c r="A16" s="82" t="s">
        <v>38</v>
      </c>
      <c r="B16" s="1">
        <v>6.399917820696671E-3</v>
      </c>
      <c r="C16" s="80">
        <f t="shared" si="0"/>
        <v>64751.655975039714</v>
      </c>
    </row>
    <row r="17" spans="1:3" x14ac:dyDescent="0.3">
      <c r="A17" s="82" t="s">
        <v>39</v>
      </c>
      <c r="B17" s="1">
        <v>2.4844407644750662E-3</v>
      </c>
      <c r="C17" s="80">
        <f t="shared" si="0"/>
        <v>25136.518652069546</v>
      </c>
    </row>
    <row r="18" spans="1:3" x14ac:dyDescent="0.3">
      <c r="A18" s="82" t="s">
        <v>40</v>
      </c>
      <c r="B18" s="1">
        <v>2.2161205847617552E-2</v>
      </c>
      <c r="C18" s="80">
        <f t="shared" si="0"/>
        <v>224217.68798286916</v>
      </c>
    </row>
    <row r="19" spans="1:3" x14ac:dyDescent="0.3">
      <c r="A19" s="82" t="s">
        <v>41</v>
      </c>
      <c r="B19" s="1">
        <v>1.4608509466514366E-3</v>
      </c>
      <c r="C19" s="80">
        <f t="shared" si="0"/>
        <v>14780.270712614858</v>
      </c>
    </row>
    <row r="20" spans="1:3" x14ac:dyDescent="0.3">
      <c r="A20" s="82" t="s">
        <v>42</v>
      </c>
      <c r="B20" s="1">
        <v>2.9713910800255451E-3</v>
      </c>
      <c r="C20" s="80">
        <f t="shared" si="0"/>
        <v>30063.275556274501</v>
      </c>
    </row>
    <row r="21" spans="1:3" x14ac:dyDescent="0.3">
      <c r="A21" s="82" t="s">
        <v>43</v>
      </c>
      <c r="B21" s="1">
        <v>1.4285891185863999E-3</v>
      </c>
      <c r="C21" s="80">
        <f t="shared" si="0"/>
        <v>14453.859210073762</v>
      </c>
    </row>
    <row r="22" spans="1:3" s="84" customFormat="1" x14ac:dyDescent="0.3">
      <c r="A22" s="82" t="s">
        <v>44</v>
      </c>
      <c r="B22" s="1">
        <v>3.2595860772744538E-3</v>
      </c>
      <c r="C22" s="80">
        <f t="shared" si="0"/>
        <v>32979.11039015952</v>
      </c>
    </row>
    <row r="23" spans="1:3" x14ac:dyDescent="0.3">
      <c r="A23" s="85" t="s">
        <v>45</v>
      </c>
      <c r="B23" s="84">
        <v>6.6682368575386878E-3</v>
      </c>
      <c r="C23" s="83">
        <f t="shared" si="0"/>
        <v>67466.394265734983</v>
      </c>
    </row>
    <row r="24" spans="1:3" x14ac:dyDescent="0.3">
      <c r="A24" s="82" t="s">
        <v>46</v>
      </c>
      <c r="B24" s="1">
        <v>1.0414773250363621E-2</v>
      </c>
      <c r="C24" s="80">
        <f t="shared" si="0"/>
        <v>105372.26156009946</v>
      </c>
    </row>
    <row r="25" spans="1:3" x14ac:dyDescent="0.3">
      <c r="A25" s="82" t="s">
        <v>47</v>
      </c>
      <c r="B25" s="1">
        <v>1.6009732531945126E-2</v>
      </c>
      <c r="C25" s="80">
        <f t="shared" si="0"/>
        <v>161979.68820919417</v>
      </c>
    </row>
    <row r="26" spans="1:3" x14ac:dyDescent="0.3">
      <c r="A26" s="82" t="s">
        <v>48</v>
      </c>
      <c r="B26" s="1">
        <v>6.4277437366895854E-2</v>
      </c>
      <c r="C26" s="80">
        <f t="shared" si="0"/>
        <v>650331.8679934761</v>
      </c>
    </row>
    <row r="27" spans="1:3" x14ac:dyDescent="0.3">
      <c r="A27" s="82" t="s">
        <v>49</v>
      </c>
      <c r="B27" s="1">
        <v>1.6695435308618936E-3</v>
      </c>
      <c r="C27" s="80">
        <f t="shared" si="0"/>
        <v>16891.733827600063</v>
      </c>
    </row>
    <row r="28" spans="1:3" x14ac:dyDescent="0.3">
      <c r="A28" s="82" t="s">
        <v>50</v>
      </c>
      <c r="B28" s="1">
        <v>2.0382346677401429E-2</v>
      </c>
      <c r="C28" s="80">
        <f t="shared" si="0"/>
        <v>206219.94484851425</v>
      </c>
    </row>
    <row r="29" spans="1:3" x14ac:dyDescent="0.3">
      <c r="A29" s="82" t="s">
        <v>51</v>
      </c>
      <c r="B29" s="1">
        <v>1.3396101596298053E-2</v>
      </c>
      <c r="C29" s="80">
        <f t="shared" si="0"/>
        <v>135536.07816103924</v>
      </c>
    </row>
    <row r="30" spans="1:3" x14ac:dyDescent="0.3">
      <c r="A30" s="82" t="s">
        <v>52</v>
      </c>
      <c r="B30" s="1">
        <v>1.4285891185863999E-3</v>
      </c>
      <c r="C30" s="80">
        <f t="shared" si="0"/>
        <v>14453.859210073762</v>
      </c>
    </row>
    <row r="31" spans="1:3" x14ac:dyDescent="0.3">
      <c r="A31" s="82" t="s">
        <v>53</v>
      </c>
      <c r="B31" s="1">
        <v>5.108008966031025E-3</v>
      </c>
      <c r="C31" s="80">
        <f t="shared" si="0"/>
        <v>51680.669744889761</v>
      </c>
    </row>
    <row r="32" spans="1:3" x14ac:dyDescent="0.3">
      <c r="A32" s="82" t="s">
        <v>54</v>
      </c>
      <c r="B32" s="1">
        <v>1.4285891185863999E-3</v>
      </c>
      <c r="C32" s="80">
        <f t="shared" si="0"/>
        <v>14453.859210073762</v>
      </c>
    </row>
    <row r="33" spans="1:3" x14ac:dyDescent="0.3">
      <c r="A33" s="82" t="s">
        <v>55</v>
      </c>
      <c r="B33" s="1">
        <v>2.0372409411492541E-3</v>
      </c>
      <c r="C33" s="80">
        <f t="shared" si="0"/>
        <v>20611.940380384898</v>
      </c>
    </row>
    <row r="34" spans="1:3" x14ac:dyDescent="0.3">
      <c r="A34" s="82" t="s">
        <v>56</v>
      </c>
      <c r="B34" s="1">
        <v>1.7788591702161249E-3</v>
      </c>
      <c r="C34" s="80">
        <f t="shared" si="0"/>
        <v>17997.743134354907</v>
      </c>
    </row>
    <row r="35" spans="1:3" x14ac:dyDescent="0.3">
      <c r="A35" s="82" t="s">
        <v>57</v>
      </c>
      <c r="B35" s="1">
        <v>6.7874911913909245E-3</v>
      </c>
      <c r="C35" s="80">
        <f t="shared" si="0"/>
        <v>68672.959071014309</v>
      </c>
    </row>
    <row r="36" spans="1:3" x14ac:dyDescent="0.3">
      <c r="A36" s="82" t="s">
        <v>58</v>
      </c>
      <c r="B36" s="1">
        <v>1.8782361150723507E-3</v>
      </c>
      <c r="C36" s="80">
        <f t="shared" ref="C36:C67" si="1">B36*$C$2</f>
        <v>19003.196942585269</v>
      </c>
    </row>
    <row r="37" spans="1:3" x14ac:dyDescent="0.3">
      <c r="A37" s="82" t="s">
        <v>59</v>
      </c>
      <c r="B37" s="1">
        <v>1.4285891185863999E-3</v>
      </c>
      <c r="C37" s="80">
        <f t="shared" si="1"/>
        <v>14453.859210073762</v>
      </c>
    </row>
    <row r="38" spans="1:3" x14ac:dyDescent="0.3">
      <c r="A38" s="82" t="s">
        <v>60</v>
      </c>
      <c r="B38" s="1">
        <v>1.3843301419623864E-2</v>
      </c>
      <c r="C38" s="80">
        <f t="shared" si="1"/>
        <v>140060.65643272386</v>
      </c>
    </row>
    <row r="39" spans="1:3" x14ac:dyDescent="0.3">
      <c r="A39" s="82" t="s">
        <v>61</v>
      </c>
      <c r="B39" s="1">
        <v>2.2518965991996025E-2</v>
      </c>
      <c r="C39" s="80">
        <f t="shared" si="1"/>
        <v>227837.35349098872</v>
      </c>
    </row>
    <row r="40" spans="1:3" x14ac:dyDescent="0.3">
      <c r="A40" s="82" t="s">
        <v>62</v>
      </c>
      <c r="B40" s="1">
        <v>9.8284459899569149E-3</v>
      </c>
      <c r="C40" s="80">
        <f t="shared" si="1"/>
        <v>99440.050847664126</v>
      </c>
    </row>
    <row r="41" spans="1:3" x14ac:dyDescent="0.3">
      <c r="A41" s="82" t="s">
        <v>63</v>
      </c>
      <c r="B41" s="1">
        <v>5.992469918184644E-3</v>
      </c>
      <c r="C41" s="80">
        <f t="shared" si="1"/>
        <v>60629.270789734575</v>
      </c>
    </row>
    <row r="42" spans="1:3" x14ac:dyDescent="0.3">
      <c r="A42" s="82" t="s">
        <v>64</v>
      </c>
      <c r="B42" s="1">
        <v>2.0938862140081473E-2</v>
      </c>
      <c r="C42" s="80">
        <f t="shared" si="1"/>
        <v>211850.53242695375</v>
      </c>
    </row>
    <row r="43" spans="1:3" x14ac:dyDescent="0.3">
      <c r="A43" s="82" t="s">
        <v>65</v>
      </c>
      <c r="B43" s="1">
        <v>3.2615731018794961E-2</v>
      </c>
      <c r="C43" s="80">
        <f t="shared" si="1"/>
        <v>329992.14262934815</v>
      </c>
    </row>
    <row r="44" spans="1:3" x14ac:dyDescent="0.3">
      <c r="A44" s="82" t="s">
        <v>66</v>
      </c>
      <c r="B44" s="1">
        <v>6.3800418602897781E-3</v>
      </c>
      <c r="C44" s="80">
        <f t="shared" si="1"/>
        <v>64550.559431849957</v>
      </c>
    </row>
    <row r="45" spans="1:3" x14ac:dyDescent="0.3">
      <c r="A45" s="82" t="s">
        <v>67</v>
      </c>
      <c r="B45" s="1">
        <v>1.7887964361250118E-3</v>
      </c>
      <c r="C45" s="80">
        <f t="shared" si="1"/>
        <v>18098.284179020178</v>
      </c>
    </row>
    <row r="46" spans="1:3" x14ac:dyDescent="0.3">
      <c r="A46" s="82" t="s">
        <v>68</v>
      </c>
      <c r="B46" s="1">
        <v>9.2520559954590974E-3</v>
      </c>
      <c r="C46" s="80">
        <f t="shared" si="1"/>
        <v>93608.381179894088</v>
      </c>
    </row>
    <row r="47" spans="1:3" x14ac:dyDescent="0.3">
      <c r="A47" s="82" t="s">
        <v>69</v>
      </c>
      <c r="B47" s="1">
        <v>1.7192327175845658E-3</v>
      </c>
      <c r="C47" s="80">
        <f t="shared" si="1"/>
        <v>17394.467958644847</v>
      </c>
    </row>
    <row r="48" spans="1:3" x14ac:dyDescent="0.3">
      <c r="A48" s="82" t="s">
        <v>70</v>
      </c>
      <c r="B48" s="1">
        <v>8.2185274831374621E-3</v>
      </c>
      <c r="C48" s="80">
        <f t="shared" si="1"/>
        <v>83151.577741914924</v>
      </c>
    </row>
    <row r="49" spans="1:3" x14ac:dyDescent="0.3">
      <c r="A49" s="82" t="s">
        <v>71</v>
      </c>
      <c r="B49" s="1">
        <v>5.0155878215931968E-2</v>
      </c>
      <c r="C49" s="80">
        <f t="shared" si="1"/>
        <v>507455.91777153249</v>
      </c>
    </row>
    <row r="50" spans="1:3" x14ac:dyDescent="0.3">
      <c r="A50" s="82" t="s">
        <v>72</v>
      </c>
      <c r="B50" s="1">
        <v>1.4285891185863999E-3</v>
      </c>
      <c r="C50" s="80">
        <f t="shared" si="1"/>
        <v>14453.859210073762</v>
      </c>
    </row>
    <row r="51" spans="1:3" x14ac:dyDescent="0.3">
      <c r="A51" s="82" t="s">
        <v>73</v>
      </c>
      <c r="B51" s="1">
        <v>1.6755064618428732E-2</v>
      </c>
      <c r="C51" s="80">
        <f t="shared" si="1"/>
        <v>169520.6423594291</v>
      </c>
    </row>
    <row r="52" spans="1:3" x14ac:dyDescent="0.3">
      <c r="A52" s="82" t="s">
        <v>74</v>
      </c>
      <c r="B52" s="1">
        <v>5.7440254131604015E-3</v>
      </c>
      <c r="C52" s="80">
        <f t="shared" si="1"/>
        <v>58115.614588369855</v>
      </c>
    </row>
    <row r="53" spans="1:3" x14ac:dyDescent="0.3">
      <c r="A53" s="82" t="s">
        <v>75</v>
      </c>
      <c r="B53" s="1">
        <v>2.2956227120823833E-3</v>
      </c>
      <c r="C53" s="80">
        <f t="shared" si="1"/>
        <v>23226.137626414889</v>
      </c>
    </row>
    <row r="54" spans="1:3" x14ac:dyDescent="0.3">
      <c r="A54" s="82" t="s">
        <v>76</v>
      </c>
      <c r="B54" s="1">
        <v>0.23001941115465127</v>
      </c>
      <c r="C54" s="80">
        <f t="shared" si="1"/>
        <v>2327238.9108655574</v>
      </c>
    </row>
    <row r="55" spans="1:3" x14ac:dyDescent="0.3">
      <c r="A55" s="82" t="s">
        <v>77</v>
      </c>
      <c r="B55" s="1">
        <v>2.8123862539486417E-3</v>
      </c>
      <c r="C55" s="80">
        <f t="shared" si="1"/>
        <v>28454.532118474872</v>
      </c>
    </row>
    <row r="56" spans="1:3" x14ac:dyDescent="0.3">
      <c r="A56" s="82" t="s">
        <v>78</v>
      </c>
      <c r="B56" s="1">
        <v>1.4285891185863999E-3</v>
      </c>
      <c r="C56" s="80">
        <f t="shared" si="1"/>
        <v>14453.859210073762</v>
      </c>
    </row>
    <row r="57" spans="1:3" x14ac:dyDescent="0.3">
      <c r="A57" s="82" t="s">
        <v>79</v>
      </c>
      <c r="B57" s="1">
        <v>9.7986327636411363E-3</v>
      </c>
      <c r="C57" s="80">
        <f t="shared" si="1"/>
        <v>99138.413259809109</v>
      </c>
    </row>
    <row r="58" spans="1:3" x14ac:dyDescent="0.3">
      <c r="A58" s="82" t="s">
        <v>80</v>
      </c>
      <c r="B58" s="1">
        <v>1.4285891185863999E-3</v>
      </c>
      <c r="C58" s="80">
        <f t="shared" si="1"/>
        <v>14453.859210073762</v>
      </c>
    </row>
    <row r="59" spans="1:3" x14ac:dyDescent="0.3">
      <c r="A59" s="82" t="s">
        <v>81</v>
      </c>
      <c r="B59" s="1">
        <v>4.2235480138774059E-3</v>
      </c>
      <c r="C59" s="80">
        <f t="shared" si="1"/>
        <v>42732.06870004494</v>
      </c>
    </row>
    <row r="60" spans="1:3" x14ac:dyDescent="0.3">
      <c r="A60" s="82" t="s">
        <v>82</v>
      </c>
      <c r="B60" s="1">
        <v>1.4285891185863999E-3</v>
      </c>
      <c r="C60" s="80">
        <f t="shared" si="1"/>
        <v>14453.859210073762</v>
      </c>
    </row>
    <row r="61" spans="1:3" x14ac:dyDescent="0.3">
      <c r="A61" s="82" t="s">
        <v>83</v>
      </c>
      <c r="B61" s="1">
        <v>1.6496689990441195E-3</v>
      </c>
      <c r="C61" s="80">
        <f t="shared" si="1"/>
        <v>16690.651738269516</v>
      </c>
    </row>
    <row r="62" spans="1:3" x14ac:dyDescent="0.3">
      <c r="A62" s="82" t="s">
        <v>84</v>
      </c>
      <c r="B62" s="1">
        <v>1.4807269070583292E-3</v>
      </c>
      <c r="C62" s="80">
        <f t="shared" si="1"/>
        <v>14981.367255804615</v>
      </c>
    </row>
    <row r="63" spans="1:3" x14ac:dyDescent="0.3">
      <c r="A63" s="82" t="s">
        <v>85</v>
      </c>
      <c r="B63" s="1">
        <v>1.4285891185863999E-3</v>
      </c>
      <c r="C63" s="80">
        <f t="shared" si="1"/>
        <v>14453.859210073762</v>
      </c>
    </row>
    <row r="64" spans="1:3" x14ac:dyDescent="0.3">
      <c r="A64" s="82" t="s">
        <v>86</v>
      </c>
      <c r="B64" s="1">
        <v>3.3390870617237872E-3</v>
      </c>
      <c r="C64" s="80">
        <f t="shared" si="1"/>
        <v>33783.467655200126</v>
      </c>
    </row>
    <row r="65" spans="1:3" x14ac:dyDescent="0.3">
      <c r="A65" s="82" t="s">
        <v>87</v>
      </c>
      <c r="B65" s="1">
        <v>1.4285891185863999E-3</v>
      </c>
      <c r="C65" s="80">
        <f t="shared" si="1"/>
        <v>14453.859210073762</v>
      </c>
    </row>
    <row r="66" spans="1:3" x14ac:dyDescent="0.3">
      <c r="A66" s="82" t="s">
        <v>88</v>
      </c>
      <c r="B66" s="1">
        <v>1.6367492676323599E-2</v>
      </c>
      <c r="C66" s="80">
        <f t="shared" si="1"/>
        <v>165599.35371731373</v>
      </c>
    </row>
    <row r="67" spans="1:3" x14ac:dyDescent="0.3">
      <c r="A67" s="82" t="s">
        <v>89</v>
      </c>
      <c r="B67" s="1">
        <v>3.13039447751333E-3</v>
      </c>
      <c r="C67" s="80">
        <f t="shared" si="1"/>
        <v>31672.004540214919</v>
      </c>
    </row>
    <row r="68" spans="1:3" x14ac:dyDescent="0.3">
      <c r="A68" s="82" t="s">
        <v>90</v>
      </c>
      <c r="B68" s="1">
        <v>3.2069154250612922E-2</v>
      </c>
      <c r="C68" s="80">
        <f t="shared" ref="C68:C70" si="2">B68*$C$2</f>
        <v>324462.1105494331</v>
      </c>
    </row>
    <row r="69" spans="1:3" x14ac:dyDescent="0.3">
      <c r="A69" s="82" t="s">
        <v>91</v>
      </c>
      <c r="B69" s="1">
        <v>2.0273036752403669E-3</v>
      </c>
      <c r="C69" s="80">
        <f t="shared" si="2"/>
        <v>20511.399335719623</v>
      </c>
    </row>
    <row r="70" spans="1:3" x14ac:dyDescent="0.3">
      <c r="A70" s="82" t="s">
        <v>92</v>
      </c>
      <c r="B70" s="1">
        <v>2.5549983524653132E-2</v>
      </c>
      <c r="C70" s="80">
        <f t="shared" si="2"/>
        <v>258503.9042229733</v>
      </c>
    </row>
  </sheetData>
  <pageMargins left="0.7" right="0.7" top="0.75" bottom="0.75" header="0.3" footer="0.3"/>
  <pageSetup orientation="portrait" horizontalDpi="200" verticalDpi="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3C02D-F8A9-4CF9-92F6-32A82FDBD7A0}">
  <dimension ref="A1:S75"/>
  <sheetViews>
    <sheetView topLeftCell="A36" zoomScale="120" zoomScaleNormal="120" workbookViewId="0">
      <selection activeCell="A58" sqref="A58"/>
    </sheetView>
  </sheetViews>
  <sheetFormatPr defaultColWidth="9.88671875" defaultRowHeight="15.6" x14ac:dyDescent="0.3"/>
  <cols>
    <col min="1" max="1" width="22.88671875" style="1" customWidth="1"/>
    <col min="2" max="2" width="23.21875" style="1" hidden="1" customWidth="1"/>
    <col min="3" max="3" width="24.6640625" style="1" hidden="1" customWidth="1"/>
    <col min="4" max="4" width="23.33203125" style="1" hidden="1" customWidth="1"/>
    <col min="5" max="5" width="21.109375" style="1" hidden="1" customWidth="1"/>
    <col min="6" max="6" width="24.5546875" style="1" hidden="1" customWidth="1"/>
    <col min="7" max="7" width="19.109375" style="1" hidden="1" customWidth="1"/>
    <col min="8" max="8" width="18.77734375" style="1" hidden="1" customWidth="1"/>
    <col min="9" max="9" width="24.33203125" style="1" hidden="1" customWidth="1"/>
    <col min="10" max="10" width="23.88671875" style="1" hidden="1" customWidth="1"/>
    <col min="11" max="11" width="29.5546875" style="1" customWidth="1"/>
    <col min="12" max="12" width="25.6640625" style="1" customWidth="1"/>
    <col min="13" max="13" width="23" style="1" customWidth="1"/>
    <col min="14" max="14" width="22.44140625" style="1" customWidth="1"/>
    <col min="15" max="15" width="19" style="1" customWidth="1"/>
    <col min="16" max="16" width="21" style="1" customWidth="1"/>
    <col min="17" max="17" width="20" style="1" customWidth="1"/>
    <col min="18" max="18" width="19.6640625" style="1" customWidth="1"/>
    <col min="19" max="19" width="20.6640625" style="1" customWidth="1"/>
    <col min="20" max="20" width="14.33203125" style="1" customWidth="1"/>
    <col min="21" max="16384" width="9.88671875" style="1"/>
  </cols>
  <sheetData>
    <row r="1" spans="1:19" x14ac:dyDescent="0.3">
      <c r="A1" s="87" t="s">
        <v>117</v>
      </c>
      <c r="B1" s="87" t="s">
        <v>318</v>
      </c>
      <c r="C1" s="87" t="s">
        <v>334</v>
      </c>
      <c r="D1" s="87"/>
      <c r="E1" s="94" t="s">
        <v>6</v>
      </c>
      <c r="G1" s="87"/>
      <c r="H1" s="94"/>
      <c r="I1" s="94"/>
      <c r="J1" s="94"/>
      <c r="K1" s="94"/>
    </row>
    <row r="2" spans="1:19" x14ac:dyDescent="0.3">
      <c r="C2" s="80">
        <v>2168052.0345000001</v>
      </c>
      <c r="D2" s="79"/>
      <c r="E2" s="80">
        <v>2168052.0345000001</v>
      </c>
      <c r="G2" s="79"/>
      <c r="H2" s="79"/>
      <c r="I2" s="79"/>
      <c r="J2" s="79"/>
      <c r="K2" s="79"/>
    </row>
    <row r="3" spans="1:19" x14ac:dyDescent="0.3">
      <c r="C3" s="79"/>
      <c r="D3" s="79"/>
      <c r="G3" s="79"/>
      <c r="H3" s="79"/>
      <c r="I3" s="79"/>
      <c r="J3" s="79"/>
      <c r="K3" s="79"/>
    </row>
    <row r="4" spans="1:19" x14ac:dyDescent="0.3">
      <c r="A4" s="91">
        <v>0.25</v>
      </c>
      <c r="C4" s="79">
        <v>0</v>
      </c>
      <c r="D4" s="79"/>
      <c r="E4" s="80">
        <v>0</v>
      </c>
      <c r="G4" s="79"/>
      <c r="H4" s="79"/>
      <c r="I4" s="79"/>
      <c r="J4" s="79"/>
      <c r="K4" s="79"/>
      <c r="M4" s="79"/>
    </row>
    <row r="5" spans="1:19" x14ac:dyDescent="0.3">
      <c r="A5" s="1" t="s">
        <v>335</v>
      </c>
      <c r="B5" s="1" t="s">
        <v>24</v>
      </c>
      <c r="C5" s="79" t="s">
        <v>334</v>
      </c>
      <c r="D5" s="79" t="s">
        <v>6</v>
      </c>
      <c r="F5" s="79"/>
      <c r="G5" s="79"/>
      <c r="H5" s="79"/>
      <c r="I5" s="79"/>
      <c r="J5" s="79"/>
    </row>
    <row r="6" spans="1:19" x14ac:dyDescent="0.3">
      <c r="C6" s="79">
        <f>$B$6*D4</f>
        <v>0</v>
      </c>
      <c r="D6" s="79">
        <f>SUM(C6:C6)</f>
        <v>0</v>
      </c>
      <c r="F6" s="79"/>
      <c r="G6" s="79"/>
      <c r="H6" s="79"/>
      <c r="I6" s="79"/>
      <c r="J6" s="79"/>
    </row>
    <row r="7" spans="1:19" x14ac:dyDescent="0.3">
      <c r="A7" s="1" t="s">
        <v>333</v>
      </c>
      <c r="C7" s="79"/>
      <c r="D7" s="79"/>
      <c r="E7" s="79"/>
      <c r="F7" s="79"/>
      <c r="G7" s="79"/>
      <c r="H7" s="79"/>
      <c r="I7" s="79"/>
      <c r="J7" s="79"/>
      <c r="K7" s="79" t="s">
        <v>332</v>
      </c>
      <c r="M7" s="1" t="s">
        <v>331</v>
      </c>
    </row>
    <row r="8" spans="1:19" x14ac:dyDescent="0.3">
      <c r="C8" s="79"/>
      <c r="D8" s="79"/>
      <c r="E8" s="79"/>
      <c r="F8" s="79"/>
      <c r="G8" s="79"/>
      <c r="H8" s="79"/>
      <c r="I8" s="79"/>
      <c r="J8" s="79"/>
      <c r="K8" s="79"/>
    </row>
    <row r="9" spans="1:19" x14ac:dyDescent="0.3">
      <c r="A9" s="91">
        <v>0.75</v>
      </c>
      <c r="D9" s="90">
        <f>E2</f>
        <v>2168052.0345000001</v>
      </c>
      <c r="F9" s="80">
        <f>SUM(Table2[Unbalanced with Floors])</f>
        <v>2170245.5837452654</v>
      </c>
      <c r="G9" s="1">
        <f>SUM(Table2[Gross % w/ Floors])</f>
        <v>1.0010117604238089</v>
      </c>
      <c r="H9" s="93">
        <f>SUM(Table2[Adjusted %])</f>
        <v>0.99999999999999989</v>
      </c>
      <c r="K9" s="89">
        <f>E2</f>
        <v>2168052.0345000001</v>
      </c>
      <c r="L9" s="79"/>
      <c r="M9" s="89">
        <f>SUM(Table2[Final  - 12/1/2025])</f>
        <v>2168052.0345000005</v>
      </c>
      <c r="N9" s="79"/>
      <c r="O9" s="79"/>
      <c r="P9" s="80"/>
      <c r="Q9" s="79"/>
      <c r="R9" s="79"/>
      <c r="S9" s="80"/>
    </row>
    <row r="10" spans="1:19" x14ac:dyDescent="0.3">
      <c r="A10" s="91"/>
      <c r="B10" s="88">
        <f>SUM(Table2[Population 2020])</f>
        <v>9999591</v>
      </c>
      <c r="C10" s="92">
        <f>SUM(Table2[No Floor % ])</f>
        <v>1.0000000000000002</v>
      </c>
      <c r="D10" s="79"/>
      <c r="E10" s="79"/>
      <c r="F10" s="79" t="s">
        <v>330</v>
      </c>
      <c r="G10" s="79"/>
      <c r="H10" s="80"/>
      <c r="I10" s="79"/>
      <c r="J10" s="79"/>
      <c r="K10" s="79"/>
    </row>
    <row r="11" spans="1:19" x14ac:dyDescent="0.3">
      <c r="A11" s="91" t="s">
        <v>117</v>
      </c>
      <c r="B11" s="91" t="s">
        <v>329</v>
      </c>
      <c r="C11" s="1" t="s">
        <v>328</v>
      </c>
      <c r="D11" s="1" t="s">
        <v>327</v>
      </c>
      <c r="E11" s="1" t="s">
        <v>326</v>
      </c>
      <c r="F11" s="1" t="s">
        <v>325</v>
      </c>
      <c r="G11" s="1" t="s">
        <v>324</v>
      </c>
      <c r="H11" s="1" t="s">
        <v>218</v>
      </c>
      <c r="I11" s="1" t="s">
        <v>323</v>
      </c>
      <c r="J11" s="1" t="s">
        <v>322</v>
      </c>
      <c r="K11" s="79" t="s">
        <v>317</v>
      </c>
    </row>
    <row r="12" spans="1:19" x14ac:dyDescent="0.3">
      <c r="A12" s="1" t="s">
        <v>321</v>
      </c>
      <c r="B12" s="88">
        <v>1603797</v>
      </c>
      <c r="C12" s="1">
        <f>Table2[[#This Row],[Population 2020]]/$B$10</f>
        <v>0.16038625979802573</v>
      </c>
      <c r="D12" s="90">
        <f>Table2[[#This Row],[No Floor % ]]*$D$9</f>
        <v>347725.75686095527</v>
      </c>
      <c r="E12" s="80">
        <v>14510.488148843209</v>
      </c>
      <c r="F12" s="80">
        <f>IF(Table2[[#This Row],[Payment w/ no floors]]&lt;Table2[[#This Row],[Minimum Payment]],Table2[[#This Row],[Minimum Payment]],Table2[[#This Row],[Payment w/ no floors]])</f>
        <v>347725.75686095527</v>
      </c>
      <c r="G12" s="1">
        <f>Table2[[#This Row],[Unbalanced with Floors]]/$D$9</f>
        <v>0.16038625979802573</v>
      </c>
      <c r="H12" s="1">
        <f>Table2[[#This Row],[Final Payment w/ Floors]]/$D$9</f>
        <v>0.16022357744916563</v>
      </c>
      <c r="I12" s="80">
        <f>Table2[[#This Row],[Unbalanced with Floors]]-J12</f>
        <v>347373.05306353187</v>
      </c>
      <c r="J12" s="80">
        <f>(Table2[[#This Row],[Population 2020]]/$F$44)*($F$9-$D$9)</f>
        <v>352.70379742342044</v>
      </c>
      <c r="K12" s="89">
        <f>Table2[[#This Row],[Adjusted %]]*$K$9</f>
        <v>347373.05306353187</v>
      </c>
    </row>
    <row r="13" spans="1:19" x14ac:dyDescent="0.3">
      <c r="A13" s="1" t="s">
        <v>320</v>
      </c>
      <c r="B13" s="88">
        <v>1250578</v>
      </c>
      <c r="C13" s="1">
        <f>Table2[[#This Row],[Population 2020]]/$B$10</f>
        <v>0.1250629150732265</v>
      </c>
      <c r="D13" s="90">
        <f>Table2[[#This Row],[No Floor % ]]*$D$9</f>
        <v>271142.90746500943</v>
      </c>
      <c r="E13" s="80">
        <v>14510.488148843209</v>
      </c>
      <c r="F13" s="80">
        <f>IF(Table2[[#This Row],[Payment w/ no floors]]&lt;Table2[[#This Row],[Minimum Payment]],Table2[[#This Row],[Minimum Payment]],Table2[[#This Row],[Payment w/ no floors]])</f>
        <v>271142.90746500943</v>
      </c>
      <c r="G13" s="1">
        <f>Table2[[#This Row],[Unbalanced with Floors]]/$D$9</f>
        <v>0.1250629150732265</v>
      </c>
      <c r="H13" s="1">
        <f>Table2[[#This Row],[Final Payment w/ Floors]]/$D$9</f>
        <v>0.12493606175795481</v>
      </c>
      <c r="I13" s="80">
        <f>Table2[[#This Row],[Unbalanced with Floors]]-J13</f>
        <v>270867.8828767516</v>
      </c>
      <c r="J13" s="80">
        <f>(Table2[[#This Row],[Population 2020]]/$F$44)*($F$9-$D$9)</f>
        <v>275.02458825785698</v>
      </c>
      <c r="K13" s="89">
        <f>Table2[[#This Row],[Adjusted %]]*$K$9</f>
        <v>270867.8828767516</v>
      </c>
    </row>
    <row r="14" spans="1:19" x14ac:dyDescent="0.3">
      <c r="A14" s="1" t="s">
        <v>308</v>
      </c>
      <c r="B14" s="88">
        <v>801898.5</v>
      </c>
      <c r="C14" s="1">
        <f>Table2[[#This Row],[Population 2020]]/$B$10</f>
        <v>8.0193129899012866E-2</v>
      </c>
      <c r="D14" s="90">
        <f>Table2[[#This Row],[No Floor % ]]*$D$9</f>
        <v>173862.87843047763</v>
      </c>
      <c r="E14" s="80">
        <v>14510.488148843209</v>
      </c>
      <c r="F14" s="80">
        <f>IF(Table2[[#This Row],[Payment w/ no floors]]&lt;Table2[[#This Row],[Minimum Payment]],Table2[[#This Row],[Minimum Payment]],Table2[[#This Row],[Payment w/ no floors]])</f>
        <v>173862.87843047763</v>
      </c>
      <c r="G14" s="1">
        <f>Table2[[#This Row],[Unbalanced with Floors]]/$D$9</f>
        <v>8.0193129899012866E-2</v>
      </c>
      <c r="H14" s="1">
        <f>Table2[[#This Row],[Final Payment w/ Floors]]/$D$9</f>
        <v>8.0111788724582814E-2</v>
      </c>
      <c r="I14" s="80">
        <f>Table2[[#This Row],[Unbalanced with Floors]]-J14</f>
        <v>173686.52653176594</v>
      </c>
      <c r="J14" s="80">
        <f>(Table2[[#This Row],[Population 2020]]/$F$44)*($F$9-$D$9)</f>
        <v>176.35189871171022</v>
      </c>
      <c r="K14" s="89">
        <f>Table2[[#This Row],[Adjusted %]]*$K$9</f>
        <v>173686.52653176594</v>
      </c>
    </row>
    <row r="15" spans="1:19" x14ac:dyDescent="0.3">
      <c r="A15" s="1" t="s">
        <v>129</v>
      </c>
      <c r="B15" s="88">
        <v>646538</v>
      </c>
      <c r="C15" s="1">
        <f>Table2[[#This Row],[Population 2020]]/$B$10</f>
        <v>6.4656444448577946E-2</v>
      </c>
      <c r="D15" s="90">
        <f>Table2[[#This Row],[No Floor % ]]*$D$9</f>
        <v>140178.53593027566</v>
      </c>
      <c r="E15" s="80">
        <v>14510.488148843209</v>
      </c>
      <c r="F15" s="80">
        <f>IF(Table2[[#This Row],[Payment w/ no floors]]&lt;Table2[[#This Row],[Minimum Payment]],Table2[[#This Row],[Minimum Payment]],Table2[[#This Row],[Payment w/ no floors]])</f>
        <v>140178.53593027566</v>
      </c>
      <c r="G15" s="1">
        <f>Table2[[#This Row],[Unbalanced with Floors]]/$D$9</f>
        <v>6.4656444448577946E-2</v>
      </c>
      <c r="H15" s="1">
        <f>Table2[[#This Row],[Final Payment w/ Floors]]/$D$9</f>
        <v>6.4590862382725892E-2</v>
      </c>
      <c r="I15" s="80">
        <f>Table2[[#This Row],[Unbalanced with Floors]]-J15</f>
        <v>140036.3505989784</v>
      </c>
      <c r="J15" s="80">
        <f>(Table2[[#This Row],[Population 2020]]/$F$44)*($F$9-$D$9)</f>
        <v>142.18533129725483</v>
      </c>
      <c r="K15" s="89">
        <f>Table2[[#This Row],[Adjusted %]]*$K$9</f>
        <v>140036.3505989784</v>
      </c>
    </row>
    <row r="16" spans="1:19" x14ac:dyDescent="0.3">
      <c r="A16" s="1" t="s">
        <v>307</v>
      </c>
      <c r="B16" s="88">
        <v>625289</v>
      </c>
      <c r="C16" s="1">
        <f>Table2[[#This Row],[Population 2020]]/$B$10</f>
        <v>6.2531457536613252E-2</v>
      </c>
      <c r="D16" s="90">
        <f>Table2[[#This Row],[No Floor % ]]*$D$9</f>
        <v>135571.45373250471</v>
      </c>
      <c r="E16" s="80">
        <v>14510.488148843209</v>
      </c>
      <c r="F16" s="80">
        <f>IF(Table2[[#This Row],[Payment w/ no floors]]&lt;Table2[[#This Row],[Minimum Payment]],Table2[[#This Row],[Minimum Payment]],Table2[[#This Row],[Payment w/ no floors]])</f>
        <v>135571.45373250471</v>
      </c>
      <c r="G16" s="1">
        <f>Table2[[#This Row],[Unbalanced with Floors]]/$D$9</f>
        <v>6.2531457536613252E-2</v>
      </c>
      <c r="H16" s="1">
        <f>Table2[[#This Row],[Final Payment w/ Floors]]/$D$9</f>
        <v>6.2468030878977406E-2</v>
      </c>
      <c r="I16" s="80">
        <f>Table2[[#This Row],[Unbalanced with Floors]]-J16</f>
        <v>135433.9414383758</v>
      </c>
      <c r="J16" s="80">
        <f>(Table2[[#This Row],[Population 2020]]/$F$44)*($F$9-$D$9)</f>
        <v>137.51229412892849</v>
      </c>
      <c r="K16" s="89">
        <f>Table2[[#This Row],[Adjusted %]]*$K$9</f>
        <v>135433.9414383758</v>
      </c>
    </row>
    <row r="17" spans="1:11" x14ac:dyDescent="0.3">
      <c r="A17" s="1" t="s">
        <v>140</v>
      </c>
      <c r="B17" s="88">
        <v>576830</v>
      </c>
      <c r="C17" s="1">
        <f>Table2[[#This Row],[Population 2020]]/$B$10</f>
        <v>5.7685359331196645E-2</v>
      </c>
      <c r="D17" s="90">
        <f>Table2[[#This Row],[No Floor % ]]*$D$9</f>
        <v>125064.86065886445</v>
      </c>
      <c r="E17" s="80">
        <v>14510.488148843209</v>
      </c>
      <c r="F17" s="80">
        <f>IF(Table2[[#This Row],[Payment w/ no floors]]&lt;Table2[[#This Row],[Minimum Payment]],Table2[[#This Row],[Minimum Payment]],Table2[[#This Row],[Payment w/ no floors]])</f>
        <v>125064.86065886445</v>
      </c>
      <c r="G17" s="1">
        <f>Table2[[#This Row],[Unbalanced with Floors]]/$D$9</f>
        <v>5.7685359331196645E-2</v>
      </c>
      <c r="H17" s="1">
        <f>Table2[[#This Row],[Final Payment w/ Floors]]/$D$9</f>
        <v>5.7626848148488993E-2</v>
      </c>
      <c r="I17" s="80">
        <f>Table2[[#This Row],[Unbalanced with Floors]]-J17</f>
        <v>124938.00537015412</v>
      </c>
      <c r="J17" s="80">
        <f>(Table2[[#This Row],[Population 2020]]/$F$44)*($F$9-$D$9)</f>
        <v>126.85528871032406</v>
      </c>
      <c r="K17" s="89">
        <f>Table2[[#This Row],[Adjusted %]]*$K$9</f>
        <v>124938.00537015412</v>
      </c>
    </row>
    <row r="18" spans="1:11" x14ac:dyDescent="0.3">
      <c r="A18" s="1" t="s">
        <v>132</v>
      </c>
      <c r="B18" s="88">
        <v>534413</v>
      </c>
      <c r="C18" s="1">
        <f>Table2[[#This Row],[Population 2020]]/$B$10</f>
        <v>5.3443485838570795E-2</v>
      </c>
      <c r="D18" s="90">
        <f>Table2[[#This Row],[No Floor % ]]*$D$9</f>
        <v>115868.25820308535</v>
      </c>
      <c r="E18" s="80">
        <v>14510.488148843209</v>
      </c>
      <c r="F18" s="80">
        <f>IF(Table2[[#This Row],[Payment w/ no floors]]&lt;Table2[[#This Row],[Minimum Payment]],Table2[[#This Row],[Minimum Payment]],Table2[[#This Row],[Payment w/ no floors]])</f>
        <v>115868.25820308535</v>
      </c>
      <c r="G18" s="1">
        <f>Table2[[#This Row],[Unbalanced with Floors]]/$D$9</f>
        <v>5.3443485838570795E-2</v>
      </c>
      <c r="H18" s="1">
        <f>Table2[[#This Row],[Final Payment w/ Floors]]/$D$9</f>
        <v>5.3389277255999949E-2</v>
      </c>
      <c r="I18" s="80">
        <f>Table2[[#This Row],[Unbalanced with Floors]]-J18</f>
        <v>115750.73117535526</v>
      </c>
      <c r="J18" s="80">
        <f>(Table2[[#This Row],[Population 2020]]/$F$44)*($F$9-$D$9)</f>
        <v>117.5270277300945</v>
      </c>
      <c r="K18" s="89">
        <f>Table2[[#This Row],[Adjusted %]]*$K$9</f>
        <v>115750.73117535526</v>
      </c>
    </row>
    <row r="19" spans="1:11" x14ac:dyDescent="0.3">
      <c r="A19" s="1" t="s">
        <v>207</v>
      </c>
      <c r="B19" s="88">
        <v>456438</v>
      </c>
      <c r="C19" s="1">
        <f>Table2[[#This Row],[Population 2020]]/$B$10</f>
        <v>4.5645666907776529E-2</v>
      </c>
      <c r="D19" s="90">
        <f>Table2[[#This Row],[No Floor % ]]*$D$9</f>
        <v>98962.181005514227</v>
      </c>
      <c r="E19" s="80">
        <v>14510.488148843209</v>
      </c>
      <c r="F19" s="80">
        <f>IF(Table2[[#This Row],[Payment w/ no floors]]&lt;Table2[[#This Row],[Minimum Payment]],Table2[[#This Row],[Minimum Payment]],Table2[[#This Row],[Payment w/ no floors]])</f>
        <v>98962.181005514227</v>
      </c>
      <c r="G19" s="1">
        <f>Table2[[#This Row],[Unbalanced with Floors]]/$D$9</f>
        <v>4.5645666907776529E-2</v>
      </c>
      <c r="H19" s="1">
        <f>Table2[[#This Row],[Final Payment w/ Floors]]/$D$9</f>
        <v>4.5599367777681497E-2</v>
      </c>
      <c r="I19" s="80">
        <f>Table2[[#This Row],[Unbalanced with Floors]]-J19</f>
        <v>98861.802082316121</v>
      </c>
      <c r="J19" s="80">
        <f>(Table2[[#This Row],[Population 2020]]/$F$44)*($F$9-$D$9)</f>
        <v>100.37892319810499</v>
      </c>
      <c r="K19" s="89">
        <f>Table2[[#This Row],[Adjusted %]]*$K$9</f>
        <v>98861.802082316121</v>
      </c>
    </row>
    <row r="20" spans="1:11" x14ac:dyDescent="0.3">
      <c r="A20" s="1" t="s">
        <v>169</v>
      </c>
      <c r="B20" s="88">
        <v>374557</v>
      </c>
      <c r="C20" s="1">
        <f>Table2[[#This Row],[Population 2020]]/$B$10</f>
        <v>3.7457232000788834E-2</v>
      </c>
      <c r="D20" s="90">
        <f>Table2[[#This Row],[No Floor % ]]*$D$9</f>
        <v>81209.228046048738</v>
      </c>
      <c r="E20" s="80">
        <v>14510.488148843209</v>
      </c>
      <c r="F20" s="80">
        <f>IF(Table2[[#This Row],[Payment w/ no floors]]&lt;Table2[[#This Row],[Minimum Payment]],Table2[[#This Row],[Minimum Payment]],Table2[[#This Row],[Payment w/ no floors]])</f>
        <v>81209.228046048738</v>
      </c>
      <c r="G20" s="1">
        <f>Table2[[#This Row],[Unbalanced with Floors]]/$D$9</f>
        <v>3.7457232000788834E-2</v>
      </c>
      <c r="H20" s="1">
        <f>Table2[[#This Row],[Final Payment w/ Floors]]/$D$9</f>
        <v>3.7419238531202596E-2</v>
      </c>
      <c r="I20" s="80">
        <f>Table2[[#This Row],[Unbalanced with Floors]]-J20</f>
        <v>81126.856227014578</v>
      </c>
      <c r="J20" s="80">
        <f>(Table2[[#This Row],[Population 2020]]/$F$44)*($F$9-$D$9)</f>
        <v>82.371819034157127</v>
      </c>
      <c r="K20" s="89">
        <f>Table2[[#This Row],[Adjusted %]]*$K$9</f>
        <v>81126.856227014578</v>
      </c>
    </row>
    <row r="21" spans="1:11" x14ac:dyDescent="0.3">
      <c r="A21" s="1" t="s">
        <v>201</v>
      </c>
      <c r="B21" s="88">
        <v>354663</v>
      </c>
      <c r="C21" s="1">
        <f>Table2[[#This Row],[Population 2020]]/$B$10</f>
        <v>3.5467750631000806E-2</v>
      </c>
      <c r="D21" s="90">
        <f>Table2[[#This Row],[No Floor % ]]*$D$9</f>
        <v>76895.928914679957</v>
      </c>
      <c r="E21" s="80">
        <v>14510.488148843209</v>
      </c>
      <c r="F21" s="80">
        <f>IF(Table2[[#This Row],[Payment w/ no floors]]&lt;Table2[[#This Row],[Minimum Payment]],Table2[[#This Row],[Minimum Payment]],Table2[[#This Row],[Payment w/ no floors]])</f>
        <v>76895.928914679957</v>
      </c>
      <c r="G21" s="1">
        <f>Table2[[#This Row],[Unbalanced with Floors]]/$D$9</f>
        <v>3.5467750631000806E-2</v>
      </c>
      <c r="H21" s="1">
        <f>Table2[[#This Row],[Final Payment w/ Floors]]/$D$9</f>
        <v>3.5431775124191787E-2</v>
      </c>
      <c r="I21" s="80">
        <f>Table2[[#This Row],[Unbalanced with Floors]]-J21</f>
        <v>76817.9321439505</v>
      </c>
      <c r="J21" s="80">
        <f>(Table2[[#This Row],[Population 2020]]/$F$44)*($F$9-$D$9)</f>
        <v>77.996770729451768</v>
      </c>
      <c r="K21" s="89">
        <f>Table2[[#This Row],[Adjusted %]]*$K$9</f>
        <v>76817.9321439505</v>
      </c>
    </row>
    <row r="22" spans="1:11" x14ac:dyDescent="0.3">
      <c r="A22" s="1" t="s">
        <v>306</v>
      </c>
      <c r="B22" s="88">
        <v>314135</v>
      </c>
      <c r="C22" s="1">
        <f>Table2[[#This Row],[Population 2020]]/$B$10</f>
        <v>3.1414784864700965E-2</v>
      </c>
      <c r="D22" s="90">
        <f>Table2[[#This Row],[No Floor % ]]*$D$9</f>
        <v>68108.888239294742</v>
      </c>
      <c r="E22" s="80">
        <v>14510.488148843209</v>
      </c>
      <c r="F22" s="80">
        <f>IF(Table2[[#This Row],[Payment w/ no floors]]&lt;Table2[[#This Row],[Minimum Payment]],Table2[[#This Row],[Minimum Payment]],Table2[[#This Row],[Payment w/ no floors]])</f>
        <v>68108.888239294742</v>
      </c>
      <c r="G22" s="1">
        <f>Table2[[#This Row],[Unbalanced with Floors]]/$D$9</f>
        <v>3.1414784864700965E-2</v>
      </c>
      <c r="H22" s="1">
        <f>Table2[[#This Row],[Final Payment w/ Floors]]/$D$9</f>
        <v>3.1382920345900164E-2</v>
      </c>
      <c r="I22" s="80">
        <f>Table2[[#This Row],[Unbalanced with Floors]]-J22</f>
        <v>68039.804304480291</v>
      </c>
      <c r="J22" s="80">
        <f>(Table2[[#This Row],[Population 2020]]/$F$44)*($F$9-$D$9)</f>
        <v>69.083934814447332</v>
      </c>
      <c r="K22" s="89">
        <f>Table2[[#This Row],[Adjusted %]]*$K$9</f>
        <v>68039.804304480291</v>
      </c>
    </row>
    <row r="23" spans="1:11" x14ac:dyDescent="0.3">
      <c r="A23" s="1" t="s">
        <v>184</v>
      </c>
      <c r="B23" s="88">
        <v>312951</v>
      </c>
      <c r="C23" s="1">
        <f>Table2[[#This Row],[Population 2020]]/$B$10</f>
        <v>3.1296380021942898E-2</v>
      </c>
      <c r="D23" s="90">
        <f>Table2[[#This Row],[No Floor % ]]*$D$9</f>
        <v>67852.180379058453</v>
      </c>
      <c r="E23" s="80">
        <v>14510.488148843209</v>
      </c>
      <c r="F23" s="80">
        <f>IF(Table2[[#This Row],[Payment w/ no floors]]&lt;Table2[[#This Row],[Minimum Payment]],Table2[[#This Row],[Minimum Payment]],Table2[[#This Row],[Payment w/ no floors]])</f>
        <v>67852.180379058453</v>
      </c>
      <c r="G23" s="1">
        <f>Table2[[#This Row],[Unbalanced with Floors]]/$D$9</f>
        <v>3.1296380021942898E-2</v>
      </c>
      <c r="H23" s="1">
        <f>Table2[[#This Row],[Final Payment w/ Floors]]/$D$9</f>
        <v>3.1264635603068115E-2</v>
      </c>
      <c r="I23" s="80">
        <f>Table2[[#This Row],[Unbalanced with Floors]]-J23</f>
        <v>67783.356827132957</v>
      </c>
      <c r="J23" s="80">
        <f>(Table2[[#This Row],[Population 2020]]/$F$44)*($F$9-$D$9)</f>
        <v>68.823551925497341</v>
      </c>
      <c r="K23" s="89">
        <f>Table2[[#This Row],[Adjusted %]]*$K$9</f>
        <v>67783.356827132957</v>
      </c>
    </row>
    <row r="24" spans="1:11" x14ac:dyDescent="0.3">
      <c r="A24" s="1" t="s">
        <v>305</v>
      </c>
      <c r="B24" s="88">
        <v>288415</v>
      </c>
      <c r="C24" s="1">
        <f>Table2[[#This Row],[Population 2020]]/$B$10</f>
        <v>2.8842679665598323E-2</v>
      </c>
      <c r="D24" s="90">
        <f>Table2[[#This Row],[No Floor % ]]*$D$9</f>
        <v>62532.430329432224</v>
      </c>
      <c r="E24" s="80">
        <v>14510.488148843209</v>
      </c>
      <c r="F24" s="80">
        <f>IF(Table2[[#This Row],[Payment w/ no floors]]&lt;Table2[[#This Row],[Minimum Payment]],Table2[[#This Row],[Minimum Payment]],Table2[[#This Row],[Payment w/ no floors]])</f>
        <v>62532.430329432224</v>
      </c>
      <c r="G24" s="1">
        <f>Table2[[#This Row],[Unbalanced with Floors]]/$D$9</f>
        <v>2.8842679665598323E-2</v>
      </c>
      <c r="H24" s="1">
        <f>Table2[[#This Row],[Final Payment w/ Floors]]/$D$9</f>
        <v>2.8813424074244497E-2</v>
      </c>
      <c r="I24" s="80">
        <f>Table2[[#This Row],[Unbalanced with Floors]]-J24</f>
        <v>62469.002685077059</v>
      </c>
      <c r="J24" s="80">
        <f>(Table2[[#This Row],[Population 2020]]/$F$44)*($F$9-$D$9)</f>
        <v>63.42764435516203</v>
      </c>
      <c r="K24" s="89">
        <f>Table2[[#This Row],[Adjusted %]]*$K$9</f>
        <v>62469.002685077059</v>
      </c>
    </row>
    <row r="25" spans="1:11" x14ac:dyDescent="0.3">
      <c r="A25" s="1" t="s">
        <v>139</v>
      </c>
      <c r="B25" s="88">
        <v>286401</v>
      </c>
      <c r="C25" s="1">
        <f>Table2[[#This Row],[Population 2020]]/$B$10</f>
        <v>2.8641271428001405E-2</v>
      </c>
      <c r="D25" s="90">
        <f>Table2[[#This Row],[No Floor % ]]*$D$9</f>
        <v>62095.766790145164</v>
      </c>
      <c r="E25" s="80">
        <v>14510.488148843209</v>
      </c>
      <c r="F25" s="80">
        <f>IF(Table2[[#This Row],[Payment w/ no floors]]&lt;Table2[[#This Row],[Minimum Payment]],Table2[[#This Row],[Minimum Payment]],Table2[[#This Row],[Payment w/ no floors]])</f>
        <v>62095.766790145164</v>
      </c>
      <c r="G25" s="1">
        <f>Table2[[#This Row],[Unbalanced with Floors]]/$D$9</f>
        <v>2.8641271428001405E-2</v>
      </c>
      <c r="H25" s="1">
        <f>Table2[[#This Row],[Final Payment w/ Floors]]/$D$9</f>
        <v>2.8612220128244711E-2</v>
      </c>
      <c r="I25" s="80">
        <f>Table2[[#This Row],[Unbalanced with Floors]]-J25</f>
        <v>62032.782060602796</v>
      </c>
      <c r="J25" s="80">
        <f>(Table2[[#This Row],[Population 2020]]/$F$44)*($F$9-$D$9)</f>
        <v>62.98472954237041</v>
      </c>
      <c r="K25" s="89">
        <f>Table2[[#This Row],[Adjusted %]]*$K$9</f>
        <v>62032.782060602796</v>
      </c>
    </row>
    <row r="26" spans="1:11" x14ac:dyDescent="0.3">
      <c r="A26" s="1" t="s">
        <v>155</v>
      </c>
      <c r="B26" s="88">
        <v>270876</v>
      </c>
      <c r="C26" s="1">
        <f>Table2[[#This Row],[Population 2020]]/$B$10</f>
        <v>2.7088707928154262E-2</v>
      </c>
      <c r="D26" s="90">
        <f>Table2[[#This Row],[No Floor % ]]*$D$9</f>
        <v>58729.728335611129</v>
      </c>
      <c r="E26" s="80">
        <v>14510.488148843209</v>
      </c>
      <c r="F26" s="80">
        <f>IF(Table2[[#This Row],[Payment w/ no floors]]&lt;Table2[[#This Row],[Minimum Payment]],Table2[[#This Row],[Minimum Payment]],Table2[[#This Row],[Payment w/ no floors]])</f>
        <v>58729.728335611129</v>
      </c>
      <c r="G26" s="1">
        <f>Table2[[#This Row],[Unbalanced with Floors]]/$D$9</f>
        <v>2.7088707928154262E-2</v>
      </c>
      <c r="H26" s="1">
        <f>Table2[[#This Row],[Final Payment w/ Floors]]/$D$9</f>
        <v>2.7061231418390348E-2</v>
      </c>
      <c r="I26" s="80">
        <f>Table2[[#This Row],[Unbalanced with Floors]]-J26</f>
        <v>58670.157832716519</v>
      </c>
      <c r="J26" s="80">
        <f>(Table2[[#This Row],[Population 2020]]/$F$44)*($F$9-$D$9)</f>
        <v>59.570502894609746</v>
      </c>
      <c r="K26" s="89">
        <f>Table2[[#This Row],[Adjusted %]]*$K$9</f>
        <v>58670.157832716519</v>
      </c>
    </row>
    <row r="27" spans="1:11" x14ac:dyDescent="0.3">
      <c r="A27" s="1" t="s">
        <v>304</v>
      </c>
      <c r="B27" s="88">
        <v>214424.5</v>
      </c>
      <c r="C27" s="1">
        <f>Table2[[#This Row],[Population 2020]]/$B$10</f>
        <v>2.1443327032075611E-2</v>
      </c>
      <c r="D27" s="90">
        <f>Table2[[#This Row],[No Floor % ]]*$D$9</f>
        <v>46490.248798340377</v>
      </c>
      <c r="E27" s="80">
        <v>14510.488148843209</v>
      </c>
      <c r="F27" s="80">
        <f>IF(Table2[[#This Row],[Payment w/ no floors]]&lt;Table2[[#This Row],[Minimum Payment]],Table2[[#This Row],[Minimum Payment]],Table2[[#This Row],[Payment w/ no floors]])</f>
        <v>46490.248798340377</v>
      </c>
      <c r="G27" s="1">
        <f>Table2[[#This Row],[Unbalanced with Floors]]/$D$9</f>
        <v>2.1443327032075611E-2</v>
      </c>
      <c r="H27" s="1">
        <f>Table2[[#This Row],[Final Payment w/ Floors]]/$D$9</f>
        <v>2.1421576722458396E-2</v>
      </c>
      <c r="I27" s="80">
        <f>Table2[[#This Row],[Unbalanced with Floors]]-J27</f>
        <v>46443.092995323772</v>
      </c>
      <c r="J27" s="80">
        <f>(Table2[[#This Row],[Population 2020]]/$F$44)*($F$9-$D$9)</f>
        <v>47.155803016602611</v>
      </c>
      <c r="K27" s="89">
        <f>Table2[[#This Row],[Adjusted %]]*$K$9</f>
        <v>46443.092995323772</v>
      </c>
    </row>
    <row r="28" spans="1:11" x14ac:dyDescent="0.3">
      <c r="A28" s="1" t="s">
        <v>303</v>
      </c>
      <c r="B28" s="88">
        <v>187278.5</v>
      </c>
      <c r="C28" s="1">
        <f>Table2[[#This Row],[Population 2020]]/$B$10</f>
        <v>1.8728616000394417E-2</v>
      </c>
      <c r="D28" s="90">
        <f>Table2[[#This Row],[No Floor % ]]*$D$9</f>
        <v>40604.614023024369</v>
      </c>
      <c r="E28" s="80">
        <v>14510.488148843209</v>
      </c>
      <c r="F28" s="80">
        <f>IF(Table2[[#This Row],[Payment w/ no floors]]&lt;Table2[[#This Row],[Minimum Payment]],Table2[[#This Row],[Minimum Payment]],Table2[[#This Row],[Payment w/ no floors]])</f>
        <v>40604.614023024369</v>
      </c>
      <c r="G28" s="1">
        <f>Table2[[#This Row],[Unbalanced with Floors]]/$D$9</f>
        <v>1.8728616000394417E-2</v>
      </c>
      <c r="H28" s="1">
        <f>Table2[[#This Row],[Final Payment w/ Floors]]/$D$9</f>
        <v>1.8709619265601298E-2</v>
      </c>
      <c r="I28" s="80">
        <f>Table2[[#This Row],[Unbalanced with Floors]]-J28</f>
        <v>40563.428113507289</v>
      </c>
      <c r="J28" s="80">
        <f>(Table2[[#This Row],[Population 2020]]/$F$44)*($F$9-$D$9)</f>
        <v>41.185909517078564</v>
      </c>
      <c r="K28" s="89">
        <f>Table2[[#This Row],[Adjusted %]]*$K$9</f>
        <v>40563.428113507289</v>
      </c>
    </row>
    <row r="29" spans="1:11" x14ac:dyDescent="0.3">
      <c r="A29" s="1" t="s">
        <v>302</v>
      </c>
      <c r="B29" s="88">
        <v>177331.5</v>
      </c>
      <c r="C29" s="1">
        <f>Table2[[#This Row],[Population 2020]]/$B$10</f>
        <v>1.7733875315500403E-2</v>
      </c>
      <c r="D29" s="90">
        <f>Table2[[#This Row],[No Floor % ]]*$D$9</f>
        <v>38447.964457339978</v>
      </c>
      <c r="E29" s="80">
        <v>14510.488148843209</v>
      </c>
      <c r="F29" s="80">
        <f>IF(Table2[[#This Row],[Payment w/ no floors]]&lt;Table2[[#This Row],[Minimum Payment]],Table2[[#This Row],[Minimum Payment]],Table2[[#This Row],[Payment w/ no floors]])</f>
        <v>38447.964457339978</v>
      </c>
      <c r="G29" s="1">
        <f>Table2[[#This Row],[Unbalanced with Floors]]/$D$9</f>
        <v>1.7733875315500403E-2</v>
      </c>
      <c r="H29" s="1">
        <f>Table2[[#This Row],[Final Payment w/ Floors]]/$D$9</f>
        <v>1.7715887562095894E-2</v>
      </c>
      <c r="I29" s="80">
        <f>Table2[[#This Row],[Unbalanced with Floors]]-J29</f>
        <v>38408.96607197525</v>
      </c>
      <c r="J29" s="80">
        <f>(Table2[[#This Row],[Population 2020]]/$F$44)*($F$9-$D$9)</f>
        <v>38.998385364725884</v>
      </c>
      <c r="K29" s="89">
        <f>Table2[[#This Row],[Adjusted %]]*$K$9</f>
        <v>38408.96607197525</v>
      </c>
    </row>
    <row r="30" spans="1:11" x14ac:dyDescent="0.3">
      <c r="A30" s="1" t="s">
        <v>124</v>
      </c>
      <c r="B30" s="88">
        <v>168215</v>
      </c>
      <c r="C30" s="1">
        <f>Table2[[#This Row],[Population 2020]]/$B$10</f>
        <v>1.6822188027490324E-2</v>
      </c>
      <c r="D30" s="90">
        <f>Table2[[#This Row],[No Floor % ]]*$D$9</f>
        <v>36471.378977741944</v>
      </c>
      <c r="E30" s="80">
        <v>14510.488148843209</v>
      </c>
      <c r="F30" s="80">
        <f>IF(Table2[[#This Row],[Payment w/ no floors]]&lt;Table2[[#This Row],[Minimum Payment]],Table2[[#This Row],[Minimum Payment]],Table2[[#This Row],[Payment w/ no floors]])</f>
        <v>36471.378977741944</v>
      </c>
      <c r="G30" s="1">
        <f>Table2[[#This Row],[Unbalanced with Floors]]/$D$9</f>
        <v>1.6822188027490324E-2</v>
      </c>
      <c r="H30" s="1">
        <f>Table2[[#This Row],[Final Payment w/ Floors]]/$D$9</f>
        <v>1.6805125013085447E-2</v>
      </c>
      <c r="I30" s="80">
        <f>Table2[[#This Row],[Unbalanced with Floors]]-J30</f>
        <v>36434.38547464674</v>
      </c>
      <c r="J30" s="80">
        <f>(Table2[[#This Row],[Population 2020]]/$F$44)*($F$9-$D$9)</f>
        <v>36.993503095205106</v>
      </c>
      <c r="K30" s="89">
        <f>Table2[[#This Row],[Adjusted %]]*$K$9</f>
        <v>36434.38547464674</v>
      </c>
    </row>
    <row r="31" spans="1:11" x14ac:dyDescent="0.3">
      <c r="A31" s="1" t="s">
        <v>176</v>
      </c>
      <c r="B31" s="88">
        <v>110652</v>
      </c>
      <c r="C31" s="1">
        <f>Table2[[#This Row],[Population 2020]]/$B$10</f>
        <v>1.1065652585190735E-2</v>
      </c>
      <c r="D31" s="90">
        <f>Table2[[#This Row],[No Floor % ]]*$D$9</f>
        <v>23990.910600392959</v>
      </c>
      <c r="E31" s="80">
        <v>14510.488148843209</v>
      </c>
      <c r="F31" s="80">
        <f>IF(Table2[[#This Row],[Payment w/ no floors]]&lt;Table2[[#This Row],[Minimum Payment]],Table2[[#This Row],[Minimum Payment]],Table2[[#This Row],[Payment w/ no floors]])</f>
        <v>23990.910600392959</v>
      </c>
      <c r="G31" s="1">
        <f>Table2[[#This Row],[Unbalanced with Floors]]/$D$9</f>
        <v>1.1065652585190735E-2</v>
      </c>
      <c r="H31" s="1">
        <f>Table2[[#This Row],[Final Payment w/ Floors]]/$D$9</f>
        <v>1.105442851676682E-2</v>
      </c>
      <c r="I31" s="80">
        <f>Table2[[#This Row],[Unbalanced with Floors]]-J31</f>
        <v>23966.576236011122</v>
      </c>
      <c r="J31" s="80">
        <f>(Table2[[#This Row],[Population 2020]]/$F$44)*($F$9-$D$9)</f>
        <v>24.334364381836551</v>
      </c>
      <c r="K31" s="89">
        <f>Table2[[#This Row],[Adjusted %]]*$K$9</f>
        <v>23966.576236011122</v>
      </c>
    </row>
    <row r="32" spans="1:11" x14ac:dyDescent="0.3">
      <c r="A32" s="1" t="s">
        <v>134</v>
      </c>
      <c r="B32" s="88">
        <v>80562</v>
      </c>
      <c r="C32" s="1">
        <f>Table2[[#This Row],[Population 2020]]/$B$10</f>
        <v>8.0565295120570424E-3</v>
      </c>
      <c r="D32" s="90">
        <f>Table2[[#This Row],[No Floor % ]]*$D$9</f>
        <v>17466.975199624565</v>
      </c>
      <c r="E32" s="80">
        <v>7255.2440744216046</v>
      </c>
      <c r="F32" s="80">
        <f>IF(Table2[[#This Row],[Payment w/ no floors]]&lt;Table2[[#This Row],[Minimum Payment]],Table2[[#This Row],[Minimum Payment]],Table2[[#This Row],[Payment w/ no floors]])</f>
        <v>17466.975199624565</v>
      </c>
      <c r="G32" s="1">
        <f>Table2[[#This Row],[Unbalanced with Floors]]/$D$9</f>
        <v>8.0565295120570424E-3</v>
      </c>
      <c r="H32" s="1">
        <f>Table2[[#This Row],[Final Payment w/ Floors]]/$D$9</f>
        <v>8.0483576453002966E-3</v>
      </c>
      <c r="I32" s="80">
        <f>Table2[[#This Row],[Unbalanced with Floors]]-J32</f>
        <v>17449.258167276937</v>
      </c>
      <c r="J32" s="80">
        <f>(Table2[[#This Row],[Population 2020]]/$F$44)*($F$9-$D$9)</f>
        <v>17.717032347626038</v>
      </c>
      <c r="K32" s="89">
        <f>Table2[[#This Row],[Adjusted %]]*$K$9</f>
        <v>17449.258167276937</v>
      </c>
    </row>
    <row r="33" spans="1:11" x14ac:dyDescent="0.3">
      <c r="A33" s="1" t="s">
        <v>131</v>
      </c>
      <c r="B33" s="88">
        <v>64749</v>
      </c>
      <c r="C33" s="1">
        <f>Table2[[#This Row],[Population 2020]]/$B$10</f>
        <v>6.4751648342417202E-3</v>
      </c>
      <c r="D33" s="90">
        <f>Table2[[#This Row],[No Floor % ]]*$D$9</f>
        <v>14038.494292600617</v>
      </c>
      <c r="E33" s="80">
        <v>7255.2440744216046</v>
      </c>
      <c r="F33" s="80">
        <f>IF(Table2[[#This Row],[Payment w/ no floors]]&lt;Table2[[#This Row],[Minimum Payment]],Table2[[#This Row],[Minimum Payment]],Table2[[#This Row],[Payment w/ no floors]])</f>
        <v>14038.494292600617</v>
      </c>
      <c r="G33" s="1">
        <f>Table2[[#This Row],[Unbalanced with Floors]]/$D$9</f>
        <v>6.4751648342417202E-3</v>
      </c>
      <c r="H33" s="1">
        <f>Table2[[#This Row],[Final Payment w/ Floors]]/$D$9</f>
        <v>6.4685969709732741E-3</v>
      </c>
      <c r="I33" s="80">
        <f>Table2[[#This Row],[Unbalanced with Floors]]-J33</f>
        <v>14024.254823279145</v>
      </c>
      <c r="J33" s="80">
        <f>(Table2[[#This Row],[Population 2020]]/$F$44)*($F$9-$D$9)</f>
        <v>14.239469321472138</v>
      </c>
      <c r="K33" s="89">
        <f>Table2[[#This Row],[Adjusted %]]*$K$9</f>
        <v>14024.254823279145</v>
      </c>
    </row>
    <row r="34" spans="1:11" x14ac:dyDescent="0.3">
      <c r="A34" s="1" t="s">
        <v>301</v>
      </c>
      <c r="B34" s="88">
        <v>62207</v>
      </c>
      <c r="C34" s="1">
        <f>Table2[[#This Row],[Population 2020]]/$B$10</f>
        <v>6.2209544370364746E-3</v>
      </c>
      <c r="D34" s="90">
        <f>Table2[[#This Row],[No Floor % ]]*$D$9</f>
        <v>13487.352923748731</v>
      </c>
      <c r="E34" s="80">
        <v>7255.2440744216046</v>
      </c>
      <c r="F34" s="80">
        <f>IF(Table2[[#This Row],[Payment w/ no floors]]&lt;Table2[[#This Row],[Minimum Payment]],Table2[[#This Row],[Minimum Payment]],Table2[[#This Row],[Payment w/ no floors]])</f>
        <v>13487.352923748731</v>
      </c>
      <c r="G34" s="1">
        <f>Table2[[#This Row],[Unbalanced with Floors]]/$D$9</f>
        <v>6.2209544370364746E-3</v>
      </c>
      <c r="H34" s="1">
        <f>Table2[[#This Row],[Final Payment w/ Floors]]/$D$9</f>
        <v>6.2146444234402768E-3</v>
      </c>
      <c r="I34" s="80">
        <f>Table2[[#This Row],[Unbalanced with Floors]]-J34</f>
        <v>13473.672485933772</v>
      </c>
      <c r="J34" s="80">
        <f>(Table2[[#This Row],[Population 2020]]/$F$44)*($F$9-$D$9)</f>
        <v>13.68043781495957</v>
      </c>
      <c r="K34" s="89">
        <f>Table2[[#This Row],[Adjusted %]]*$K$9</f>
        <v>13473.672485933772</v>
      </c>
    </row>
    <row r="35" spans="1:11" x14ac:dyDescent="0.3">
      <c r="A35" s="1" t="s">
        <v>193</v>
      </c>
      <c r="B35" s="88">
        <v>41045</v>
      </c>
      <c r="C35" s="1">
        <f>Table2[[#This Row],[Population 2020]]/$B$10</f>
        <v>4.1046678809163297E-3</v>
      </c>
      <c r="D35" s="90">
        <f>Table2[[#This Row],[No Floor % ]]*$D$9</f>
        <v>8899.133550167453</v>
      </c>
      <c r="E35" s="80">
        <v>3627.6220372108023</v>
      </c>
      <c r="F35" s="80">
        <f>IF(Table2[[#This Row],[Payment w/ no floors]]&lt;Table2[[#This Row],[Minimum Payment]],Table2[[#This Row],[Minimum Payment]],Table2[[#This Row],[Payment w/ no floors]])</f>
        <v>8899.133550167453</v>
      </c>
      <c r="G35" s="1">
        <f>Table2[[#This Row],[Unbalanced with Floors]]/$D$9</f>
        <v>4.1046678809163297E-3</v>
      </c>
      <c r="H35" s="1">
        <f>Table2[[#This Row],[Final Payment w/ Floors]]/$D$9</f>
        <v>4.1005044506262347E-3</v>
      </c>
      <c r="I35" s="80">
        <f>Table2[[#This Row],[Unbalanced with Floors]]-J35</f>
        <v>8890.1070166565132</v>
      </c>
      <c r="J35" s="80">
        <f>(Table2[[#This Row],[Population 2020]]/$F$44)*($F$9-$D$9)</f>
        <v>9.0265335109395348</v>
      </c>
      <c r="K35" s="89">
        <f>Table2[[#This Row],[Adjusted %]]*$K$9</f>
        <v>8890.1070166565132</v>
      </c>
    </row>
    <row r="36" spans="1:11" x14ac:dyDescent="0.3">
      <c r="A36" s="1" t="s">
        <v>300</v>
      </c>
      <c r="B36" s="88">
        <v>40281</v>
      </c>
      <c r="C36" s="1">
        <f>Table2[[#This Row],[Population 2020]]/$B$10</f>
        <v>4.0282647560285212E-3</v>
      </c>
      <c r="D36" s="90">
        <f>Table2[[#This Row],[No Floor % ]]*$D$9</f>
        <v>8733.4875998122825</v>
      </c>
      <c r="E36" s="80">
        <v>3627.6220372108023</v>
      </c>
      <c r="F36" s="80">
        <f>IF(Table2[[#This Row],[Payment w/ no floors]]&lt;Table2[[#This Row],[Minimum Payment]],Table2[[#This Row],[Minimum Payment]],Table2[[#This Row],[Payment w/ no floors]])</f>
        <v>8733.4875998122825</v>
      </c>
      <c r="G36" s="1">
        <f>Table2[[#This Row],[Unbalanced with Floors]]/$D$9</f>
        <v>4.0282647560285212E-3</v>
      </c>
      <c r="H36" s="1">
        <f>Table2[[#This Row],[Final Payment w/ Floors]]/$D$9</f>
        <v>4.0241788226501483E-3</v>
      </c>
      <c r="I36" s="80">
        <f>Table2[[#This Row],[Unbalanced with Floors]]-J36</f>
        <v>8724.6290836384687</v>
      </c>
      <c r="J36" s="80">
        <f>(Table2[[#This Row],[Population 2020]]/$F$44)*($F$9-$D$9)</f>
        <v>8.8585161738130189</v>
      </c>
      <c r="K36" s="89">
        <f>Table2[[#This Row],[Adjusted %]]*$K$9</f>
        <v>8724.6290836384687</v>
      </c>
    </row>
    <row r="37" spans="1:11" x14ac:dyDescent="0.3">
      <c r="A37" s="1" t="s">
        <v>135</v>
      </c>
      <c r="B37" s="88">
        <v>37450</v>
      </c>
      <c r="C37" s="1">
        <f>Table2[[#This Row],[Population 2020]]/$B$10</f>
        <v>3.7451531767649297E-3</v>
      </c>
      <c r="D37" s="90">
        <f>Table2[[#This Row],[No Floor % ]]*$D$9</f>
        <v>8119.6869643993441</v>
      </c>
      <c r="E37" s="80">
        <v>3627.6220372108023</v>
      </c>
      <c r="F37" s="80">
        <f>IF(Table2[[#This Row],[Payment w/ no floors]]&lt;Table2[[#This Row],[Minimum Payment]],Table2[[#This Row],[Minimum Payment]],Table2[[#This Row],[Payment w/ no floors]])</f>
        <v>8119.6869643993441</v>
      </c>
      <c r="G37" s="1">
        <f>Table2[[#This Row],[Unbalanced with Floors]]/$D$9</f>
        <v>3.7451531767649297E-3</v>
      </c>
      <c r="H37" s="1">
        <f>Table2[[#This Row],[Final Payment w/ Floors]]/$D$9</f>
        <v>3.7413544079900715E-3</v>
      </c>
      <c r="I37" s="80">
        <f>Table2[[#This Row],[Unbalanced with Floors]]-J37</f>
        <v>8111.4510360284175</v>
      </c>
      <c r="J37" s="80">
        <f>(Table2[[#This Row],[Population 2020]]/$F$44)*($F$9-$D$9)</f>
        <v>8.2359283709266791</v>
      </c>
      <c r="K37" s="89">
        <f>Table2[[#This Row],[Adjusted %]]*$K$9</f>
        <v>8111.4510360284175</v>
      </c>
    </row>
    <row r="38" spans="1:11" x14ac:dyDescent="0.3">
      <c r="A38" s="1" t="s">
        <v>299</v>
      </c>
      <c r="B38" s="88">
        <v>33603</v>
      </c>
      <c r="C38" s="1">
        <f>Table2[[#This Row],[Population 2020]]/$B$10</f>
        <v>3.3604374418913733E-3</v>
      </c>
      <c r="D38" s="90">
        <f>Table2[[#This Row],[No Floor % ]]*$D$9</f>
        <v>7285.6032327025678</v>
      </c>
      <c r="E38" s="80">
        <v>3627.6220372108023</v>
      </c>
      <c r="F38" s="80">
        <f>IF(Table2[[#This Row],[Payment w/ no floors]]&lt;Table2[[#This Row],[Minimum Payment]],Table2[[#This Row],[Minimum Payment]],Table2[[#This Row],[Payment w/ no floors]])</f>
        <v>7285.6032327025678</v>
      </c>
      <c r="G38" s="1">
        <f>Table2[[#This Row],[Unbalanced with Floors]]/$D$9</f>
        <v>3.3604374418913733E-3</v>
      </c>
      <c r="H38" s="1">
        <f>Table2[[#This Row],[Final Payment w/ Floors]]/$D$9</f>
        <v>3.3570288964403301E-3</v>
      </c>
      <c r="I38" s="80">
        <f>Table2[[#This Row],[Unbalanced with Floors]]-J38</f>
        <v>7278.213328802748</v>
      </c>
      <c r="J38" s="80">
        <f>(Table2[[#This Row],[Population 2020]]/$F$44)*($F$9-$D$9)</f>
        <v>7.3899038998197382</v>
      </c>
      <c r="K38" s="89">
        <f>Table2[[#This Row],[Adjusted %]]*$K$9</f>
        <v>7278.213328802748</v>
      </c>
    </row>
    <row r="39" spans="1:11" x14ac:dyDescent="0.3">
      <c r="A39" s="1" t="s">
        <v>298</v>
      </c>
      <c r="B39" s="88">
        <v>33180</v>
      </c>
      <c r="C39" s="1">
        <f>Table2[[#This Row],[Population 2020]]/$B$10</f>
        <v>3.3181357117506105E-3</v>
      </c>
      <c r="D39" s="90">
        <f>Table2[[#This Row],[No Floor % ]]*$D$9</f>
        <v>7193.8908806080171</v>
      </c>
      <c r="E39" s="80">
        <v>3627.6220372108023</v>
      </c>
      <c r="F39" s="80">
        <f>IF(Table2[[#This Row],[Payment w/ no floors]]&lt;Table2[[#This Row],[Minimum Payment]],Table2[[#This Row],[Minimum Payment]],Table2[[#This Row],[Payment w/ no floors]])</f>
        <v>7193.8908806080171</v>
      </c>
      <c r="G39" s="1">
        <f>Table2[[#This Row],[Unbalanced with Floors]]/$D$9</f>
        <v>3.3181357117506105E-3</v>
      </c>
      <c r="H39" s="1">
        <f>Table2[[#This Row],[Final Payment w/ Floors]]/$D$9</f>
        <v>3.3147700736211099E-3</v>
      </c>
      <c r="I39" s="80">
        <f>Table2[[#This Row],[Unbalanced with Floors]]-J39</f>
        <v>7186.5940020139624</v>
      </c>
      <c r="J39" s="80">
        <f>(Table2[[#This Row],[Population 2020]]/$F$44)*($F$9-$D$9)</f>
        <v>7.2968785940546654</v>
      </c>
      <c r="K39" s="89">
        <f>Table2[[#This Row],[Adjusted %]]*$K$9</f>
        <v>7186.5940020139624</v>
      </c>
    </row>
    <row r="40" spans="1:11" x14ac:dyDescent="0.3">
      <c r="A40" s="1" t="s">
        <v>297</v>
      </c>
      <c r="B40" s="88">
        <v>25639</v>
      </c>
      <c r="C40" s="1">
        <f>Table2[[#This Row],[Population 2020]]/$B$10</f>
        <v>2.5640048677990929E-3</v>
      </c>
      <c r="D40" s="90">
        <f>Table2[[#This Row],[No Floor % ]]*$D$9</f>
        <v>5558.8959700997275</v>
      </c>
      <c r="E40" s="80">
        <v>3627.6220372108023</v>
      </c>
      <c r="F40" s="80">
        <f>IF(Table2[[#This Row],[Payment w/ no floors]]&lt;Table2[[#This Row],[Minimum Payment]],Table2[[#This Row],[Minimum Payment]],Table2[[#This Row],[Payment w/ no floors]])</f>
        <v>5558.8959700997275</v>
      </c>
      <c r="G40" s="1">
        <f>Table2[[#This Row],[Unbalanced with Floors]]/$D$9</f>
        <v>2.5640048677990929E-3</v>
      </c>
      <c r="H40" s="1">
        <f>Table2[[#This Row],[Final Payment w/ Floors]]/$D$9</f>
        <v>2.5614041566477288E-3</v>
      </c>
      <c r="I40" s="80">
        <f>Table2[[#This Row],[Unbalanced with Floors]]-J40</f>
        <v>5553.257492996865</v>
      </c>
      <c r="J40" s="80">
        <f>(Table2[[#This Row],[Population 2020]]/$F$44)*($F$9-$D$9)</f>
        <v>5.6384771028621925</v>
      </c>
      <c r="K40" s="89">
        <f>Table2[[#This Row],[Adjusted %]]*$K$9</f>
        <v>5553.257492996865</v>
      </c>
    </row>
    <row r="41" spans="1:11" x14ac:dyDescent="0.3">
      <c r="A41" s="1" t="s">
        <v>296</v>
      </c>
      <c r="B41" s="88">
        <v>21926</v>
      </c>
      <c r="C41" s="1">
        <f>Table2[[#This Row],[Population 2020]]/$B$10</f>
        <v>2.1926896810079534E-3</v>
      </c>
      <c r="D41" s="90">
        <f>Table2[[#This Row],[No Floor % ]]*$D$9</f>
        <v>4753.8653239364494</v>
      </c>
      <c r="E41" s="80">
        <v>3627.6220372108023</v>
      </c>
      <c r="F41" s="80">
        <f>IF(Table2[[#This Row],[Payment w/ no floors]]&lt;Table2[[#This Row],[Minimum Payment]],Table2[[#This Row],[Minimum Payment]],Table2[[#This Row],[Payment w/ no floors]])</f>
        <v>4753.8653239364494</v>
      </c>
      <c r="G41" s="1">
        <f>Table2[[#This Row],[Unbalanced with Floors]]/$D$9</f>
        <v>2.1926896810079534E-3</v>
      </c>
      <c r="H41" s="1">
        <f>Table2[[#This Row],[Final Payment w/ Floors]]/$D$9</f>
        <v>2.1926896810079534E-3</v>
      </c>
      <c r="I41" s="80">
        <f>Table2[[#This Row],[Unbalanced with Floors]]-J41</f>
        <v>4753.8653239364494</v>
      </c>
      <c r="J41" s="80">
        <v>0</v>
      </c>
      <c r="K41" s="89">
        <f>Table2[[#This Row],[Adjusted %]]*$K$9</f>
        <v>4753.8653239364494</v>
      </c>
    </row>
    <row r="42" spans="1:11" x14ac:dyDescent="0.3">
      <c r="A42" s="1" t="s">
        <v>295</v>
      </c>
      <c r="B42" s="88">
        <v>2709</v>
      </c>
      <c r="C42" s="1">
        <f>Table2[[#This Row],[Population 2020]]/$B$10</f>
        <v>2.7091108026318275E-4</v>
      </c>
      <c r="D42" s="90">
        <f>Table2[[#This Row],[No Floor % ]]*$D$9</f>
        <v>587.34931873318612</v>
      </c>
      <c r="E42" s="80">
        <v>1451.0488148843208</v>
      </c>
      <c r="F42" s="80">
        <f>IF(Table2[[#This Row],[Payment w/ no floors]]&lt;Table2[[#This Row],[Minimum Payment]],Table2[[#This Row],[Minimum Payment]],Table2[[#This Row],[Payment w/ no floors]])</f>
        <v>1451.0488148843208</v>
      </c>
      <c r="G42" s="1">
        <f>Table2[[#This Row],[Unbalanced with Floors]]/$D$9</f>
        <v>6.6928689523771702E-4</v>
      </c>
      <c r="H42" s="1">
        <f>Table2[[#This Row],[Final Payment w/ Floors]]/$D$9</f>
        <v>6.6928689523771702E-4</v>
      </c>
      <c r="I42" s="80">
        <f>Table2[[#This Row],[Unbalanced with Floors]]-J42</f>
        <v>1451.0488148843208</v>
      </c>
      <c r="J42" s="80">
        <v>0</v>
      </c>
      <c r="K42" s="89">
        <f>Table2[[#This Row],[Adjusted %]]*$K$9</f>
        <v>1451.0488148843208</v>
      </c>
    </row>
    <row r="43" spans="1:11" x14ac:dyDescent="0.3">
      <c r="A43" s="1" t="s">
        <v>294</v>
      </c>
      <c r="B43" s="88">
        <v>559</v>
      </c>
      <c r="C43" s="1">
        <f>Table2[[#This Row],[Population 2020]]/$B$10</f>
        <v>5.5902286403513903E-5</v>
      </c>
      <c r="D43" s="90">
        <f>Table2[[#This Row],[No Floor % ]]*$D$9</f>
        <v>121.19906577034001</v>
      </c>
      <c r="E43" s="80">
        <v>1451.0488148843208</v>
      </c>
      <c r="F43" s="80">
        <f>IF(Table2[[#This Row],[Payment w/ no floors]]&lt;Table2[[#This Row],[Minimum Payment]],Table2[[#This Row],[Minimum Payment]],Table2[[#This Row],[Payment w/ no floors]])</f>
        <v>1451.0488148843208</v>
      </c>
      <c r="G43" s="1">
        <f>Table2[[#This Row],[Unbalanced with Floors]]/$D$9</f>
        <v>6.6928689523771702E-4</v>
      </c>
      <c r="H43" s="1">
        <f>Table2[[#This Row],[Final Payment w/ Floors]]/$D$9</f>
        <v>6.6928689523771702E-4</v>
      </c>
      <c r="I43" s="80">
        <f>Table2[[#This Row],[Unbalanced with Floors]]-J43</f>
        <v>1451.0488148843208</v>
      </c>
      <c r="J43" s="80">
        <v>0</v>
      </c>
      <c r="K43" s="89">
        <f>Table2[[#This Row],[Adjusted %]]*$K$9</f>
        <v>1451.0488148843208</v>
      </c>
    </row>
    <row r="44" spans="1:11" x14ac:dyDescent="0.3">
      <c r="C44" s="79"/>
      <c r="D44" s="79"/>
      <c r="E44" s="79" t="s">
        <v>319</v>
      </c>
      <c r="F44" s="88">
        <f>SUM(B12:B40)</f>
        <v>9974397</v>
      </c>
      <c r="G44" s="79"/>
      <c r="H44" s="79"/>
      <c r="I44" s="79"/>
      <c r="J44" s="79"/>
      <c r="K44" s="79"/>
    </row>
    <row r="45" spans="1:11" x14ac:dyDescent="0.3">
      <c r="C45" s="79"/>
      <c r="D45" s="79"/>
      <c r="E45" s="79"/>
      <c r="F45" s="79"/>
      <c r="G45" s="79"/>
      <c r="H45" s="79"/>
      <c r="I45" s="79"/>
      <c r="J45" s="79"/>
      <c r="K45" s="79"/>
    </row>
    <row r="46" spans="1:11" x14ac:dyDescent="0.3">
      <c r="C46" s="79"/>
      <c r="D46" s="79"/>
      <c r="E46" s="79"/>
      <c r="F46" s="79"/>
      <c r="G46" s="79"/>
      <c r="H46" s="79"/>
      <c r="I46" s="79"/>
      <c r="J46" s="79"/>
      <c r="K46" s="79"/>
    </row>
    <row r="47" spans="1:11" x14ac:dyDescent="0.3">
      <c r="C47" s="79"/>
      <c r="D47" s="79"/>
      <c r="E47" s="79"/>
      <c r="F47" s="79"/>
      <c r="G47" s="79"/>
      <c r="H47" s="79"/>
      <c r="I47" s="79"/>
      <c r="J47" s="79"/>
      <c r="K47" s="79"/>
    </row>
    <row r="48" spans="1:11" x14ac:dyDescent="0.3">
      <c r="C48" s="79"/>
      <c r="D48" s="79"/>
      <c r="E48" s="79"/>
      <c r="F48" s="79"/>
      <c r="G48" s="79"/>
      <c r="H48" s="79"/>
      <c r="I48" s="79"/>
      <c r="J48" s="79"/>
      <c r="K48" s="79"/>
    </row>
    <row r="49" spans="3:11" x14ac:dyDescent="0.3">
      <c r="C49" s="79"/>
      <c r="D49" s="79"/>
      <c r="E49" s="79"/>
      <c r="F49" s="79"/>
      <c r="G49" s="79"/>
      <c r="H49" s="79"/>
      <c r="I49" s="79"/>
      <c r="J49" s="79"/>
      <c r="K49" s="79"/>
    </row>
    <row r="50" spans="3:11" x14ac:dyDescent="0.3">
      <c r="C50" s="79"/>
      <c r="D50" s="79"/>
      <c r="E50" s="79"/>
      <c r="F50" s="79"/>
      <c r="G50" s="79"/>
      <c r="H50" s="79"/>
      <c r="I50" s="79"/>
      <c r="J50" s="79"/>
      <c r="K50" s="79"/>
    </row>
    <row r="51" spans="3:11" x14ac:dyDescent="0.3">
      <c r="C51" s="79"/>
      <c r="D51" s="79"/>
      <c r="E51" s="79"/>
      <c r="F51" s="79"/>
      <c r="G51" s="79"/>
      <c r="H51" s="79"/>
      <c r="J51" s="79"/>
      <c r="K51" s="79"/>
    </row>
    <row r="52" spans="3:11" x14ac:dyDescent="0.3">
      <c r="C52" s="79"/>
      <c r="D52" s="79"/>
      <c r="E52" s="79"/>
      <c r="F52" s="79"/>
      <c r="G52" s="79"/>
      <c r="H52" s="79"/>
      <c r="I52" s="79"/>
      <c r="J52" s="79"/>
      <c r="K52" s="79"/>
    </row>
    <row r="53" spans="3:11" x14ac:dyDescent="0.3">
      <c r="C53" s="79"/>
      <c r="D53" s="79"/>
      <c r="E53" s="79"/>
      <c r="F53" s="79"/>
      <c r="G53" s="79"/>
      <c r="H53" s="79"/>
      <c r="I53" s="79"/>
      <c r="J53" s="79"/>
      <c r="K53" s="79"/>
    </row>
    <row r="54" spans="3:11" x14ac:dyDescent="0.3">
      <c r="C54" s="79"/>
      <c r="D54" s="79"/>
      <c r="E54" s="79"/>
      <c r="F54" s="79"/>
      <c r="G54" s="79"/>
      <c r="H54" s="79"/>
      <c r="I54" s="79"/>
      <c r="J54" s="79"/>
      <c r="K54" s="79"/>
    </row>
    <row r="55" spans="3:11" x14ac:dyDescent="0.3">
      <c r="C55" s="79"/>
      <c r="D55" s="79"/>
      <c r="E55" s="79"/>
      <c r="F55" s="79"/>
      <c r="G55" s="79"/>
      <c r="H55" s="79"/>
      <c r="I55" s="79"/>
      <c r="J55" s="79"/>
      <c r="K55" s="79"/>
    </row>
    <row r="56" spans="3:11" x14ac:dyDescent="0.3">
      <c r="C56" s="79"/>
      <c r="D56" s="79"/>
      <c r="E56" s="79"/>
      <c r="F56" s="79"/>
      <c r="G56" s="79"/>
      <c r="H56" s="79"/>
      <c r="I56" s="79"/>
      <c r="J56" s="79"/>
      <c r="K56" s="79"/>
    </row>
    <row r="57" spans="3:11" x14ac:dyDescent="0.3">
      <c r="C57" s="79"/>
      <c r="D57" s="79"/>
      <c r="E57" s="79"/>
      <c r="F57" s="79"/>
      <c r="G57" s="79"/>
      <c r="H57" s="79"/>
      <c r="I57" s="79"/>
      <c r="J57" s="79"/>
      <c r="K57" s="79"/>
    </row>
    <row r="58" spans="3:11" x14ac:dyDescent="0.3">
      <c r="C58" s="79"/>
      <c r="D58" s="79"/>
      <c r="E58" s="79"/>
      <c r="F58" s="79"/>
      <c r="G58" s="79"/>
      <c r="H58" s="79"/>
      <c r="I58" s="79"/>
      <c r="J58" s="79"/>
      <c r="K58" s="79"/>
    </row>
    <row r="59" spans="3:11" x14ac:dyDescent="0.3">
      <c r="C59" s="79"/>
      <c r="D59" s="79"/>
      <c r="E59" s="79"/>
      <c r="F59" s="79"/>
      <c r="G59" s="79"/>
      <c r="H59" s="79"/>
      <c r="I59" s="79"/>
      <c r="J59" s="79"/>
      <c r="K59" s="79"/>
    </row>
    <row r="60" spans="3:11" x14ac:dyDescent="0.3">
      <c r="C60" s="79"/>
      <c r="D60" s="79"/>
      <c r="E60" s="79"/>
      <c r="F60" s="79"/>
      <c r="G60" s="79"/>
      <c r="H60" s="79"/>
      <c r="I60" s="79"/>
      <c r="J60" s="79"/>
      <c r="K60" s="79"/>
    </row>
    <row r="61" spans="3:11" x14ac:dyDescent="0.3">
      <c r="C61" s="79"/>
      <c r="D61" s="79"/>
      <c r="E61" s="79"/>
      <c r="F61" s="79"/>
      <c r="G61" s="79"/>
      <c r="H61" s="79"/>
      <c r="I61" s="79"/>
      <c r="J61" s="79"/>
      <c r="K61" s="79"/>
    </row>
    <row r="62" spans="3:11" x14ac:dyDescent="0.3">
      <c r="C62" s="79"/>
      <c r="D62" s="79"/>
      <c r="E62" s="79"/>
      <c r="F62" s="79"/>
      <c r="G62" s="79"/>
      <c r="H62" s="79"/>
      <c r="I62" s="79"/>
      <c r="J62" s="79"/>
      <c r="K62" s="79"/>
    </row>
    <row r="63" spans="3:11" x14ac:dyDescent="0.3">
      <c r="C63" s="79"/>
      <c r="D63" s="79"/>
      <c r="E63" s="79"/>
      <c r="F63" s="79"/>
      <c r="G63" s="79"/>
      <c r="H63" s="79"/>
      <c r="I63" s="79"/>
      <c r="J63" s="79"/>
      <c r="K63" s="79"/>
    </row>
    <row r="64" spans="3:11" x14ac:dyDescent="0.3">
      <c r="C64" s="79"/>
      <c r="D64" s="79"/>
      <c r="E64" s="79"/>
      <c r="F64" s="79"/>
      <c r="G64" s="79"/>
      <c r="H64" s="79"/>
      <c r="I64" s="79"/>
      <c r="J64" s="79"/>
      <c r="K64" s="79"/>
    </row>
    <row r="65" spans="3:11" x14ac:dyDescent="0.3">
      <c r="C65" s="79"/>
      <c r="D65" s="79"/>
      <c r="E65" s="79"/>
      <c r="F65" s="79"/>
      <c r="G65" s="79"/>
      <c r="H65" s="79"/>
      <c r="I65" s="79"/>
      <c r="J65" s="79"/>
      <c r="K65" s="79"/>
    </row>
    <row r="66" spans="3:11" x14ac:dyDescent="0.3">
      <c r="C66" s="79"/>
      <c r="D66" s="79"/>
      <c r="E66" s="79"/>
      <c r="F66" s="79"/>
      <c r="G66" s="79"/>
      <c r="H66" s="79"/>
      <c r="I66" s="79"/>
      <c r="J66" s="79"/>
      <c r="K66" s="79"/>
    </row>
    <row r="67" spans="3:11" x14ac:dyDescent="0.3">
      <c r="C67" s="79"/>
      <c r="D67" s="79"/>
      <c r="E67" s="79"/>
      <c r="F67" s="79"/>
      <c r="G67" s="79"/>
      <c r="H67" s="79"/>
      <c r="I67" s="79"/>
      <c r="J67" s="79"/>
      <c r="K67" s="79"/>
    </row>
    <row r="68" spans="3:11" x14ac:dyDescent="0.3">
      <c r="C68" s="79"/>
      <c r="D68" s="79"/>
      <c r="E68" s="79"/>
      <c r="F68" s="79"/>
      <c r="G68" s="79"/>
      <c r="H68" s="79"/>
      <c r="I68" s="79"/>
      <c r="J68" s="79"/>
      <c r="K68" s="79"/>
    </row>
    <row r="69" spans="3:11" x14ac:dyDescent="0.3">
      <c r="C69" s="79"/>
      <c r="D69" s="79"/>
      <c r="E69" s="79"/>
      <c r="F69" s="79"/>
      <c r="G69" s="79"/>
      <c r="H69" s="79"/>
      <c r="I69" s="79"/>
      <c r="J69" s="79"/>
      <c r="K69" s="79"/>
    </row>
    <row r="70" spans="3:11" x14ac:dyDescent="0.3">
      <c r="C70" s="79"/>
      <c r="D70" s="79"/>
      <c r="E70" s="79"/>
      <c r="F70" s="79"/>
      <c r="G70" s="79"/>
      <c r="H70" s="79"/>
      <c r="I70" s="79"/>
      <c r="J70" s="79"/>
      <c r="K70" s="79"/>
    </row>
    <row r="71" spans="3:11" x14ac:dyDescent="0.3">
      <c r="C71" s="79"/>
      <c r="D71" s="79"/>
      <c r="E71" s="79"/>
      <c r="F71" s="79"/>
      <c r="G71" s="79"/>
      <c r="H71" s="79"/>
      <c r="I71" s="79"/>
      <c r="J71" s="79"/>
      <c r="K71" s="79"/>
    </row>
    <row r="72" spans="3:11" x14ac:dyDescent="0.3">
      <c r="C72" s="79"/>
      <c r="D72" s="79"/>
      <c r="E72" s="79"/>
      <c r="F72" s="79"/>
      <c r="G72" s="79"/>
      <c r="H72" s="79"/>
      <c r="I72" s="79"/>
      <c r="J72" s="79"/>
      <c r="K72" s="79"/>
    </row>
    <row r="73" spans="3:11" x14ac:dyDescent="0.3">
      <c r="C73" s="79"/>
      <c r="D73" s="79"/>
      <c r="E73" s="79"/>
      <c r="F73" s="79"/>
      <c r="G73" s="79"/>
      <c r="H73" s="79"/>
      <c r="I73" s="79"/>
      <c r="J73" s="79"/>
      <c r="K73" s="79"/>
    </row>
    <row r="74" spans="3:11" x14ac:dyDescent="0.3">
      <c r="C74" s="79"/>
      <c r="D74" s="79"/>
      <c r="E74" s="79"/>
      <c r="F74" s="79"/>
      <c r="G74" s="79"/>
      <c r="H74" s="79"/>
      <c r="I74" s="79"/>
      <c r="J74" s="79"/>
      <c r="K74" s="79"/>
    </row>
    <row r="75" spans="3:11" x14ac:dyDescent="0.3">
      <c r="E75" s="80"/>
    </row>
  </sheetData>
  <pageMargins left="0.7" right="0.7" top="0.75" bottom="0.75" header="0.3" footer="0.3"/>
  <pageSetup orientation="portrait"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BCC6-3B47-4EC9-A63A-FBEA8D68E328}">
  <dimension ref="A1:F9"/>
  <sheetViews>
    <sheetView workbookViewId="0">
      <selection activeCell="D11" sqref="D11"/>
    </sheetView>
  </sheetViews>
  <sheetFormatPr defaultRowHeight="15.6" x14ac:dyDescent="0.3"/>
  <cols>
    <col min="1" max="1" width="21.88671875" style="1" customWidth="1"/>
    <col min="2" max="2" width="25.44140625" style="1" customWidth="1"/>
    <col min="3" max="3" width="24.5546875" style="1" customWidth="1"/>
    <col min="4" max="4" width="23.21875" style="1" customWidth="1"/>
    <col min="5" max="5" width="24.109375" style="1" customWidth="1"/>
    <col min="6" max="6" width="21.88671875" style="1" customWidth="1"/>
    <col min="7" max="16384" width="8.88671875" style="1"/>
  </cols>
  <sheetData>
    <row r="1" spans="1:6" x14ac:dyDescent="0.3">
      <c r="A1" s="1" t="s">
        <v>346</v>
      </c>
      <c r="F1" s="80"/>
    </row>
    <row r="3" spans="1:6" x14ac:dyDescent="0.3">
      <c r="A3" s="1" t="s">
        <v>345</v>
      </c>
      <c r="B3" s="1" t="s">
        <v>344</v>
      </c>
      <c r="C3" s="1" t="s">
        <v>343</v>
      </c>
      <c r="D3" s="1" t="s">
        <v>342</v>
      </c>
      <c r="E3" s="1" t="s">
        <v>341</v>
      </c>
    </row>
    <row r="4" spans="1:6" x14ac:dyDescent="0.3">
      <c r="A4" s="1" t="s">
        <v>340</v>
      </c>
      <c r="B4" s="89">
        <v>100000</v>
      </c>
      <c r="C4" s="89">
        <v>250000</v>
      </c>
      <c r="D4" s="89">
        <v>500000</v>
      </c>
      <c r="E4" s="89">
        <v>1000000</v>
      </c>
    </row>
    <row r="5" spans="1:6" x14ac:dyDescent="0.3">
      <c r="A5" s="1" t="s">
        <v>339</v>
      </c>
      <c r="B5" s="89">
        <f>B4*B9</f>
        <v>1451.0488148843208</v>
      </c>
      <c r="C5" s="89">
        <f>C4*B9</f>
        <v>3627.6220372108023</v>
      </c>
      <c r="D5" s="89">
        <f>D4*B9</f>
        <v>7255.2440744216046</v>
      </c>
      <c r="E5" s="89">
        <f>E4*B9</f>
        <v>14510.488148843209</v>
      </c>
    </row>
    <row r="7" spans="1:6" x14ac:dyDescent="0.3">
      <c r="A7" s="1" t="s">
        <v>338</v>
      </c>
      <c r="B7" s="89">
        <v>149412756.6392616</v>
      </c>
    </row>
    <row r="8" spans="1:6" x14ac:dyDescent="0.3">
      <c r="A8" s="1" t="s">
        <v>337</v>
      </c>
      <c r="B8" s="89">
        <v>2168052.0345000001</v>
      </c>
    </row>
    <row r="9" spans="1:6" x14ac:dyDescent="0.3">
      <c r="A9" s="1" t="s">
        <v>336</v>
      </c>
      <c r="B9" s="1">
        <f>B8/B7</f>
        <v>1.4510488148843209E-2</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D972E-0DF9-46BD-BEBD-562DC4A6350B}">
  <dimension ref="A1:D19"/>
  <sheetViews>
    <sheetView workbookViewId="0">
      <selection activeCell="B2" sqref="B2"/>
    </sheetView>
  </sheetViews>
  <sheetFormatPr defaultColWidth="12.5546875" defaultRowHeight="15.6" x14ac:dyDescent="0.3"/>
  <cols>
    <col min="1" max="1" width="26.44140625" style="1" customWidth="1"/>
    <col min="2" max="2" width="21.6640625" style="1" customWidth="1"/>
    <col min="3" max="3" width="17.88671875" style="1" customWidth="1"/>
    <col min="4" max="4" width="15.44140625" style="1" customWidth="1"/>
    <col min="5" max="16384" width="12.5546875" style="1"/>
  </cols>
  <sheetData>
    <row r="1" spans="1:4" x14ac:dyDescent="0.3">
      <c r="A1" s="87"/>
      <c r="B1" s="87" t="s">
        <v>417</v>
      </c>
      <c r="C1" s="87" t="s">
        <v>416</v>
      </c>
    </row>
    <row r="2" spans="1:4" x14ac:dyDescent="0.3">
      <c r="A2" s="1" t="s">
        <v>415</v>
      </c>
      <c r="B2" s="115">
        <v>871127424.89687967</v>
      </c>
      <c r="C2" s="115">
        <v>199484162.80000001</v>
      </c>
    </row>
    <row r="3" spans="1:4" x14ac:dyDescent="0.3">
      <c r="A3" s="1" t="s">
        <v>414</v>
      </c>
      <c r="B3" s="114">
        <f>B2*0.066</f>
        <v>57494410.043194063</v>
      </c>
      <c r="C3" s="114">
        <f>C2*0.066</f>
        <v>13165954.744800001</v>
      </c>
    </row>
    <row r="4" spans="1:4" ht="31.2" x14ac:dyDescent="0.3">
      <c r="A4" s="112" t="s">
        <v>413</v>
      </c>
      <c r="B4" s="113">
        <v>0.187</v>
      </c>
      <c r="C4" s="113">
        <v>0.17699999999999999</v>
      </c>
    </row>
    <row r="5" spans="1:4" x14ac:dyDescent="0.3">
      <c r="A5" s="112" t="s">
        <v>412</v>
      </c>
      <c r="B5" s="80">
        <f>B3*B4</f>
        <v>10751454.67807729</v>
      </c>
      <c r="C5" s="80">
        <f>C3*C4</f>
        <v>2330373.9898296003</v>
      </c>
    </row>
    <row r="6" spans="1:4" x14ac:dyDescent="0.3">
      <c r="A6" s="1" t="s">
        <v>411</v>
      </c>
      <c r="B6" s="80">
        <f>B3-B5</f>
        <v>46742955.365116775</v>
      </c>
      <c r="C6" s="80">
        <f>C3-C5</f>
        <v>10835580.754970402</v>
      </c>
    </row>
    <row r="7" spans="1:4" x14ac:dyDescent="0.3">
      <c r="A7" s="1" t="s">
        <v>410</v>
      </c>
      <c r="B7" s="80">
        <f>B6/5</f>
        <v>9348591.0730233546</v>
      </c>
      <c r="C7" s="80">
        <f>C6/5</f>
        <v>2167116.1509940801</v>
      </c>
    </row>
    <row r="10" spans="1:4" x14ac:dyDescent="0.3">
      <c r="A10" s="1" t="s">
        <v>409</v>
      </c>
    </row>
    <row r="11" spans="1:4" x14ac:dyDescent="0.3">
      <c r="B11" s="1" t="s">
        <v>408</v>
      </c>
      <c r="C11" s="1" t="s">
        <v>407</v>
      </c>
      <c r="D11" s="111"/>
    </row>
    <row r="12" spans="1:4" x14ac:dyDescent="0.3">
      <c r="A12" s="1" t="s">
        <v>406</v>
      </c>
      <c r="B12" s="4">
        <v>2059.0919280946255</v>
      </c>
      <c r="C12" s="4">
        <f>B12*0.066</f>
        <v>135.9000672542453</v>
      </c>
      <c r="D12" s="80"/>
    </row>
    <row r="13" spans="1:4" x14ac:dyDescent="0.3">
      <c r="A13" s="1" t="s">
        <v>405</v>
      </c>
      <c r="B13" s="4">
        <v>1481.75</v>
      </c>
      <c r="C13" s="4">
        <f>B13*0.066</f>
        <v>97.795500000000004</v>
      </c>
    </row>
    <row r="17" spans="4:4" x14ac:dyDescent="0.3">
      <c r="D17" s="80"/>
    </row>
    <row r="18" spans="4:4" x14ac:dyDescent="0.3">
      <c r="D18" s="4"/>
    </row>
    <row r="19" spans="4:4" x14ac:dyDescent="0.3">
      <c r="D19" s="4"/>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5C46-DE12-4ADD-9A8C-CB2DA11B2859}">
  <dimension ref="A1:V144"/>
  <sheetViews>
    <sheetView zoomScale="80" zoomScaleNormal="80" workbookViewId="0">
      <selection activeCell="A27" sqref="A27"/>
    </sheetView>
  </sheetViews>
  <sheetFormatPr defaultRowHeight="14.4" x14ac:dyDescent="0.3"/>
  <cols>
    <col min="1" max="1" width="38.88671875" customWidth="1"/>
    <col min="2" max="2" width="0.109375" customWidth="1"/>
    <col min="3" max="3" width="23.6640625" customWidth="1"/>
    <col min="4" max="4" width="24" customWidth="1"/>
    <col min="5" max="5" width="19.109375" customWidth="1"/>
    <col min="6" max="6" width="17.88671875" customWidth="1"/>
    <col min="7" max="8" width="16.44140625" customWidth="1"/>
    <col min="9" max="9" width="21.44140625" customWidth="1"/>
    <col min="10" max="10" width="14.88671875" bestFit="1" customWidth="1"/>
    <col min="11" max="11" width="13.6640625" hidden="1" customWidth="1"/>
    <col min="12" max="12" width="11.5546875" hidden="1" customWidth="1"/>
    <col min="13" max="13" width="14.5546875" hidden="1" customWidth="1"/>
    <col min="14" max="14" width="21.44140625" hidden="1" customWidth="1"/>
    <col min="15" max="15" width="15.33203125" bestFit="1" customWidth="1"/>
    <col min="16" max="16" width="8.88671875" customWidth="1"/>
    <col min="22" max="22" width="13.5546875" bestFit="1" customWidth="1"/>
  </cols>
  <sheetData>
    <row r="1" spans="1:17" ht="28.8" x14ac:dyDescent="0.3">
      <c r="A1" s="131" t="s">
        <v>396</v>
      </c>
      <c r="B1" s="131" t="s">
        <v>355</v>
      </c>
      <c r="C1" s="132" t="s">
        <v>395</v>
      </c>
      <c r="D1" s="132" t="s">
        <v>497</v>
      </c>
      <c r="E1" s="133" t="s">
        <v>394</v>
      </c>
      <c r="F1" s="133" t="s">
        <v>380</v>
      </c>
      <c r="G1" s="133" t="s">
        <v>379</v>
      </c>
      <c r="H1" s="134" t="s">
        <v>393</v>
      </c>
      <c r="I1" s="133" t="s">
        <v>392</v>
      </c>
      <c r="J1" s="133" t="s">
        <v>391</v>
      </c>
      <c r="K1" s="135" t="s">
        <v>390</v>
      </c>
      <c r="L1" s="135" t="s">
        <v>385</v>
      </c>
      <c r="M1" s="135" t="s">
        <v>389</v>
      </c>
      <c r="N1" s="135" t="s">
        <v>388</v>
      </c>
      <c r="O1" s="131" t="s">
        <v>378</v>
      </c>
      <c r="P1" s="37"/>
      <c r="Q1" s="37"/>
    </row>
    <row r="2" spans="1:17" x14ac:dyDescent="0.3">
      <c r="A2" s="37" t="s">
        <v>26</v>
      </c>
      <c r="B2" s="37">
        <v>1</v>
      </c>
      <c r="C2" s="136">
        <v>185366.96914398481</v>
      </c>
      <c r="D2" s="136">
        <f>+C2*0.495</f>
        <v>91756.649726272473</v>
      </c>
      <c r="E2" s="136">
        <f>+C2-D2</f>
        <v>93610.319417712337</v>
      </c>
      <c r="F2" s="136">
        <v>0</v>
      </c>
      <c r="G2" s="136">
        <v>38315.912000000004</v>
      </c>
      <c r="H2" s="136"/>
      <c r="I2" s="136"/>
      <c r="J2" s="136">
        <f t="shared" ref="J2:J13" si="0">+F2+G2</f>
        <v>38315.912000000004</v>
      </c>
      <c r="K2" s="137"/>
      <c r="L2" s="137"/>
      <c r="M2" s="137"/>
      <c r="N2" s="137"/>
      <c r="O2" s="136">
        <f t="shared" ref="O2:O33" si="1">SUM(E2+J2)</f>
        <v>131926.23141771235</v>
      </c>
      <c r="P2" s="37"/>
      <c r="Q2" s="37"/>
    </row>
    <row r="3" spans="1:17" x14ac:dyDescent="0.3">
      <c r="A3" s="37" t="s">
        <v>27</v>
      </c>
      <c r="B3" s="37">
        <v>2</v>
      </c>
      <c r="C3" s="136">
        <v>6209793.8923684452</v>
      </c>
      <c r="D3" s="136">
        <f t="shared" ref="D3:D66" si="2">+C3*0.495</f>
        <v>3073847.9767223801</v>
      </c>
      <c r="E3" s="136">
        <f t="shared" ref="E3:E66" si="3">+C3-D3</f>
        <v>3135945.915646065</v>
      </c>
      <c r="F3" s="136">
        <v>0</v>
      </c>
      <c r="G3" s="136">
        <v>359099.04782826698</v>
      </c>
      <c r="H3" s="136"/>
      <c r="I3" s="136"/>
      <c r="J3" s="136">
        <f t="shared" si="0"/>
        <v>359099.04782826698</v>
      </c>
      <c r="K3" s="136"/>
      <c r="L3" s="136"/>
      <c r="M3" s="136"/>
      <c r="N3" s="138"/>
      <c r="O3" s="136">
        <f t="shared" si="1"/>
        <v>3495044.9634743319</v>
      </c>
      <c r="P3" s="37"/>
      <c r="Q3" s="37"/>
    </row>
    <row r="4" spans="1:17" x14ac:dyDescent="0.3">
      <c r="A4" s="37" t="s">
        <v>28</v>
      </c>
      <c r="B4" s="37">
        <v>3</v>
      </c>
      <c r="C4" s="136">
        <v>326547.65424871328</v>
      </c>
      <c r="D4" s="136">
        <f t="shared" si="2"/>
        <v>161641.08885311306</v>
      </c>
      <c r="E4" s="136">
        <f t="shared" si="3"/>
        <v>164906.56539560022</v>
      </c>
      <c r="F4" s="136">
        <v>0</v>
      </c>
      <c r="G4" s="136">
        <v>19157.956000000002</v>
      </c>
      <c r="H4" s="136"/>
      <c r="I4" s="136"/>
      <c r="J4" s="136">
        <f t="shared" si="0"/>
        <v>19157.956000000002</v>
      </c>
      <c r="K4" s="137"/>
      <c r="L4" s="137"/>
      <c r="M4" s="137"/>
      <c r="N4" s="137"/>
      <c r="O4" s="136">
        <f t="shared" si="1"/>
        <v>184064.52139560023</v>
      </c>
      <c r="P4" s="37"/>
      <c r="Q4" s="37"/>
    </row>
    <row r="5" spans="1:17" x14ac:dyDescent="0.3">
      <c r="A5" s="37" t="s">
        <v>29</v>
      </c>
      <c r="B5" s="37">
        <v>4</v>
      </c>
      <c r="C5" s="136">
        <v>686504.4368627416</v>
      </c>
      <c r="D5" s="136">
        <f t="shared" si="2"/>
        <v>339819.69624705712</v>
      </c>
      <c r="E5" s="136">
        <f t="shared" si="3"/>
        <v>346684.74061568448</v>
      </c>
      <c r="F5" s="136">
        <v>0</v>
      </c>
      <c r="G5" s="136">
        <v>48302.34206137633</v>
      </c>
      <c r="H5" s="136"/>
      <c r="I5" s="136"/>
      <c r="J5" s="136">
        <f t="shared" si="0"/>
        <v>48302.34206137633</v>
      </c>
      <c r="K5" s="136"/>
      <c r="L5" s="136"/>
      <c r="M5" s="136"/>
      <c r="N5" s="136"/>
      <c r="O5" s="136">
        <f t="shared" si="1"/>
        <v>394987.0826770608</v>
      </c>
      <c r="P5" s="37"/>
      <c r="Q5" s="37"/>
    </row>
    <row r="6" spans="1:17" x14ac:dyDescent="0.3">
      <c r="A6" s="37" t="s">
        <v>30</v>
      </c>
      <c r="B6" s="37">
        <v>5</v>
      </c>
      <c r="C6" s="136">
        <v>103460.67897729314</v>
      </c>
      <c r="D6" s="136">
        <f t="shared" si="2"/>
        <v>51213.0360937601</v>
      </c>
      <c r="E6" s="136">
        <f t="shared" si="3"/>
        <v>52247.642883533037</v>
      </c>
      <c r="F6" s="136">
        <v>0</v>
      </c>
      <c r="G6" s="136">
        <v>13661.567210142388</v>
      </c>
      <c r="H6" s="136"/>
      <c r="I6" s="136"/>
      <c r="J6" s="136">
        <f t="shared" si="0"/>
        <v>13661.567210142388</v>
      </c>
      <c r="K6" s="137"/>
      <c r="L6" s="137"/>
      <c r="M6" s="137"/>
      <c r="N6" s="137"/>
      <c r="O6" s="136">
        <f t="shared" si="1"/>
        <v>65909.210093675429</v>
      </c>
      <c r="P6" s="37"/>
      <c r="Q6" s="37"/>
    </row>
    <row r="7" spans="1:17" x14ac:dyDescent="0.3">
      <c r="A7" s="37" t="s">
        <v>31</v>
      </c>
      <c r="B7" s="37">
        <v>6</v>
      </c>
      <c r="C7" s="136">
        <v>1018979.5383515304</v>
      </c>
      <c r="D7" s="136">
        <f t="shared" si="2"/>
        <v>504394.87148400757</v>
      </c>
      <c r="E7" s="136">
        <f t="shared" si="3"/>
        <v>514584.66686752287</v>
      </c>
      <c r="F7" s="136"/>
      <c r="G7" s="136"/>
      <c r="H7" s="136"/>
      <c r="I7" s="136"/>
      <c r="J7" s="136">
        <f t="shared" si="0"/>
        <v>0</v>
      </c>
      <c r="K7" s="136"/>
      <c r="L7" s="137"/>
      <c r="M7" s="136"/>
      <c r="N7" s="136"/>
      <c r="O7" s="136">
        <f t="shared" si="1"/>
        <v>514584.66686752287</v>
      </c>
      <c r="P7" s="37"/>
      <c r="Q7" s="37"/>
    </row>
    <row r="8" spans="1:17" x14ac:dyDescent="0.3">
      <c r="A8" s="37" t="s">
        <v>32</v>
      </c>
      <c r="B8" s="37">
        <v>7</v>
      </c>
      <c r="C8" s="136">
        <v>434858.04165987222</v>
      </c>
      <c r="D8" s="136">
        <f t="shared" si="2"/>
        <v>215254.73062163676</v>
      </c>
      <c r="E8" s="136">
        <f t="shared" si="3"/>
        <v>219603.31103823546</v>
      </c>
      <c r="F8" s="136"/>
      <c r="G8" s="136"/>
      <c r="H8" s="136"/>
      <c r="I8" s="136"/>
      <c r="J8" s="136">
        <f t="shared" si="0"/>
        <v>0</v>
      </c>
      <c r="K8" s="137"/>
      <c r="L8" s="137"/>
      <c r="M8" s="137"/>
      <c r="N8" s="137"/>
      <c r="O8" s="136">
        <f t="shared" si="1"/>
        <v>219603.31103823546</v>
      </c>
      <c r="P8" s="37"/>
      <c r="Q8" s="37"/>
    </row>
    <row r="9" spans="1:17" x14ac:dyDescent="0.3">
      <c r="A9" s="37" t="s">
        <v>33</v>
      </c>
      <c r="B9" s="37">
        <v>8</v>
      </c>
      <c r="C9" s="136">
        <v>121242.94323480103</v>
      </c>
      <c r="D9" s="136">
        <f t="shared" si="2"/>
        <v>60015.256901226508</v>
      </c>
      <c r="E9" s="136">
        <f t="shared" si="3"/>
        <v>61227.686333574522</v>
      </c>
      <c r="F9" s="136">
        <v>0</v>
      </c>
      <c r="G9" s="136">
        <v>9578.98</v>
      </c>
      <c r="H9" s="136"/>
      <c r="I9" s="136"/>
      <c r="J9" s="136">
        <f t="shared" si="0"/>
        <v>9578.98</v>
      </c>
      <c r="K9" s="136"/>
      <c r="L9" s="136"/>
      <c r="M9" s="136"/>
      <c r="N9" s="136"/>
      <c r="O9" s="136">
        <f t="shared" si="1"/>
        <v>70806.666333574525</v>
      </c>
      <c r="P9" s="37"/>
      <c r="Q9" s="37"/>
    </row>
    <row r="10" spans="1:17" x14ac:dyDescent="0.3">
      <c r="A10" s="37" t="s">
        <v>34</v>
      </c>
      <c r="B10" s="37">
        <v>9</v>
      </c>
      <c r="C10" s="136">
        <v>3126990.0882038507</v>
      </c>
      <c r="D10" s="136">
        <f t="shared" si="2"/>
        <v>1547860.093660906</v>
      </c>
      <c r="E10" s="136">
        <f t="shared" si="3"/>
        <v>1579129.9945429447</v>
      </c>
      <c r="F10" s="136">
        <v>0</v>
      </c>
      <c r="G10" s="136">
        <v>185651.1</v>
      </c>
      <c r="H10" s="136"/>
      <c r="I10" s="136"/>
      <c r="J10" s="136">
        <f t="shared" si="0"/>
        <v>185651.1</v>
      </c>
      <c r="K10" s="137"/>
      <c r="L10" s="137"/>
      <c r="M10" s="137"/>
      <c r="N10" s="137"/>
      <c r="O10" s="136">
        <f t="shared" si="1"/>
        <v>1764781.0945429448</v>
      </c>
      <c r="P10" s="37"/>
      <c r="Q10" s="37"/>
    </row>
    <row r="11" spans="1:17" x14ac:dyDescent="0.3">
      <c r="A11" s="37" t="s">
        <v>35</v>
      </c>
      <c r="B11" s="37">
        <v>10</v>
      </c>
      <c r="C11" s="136">
        <v>737695.9069482832</v>
      </c>
      <c r="D11" s="136">
        <f t="shared" si="2"/>
        <v>365159.47393940017</v>
      </c>
      <c r="E11" s="136">
        <f>+C11-D11</f>
        <v>372536.43300888303</v>
      </c>
      <c r="F11" s="136"/>
      <c r="G11" s="37"/>
      <c r="H11" s="136"/>
      <c r="I11" s="136"/>
      <c r="J11" s="136">
        <f t="shared" si="0"/>
        <v>0</v>
      </c>
      <c r="K11" s="136"/>
      <c r="L11" s="136"/>
      <c r="M11" s="136"/>
      <c r="N11" s="136"/>
      <c r="O11" s="136">
        <f t="shared" si="1"/>
        <v>372536.43300888303</v>
      </c>
      <c r="P11" s="37"/>
      <c r="Q11" s="37"/>
    </row>
    <row r="12" spans="1:17" x14ac:dyDescent="0.3">
      <c r="A12" s="37" t="s">
        <v>36</v>
      </c>
      <c r="B12" s="37">
        <v>11</v>
      </c>
      <c r="C12" s="136">
        <v>855166.88055542833</v>
      </c>
      <c r="D12" s="136">
        <f t="shared" si="2"/>
        <v>423307.60587493703</v>
      </c>
      <c r="E12" s="136">
        <f t="shared" si="3"/>
        <v>431859.2746804913</v>
      </c>
      <c r="F12" s="136">
        <v>0</v>
      </c>
      <c r="G12" s="136">
        <v>38315.910000000003</v>
      </c>
      <c r="H12" s="136"/>
      <c r="I12" s="136"/>
      <c r="J12" s="136">
        <f t="shared" si="0"/>
        <v>38315.910000000003</v>
      </c>
      <c r="K12" s="137"/>
      <c r="L12" s="137"/>
      <c r="M12" s="137"/>
      <c r="N12" s="137"/>
      <c r="O12" s="136">
        <f t="shared" si="1"/>
        <v>470175.18468049134</v>
      </c>
      <c r="P12" s="37"/>
      <c r="Q12" s="37"/>
    </row>
    <row r="13" spans="1:17" x14ac:dyDescent="0.3">
      <c r="A13" s="37" t="s">
        <v>37</v>
      </c>
      <c r="B13" s="37">
        <v>12</v>
      </c>
      <c r="C13" s="136">
        <v>77462.718767322978</v>
      </c>
      <c r="D13" s="136">
        <f t="shared" si="2"/>
        <v>38344.045789824871</v>
      </c>
      <c r="E13" s="136">
        <f t="shared" si="3"/>
        <v>39118.672977498107</v>
      </c>
      <c r="F13" s="136"/>
      <c r="G13" s="37"/>
      <c r="H13" s="136"/>
      <c r="I13" s="136"/>
      <c r="J13" s="136">
        <f t="shared" si="0"/>
        <v>0</v>
      </c>
      <c r="K13" s="136"/>
      <c r="L13" s="136"/>
      <c r="M13" s="136"/>
      <c r="N13" s="136"/>
      <c r="O13" s="136">
        <f t="shared" si="1"/>
        <v>39118.672977498107</v>
      </c>
      <c r="P13" s="37"/>
      <c r="Q13" s="37"/>
    </row>
    <row r="14" spans="1:17" x14ac:dyDescent="0.3">
      <c r="A14" s="37" t="s">
        <v>38</v>
      </c>
      <c r="B14" s="37">
        <v>13</v>
      </c>
      <c r="C14" s="136">
        <v>347024.22679038619</v>
      </c>
      <c r="D14" s="136">
        <f t="shared" si="2"/>
        <v>171776.99226124116</v>
      </c>
      <c r="E14" s="136">
        <f t="shared" si="3"/>
        <v>175247.23452914503</v>
      </c>
      <c r="F14" s="136">
        <v>0</v>
      </c>
      <c r="G14" s="136">
        <v>19157.96</v>
      </c>
      <c r="H14" s="152">
        <v>0</v>
      </c>
      <c r="I14" s="136">
        <v>71842.335000000006</v>
      </c>
      <c r="J14" s="136">
        <f>+F14+G14+H14+I14</f>
        <v>91000.295000000013</v>
      </c>
      <c r="K14" s="137"/>
      <c r="L14" s="137"/>
      <c r="M14" s="137"/>
      <c r="N14" s="137"/>
      <c r="O14" s="136">
        <f t="shared" si="1"/>
        <v>266247.52952914505</v>
      </c>
      <c r="P14" s="37"/>
      <c r="Q14" s="37"/>
    </row>
    <row r="15" spans="1:17" x14ac:dyDescent="0.3">
      <c r="A15" s="37" t="s">
        <v>39</v>
      </c>
      <c r="B15" s="37">
        <v>14</v>
      </c>
      <c r="C15" s="136">
        <v>134714.40719290738</v>
      </c>
      <c r="D15" s="136">
        <f t="shared" si="2"/>
        <v>66683.631560489157</v>
      </c>
      <c r="E15" s="136">
        <f t="shared" si="3"/>
        <v>68030.775632418226</v>
      </c>
      <c r="F15" s="136"/>
      <c r="G15" s="37"/>
      <c r="H15" s="136"/>
      <c r="I15" s="136"/>
      <c r="J15" s="136">
        <f t="shared" ref="J15:J23" si="4">+F15+G15</f>
        <v>0</v>
      </c>
      <c r="K15" s="136"/>
      <c r="L15" s="136"/>
      <c r="M15" s="136"/>
      <c r="N15" s="136"/>
      <c r="O15" s="136">
        <f t="shared" si="1"/>
        <v>68030.775632418226</v>
      </c>
      <c r="P15" s="37"/>
      <c r="Q15" s="37"/>
    </row>
    <row r="16" spans="1:17" x14ac:dyDescent="0.3">
      <c r="A16" s="37" t="s">
        <v>40</v>
      </c>
      <c r="B16" s="37">
        <v>15</v>
      </c>
      <c r="C16" s="136">
        <v>1201652.1992113502</v>
      </c>
      <c r="D16" s="136">
        <f t="shared" si="2"/>
        <v>594817.83860961837</v>
      </c>
      <c r="E16" s="136">
        <f t="shared" si="3"/>
        <v>606834.36060173181</v>
      </c>
      <c r="F16" s="136">
        <v>0</v>
      </c>
      <c r="G16" s="136">
        <v>153454.80205716679</v>
      </c>
      <c r="H16" s="136"/>
      <c r="I16" s="136"/>
      <c r="J16" s="136">
        <f t="shared" si="4"/>
        <v>153454.80205716679</v>
      </c>
      <c r="K16" s="137"/>
      <c r="L16" s="137"/>
      <c r="M16" s="137"/>
      <c r="N16" s="137"/>
      <c r="O16" s="136">
        <f t="shared" si="1"/>
        <v>760289.16265889863</v>
      </c>
      <c r="P16" s="37"/>
      <c r="Q16" s="37"/>
    </row>
    <row r="17" spans="1:17" x14ac:dyDescent="0.3">
      <c r="A17" s="37" t="s">
        <v>41</v>
      </c>
      <c r="B17" s="37">
        <v>16</v>
      </c>
      <c r="C17" s="136">
        <v>79212.059345245434</v>
      </c>
      <c r="D17" s="136">
        <f t="shared" si="2"/>
        <v>39209.969375896493</v>
      </c>
      <c r="E17" s="136">
        <f t="shared" si="3"/>
        <v>40002.089969348941</v>
      </c>
      <c r="F17" s="136">
        <v>0</v>
      </c>
      <c r="G17" s="136">
        <v>10693.62138161113</v>
      </c>
      <c r="H17" s="136"/>
      <c r="I17" s="136"/>
      <c r="J17" s="136">
        <f t="shared" si="4"/>
        <v>10693.62138161113</v>
      </c>
      <c r="K17" s="136"/>
      <c r="L17" s="136"/>
      <c r="M17" s="136"/>
      <c r="N17" s="136"/>
      <c r="O17" s="136">
        <f t="shared" si="1"/>
        <v>50695.711350960075</v>
      </c>
      <c r="P17" s="37"/>
      <c r="Q17" s="37"/>
    </row>
    <row r="18" spans="1:17" x14ac:dyDescent="0.3">
      <c r="A18" s="37" t="s">
        <v>42</v>
      </c>
      <c r="B18" s="37">
        <v>17</v>
      </c>
      <c r="C18" s="136">
        <v>161118.42697465586</v>
      </c>
      <c r="D18" s="136">
        <f t="shared" si="2"/>
        <v>79753.621352454647</v>
      </c>
      <c r="E18" s="136">
        <f t="shared" si="3"/>
        <v>81364.805622201209</v>
      </c>
      <c r="F18" s="136">
        <v>0</v>
      </c>
      <c r="G18" s="136">
        <v>23133.093250593585</v>
      </c>
      <c r="H18" s="136"/>
      <c r="I18" s="136"/>
      <c r="J18" s="136">
        <f t="shared" si="4"/>
        <v>23133.093250593585</v>
      </c>
      <c r="K18" s="137"/>
      <c r="L18" s="137"/>
      <c r="M18" s="137"/>
      <c r="N18" s="137"/>
      <c r="O18" s="136">
        <f t="shared" si="1"/>
        <v>104497.89887279479</v>
      </c>
      <c r="P18" s="37"/>
      <c r="Q18" s="37"/>
    </row>
    <row r="19" spans="1:17" x14ac:dyDescent="0.3">
      <c r="A19" s="37" t="s">
        <v>43</v>
      </c>
      <c r="B19" s="37">
        <v>18</v>
      </c>
      <c r="C19" s="136">
        <v>77462.718767322978</v>
      </c>
      <c r="D19" s="136">
        <f t="shared" si="2"/>
        <v>38344.045789824871</v>
      </c>
      <c r="E19" s="136">
        <f t="shared" si="3"/>
        <v>39118.672977498107</v>
      </c>
      <c r="F19" s="136">
        <v>0</v>
      </c>
      <c r="G19" s="136">
        <v>10753.634992114517</v>
      </c>
      <c r="H19" s="136"/>
      <c r="I19" s="136"/>
      <c r="J19" s="136">
        <f t="shared" si="4"/>
        <v>10753.634992114517</v>
      </c>
      <c r="K19" s="136"/>
      <c r="L19" s="136"/>
      <c r="M19" s="136"/>
      <c r="N19" s="136"/>
      <c r="O19" s="136">
        <f t="shared" si="1"/>
        <v>49872.307969612622</v>
      </c>
      <c r="P19" s="37"/>
      <c r="Q19" s="37"/>
    </row>
    <row r="20" spans="1:17" x14ac:dyDescent="0.3">
      <c r="A20" s="37" t="s">
        <v>44</v>
      </c>
      <c r="B20" s="37">
        <v>19</v>
      </c>
      <c r="C20" s="136">
        <v>176745.29108246299</v>
      </c>
      <c r="D20" s="136">
        <f t="shared" si="2"/>
        <v>87488.919085819187</v>
      </c>
      <c r="E20" s="136">
        <f t="shared" si="3"/>
        <v>89256.371996643808</v>
      </c>
      <c r="F20" s="136">
        <v>0</v>
      </c>
      <c r="G20" s="136">
        <v>19157.956000000002</v>
      </c>
      <c r="H20" s="136"/>
      <c r="I20" s="136"/>
      <c r="J20" s="136">
        <f t="shared" si="4"/>
        <v>19157.956000000002</v>
      </c>
      <c r="K20" s="137"/>
      <c r="L20" s="137"/>
      <c r="M20" s="137"/>
      <c r="N20" s="137"/>
      <c r="O20" s="136">
        <f t="shared" si="1"/>
        <v>108414.32799664381</v>
      </c>
      <c r="P20" s="37"/>
      <c r="Q20" s="37"/>
    </row>
    <row r="21" spans="1:17" x14ac:dyDescent="0.3">
      <c r="A21" s="37" t="s">
        <v>45</v>
      </c>
      <c r="B21" s="37">
        <v>20</v>
      </c>
      <c r="C21" s="136">
        <v>361573.3520919836</v>
      </c>
      <c r="D21" s="136">
        <f t="shared" si="2"/>
        <v>178978.80928553187</v>
      </c>
      <c r="E21" s="136">
        <f t="shared" si="3"/>
        <v>182594.54280645173</v>
      </c>
      <c r="F21" s="136"/>
      <c r="G21" s="136">
        <v>74505.61</v>
      </c>
      <c r="H21" s="136"/>
      <c r="I21" s="136"/>
      <c r="J21" s="136">
        <f t="shared" si="4"/>
        <v>74505.61</v>
      </c>
      <c r="K21" s="136"/>
      <c r="L21" s="136"/>
      <c r="M21" s="136"/>
      <c r="N21" s="136"/>
      <c r="O21" s="136">
        <f t="shared" si="1"/>
        <v>257100.15280645172</v>
      </c>
      <c r="P21" s="37"/>
      <c r="Q21" s="37"/>
    </row>
    <row r="22" spans="1:17" x14ac:dyDescent="0.3">
      <c r="A22" s="37" t="s">
        <v>46</v>
      </c>
      <c r="B22" s="37">
        <v>21</v>
      </c>
      <c r="C22" s="136">
        <v>564722.66295619507</v>
      </c>
      <c r="D22" s="136">
        <f t="shared" si="2"/>
        <v>279537.71816331655</v>
      </c>
      <c r="E22" s="136">
        <f t="shared" si="3"/>
        <v>285184.94479287852</v>
      </c>
      <c r="F22" s="136">
        <v>0</v>
      </c>
      <c r="G22" s="136">
        <v>82239.033788426983</v>
      </c>
      <c r="H22" s="136"/>
      <c r="I22" s="136"/>
      <c r="J22" s="136">
        <f t="shared" si="4"/>
        <v>82239.033788426983</v>
      </c>
      <c r="K22" s="137"/>
      <c r="L22" s="137"/>
      <c r="M22" s="137"/>
      <c r="N22" s="137"/>
      <c r="O22" s="136">
        <f t="shared" si="1"/>
        <v>367423.97858130548</v>
      </c>
      <c r="P22" s="37"/>
      <c r="Q22" s="37"/>
    </row>
    <row r="23" spans="1:17" x14ac:dyDescent="0.3">
      <c r="A23" s="37" t="s">
        <v>47</v>
      </c>
      <c r="B23" s="37">
        <v>22</v>
      </c>
      <c r="C23" s="136">
        <v>868099.43637907051</v>
      </c>
      <c r="D23" s="136">
        <f t="shared" si="2"/>
        <v>429709.22100763989</v>
      </c>
      <c r="E23" s="136">
        <f t="shared" si="3"/>
        <v>438390.21537143062</v>
      </c>
      <c r="F23" s="136"/>
      <c r="G23" s="136">
        <v>165634.69352473743</v>
      </c>
      <c r="H23" s="136"/>
      <c r="I23" s="136"/>
      <c r="J23" s="136">
        <f t="shared" si="4"/>
        <v>165634.69352473743</v>
      </c>
      <c r="K23" s="136"/>
      <c r="L23" s="136"/>
      <c r="M23" s="136"/>
      <c r="N23" s="136"/>
      <c r="O23" s="136">
        <f t="shared" si="1"/>
        <v>604024.908896168</v>
      </c>
      <c r="P23" s="37"/>
      <c r="Q23" s="37"/>
    </row>
    <row r="24" spans="1:17" x14ac:dyDescent="0.3">
      <c r="A24" s="37" t="s">
        <v>48</v>
      </c>
      <c r="B24" s="37">
        <v>23</v>
      </c>
      <c r="C24" s="136">
        <v>3485330.3788026427</v>
      </c>
      <c r="D24" s="136">
        <f t="shared" si="2"/>
        <v>1725238.5375073082</v>
      </c>
      <c r="E24" s="136">
        <f t="shared" si="3"/>
        <v>1760091.8412953345</v>
      </c>
      <c r="F24" s="136">
        <v>0</v>
      </c>
      <c r="G24" s="37"/>
      <c r="H24" s="136">
        <v>0</v>
      </c>
      <c r="I24" s="136">
        <v>359211.67499999999</v>
      </c>
      <c r="J24" s="136">
        <f>+H24+I24+F24</f>
        <v>359211.67499999999</v>
      </c>
      <c r="K24" s="137"/>
      <c r="L24" s="137"/>
      <c r="M24" s="137"/>
      <c r="N24" s="137"/>
      <c r="O24" s="136">
        <f t="shared" si="1"/>
        <v>2119303.5162953343</v>
      </c>
      <c r="P24" s="37"/>
      <c r="Q24" s="37"/>
    </row>
    <row r="25" spans="1:17" x14ac:dyDescent="0.3">
      <c r="A25" s="37" t="s">
        <v>49</v>
      </c>
      <c r="B25" s="37">
        <v>24</v>
      </c>
      <c r="C25" s="136">
        <v>90528.045690932267</v>
      </c>
      <c r="D25" s="136">
        <f t="shared" si="2"/>
        <v>44811.38261701147</v>
      </c>
      <c r="E25" s="136">
        <f t="shared" si="3"/>
        <v>45716.663073920798</v>
      </c>
      <c r="F25" s="136"/>
      <c r="G25" s="37"/>
      <c r="H25" s="136"/>
      <c r="I25" s="136"/>
      <c r="J25" s="136">
        <f t="shared" ref="J25:J51" si="5">+F25+G25</f>
        <v>0</v>
      </c>
      <c r="K25" s="136"/>
      <c r="L25" s="136"/>
      <c r="M25" s="136"/>
      <c r="N25" s="136"/>
      <c r="O25" s="136">
        <f t="shared" si="1"/>
        <v>45716.663073920798</v>
      </c>
      <c r="P25" s="37"/>
      <c r="Q25" s="37"/>
    </row>
    <row r="26" spans="1:17" x14ac:dyDescent="0.3">
      <c r="A26" s="37" t="s">
        <v>50</v>
      </c>
      <c r="B26" s="37">
        <v>25</v>
      </c>
      <c r="C26" s="136">
        <v>1105196.7062803425</v>
      </c>
      <c r="D26" s="136">
        <f t="shared" si="2"/>
        <v>547072.36960876954</v>
      </c>
      <c r="E26" s="136">
        <f t="shared" si="3"/>
        <v>558124.33667157299</v>
      </c>
      <c r="F26" s="136">
        <v>0</v>
      </c>
      <c r="G26" s="136">
        <v>77781.084969933567</v>
      </c>
      <c r="H26" s="136"/>
      <c r="I26" s="136"/>
      <c r="J26" s="136">
        <f t="shared" si="5"/>
        <v>77781.084969933567</v>
      </c>
      <c r="K26" s="137"/>
      <c r="L26" s="137"/>
      <c r="M26" s="137"/>
      <c r="N26" s="137"/>
      <c r="O26" s="136">
        <f t="shared" si="1"/>
        <v>635905.4216415066</v>
      </c>
      <c r="P26" s="37"/>
      <c r="Q26" s="37"/>
    </row>
    <row r="27" spans="1:17" x14ac:dyDescent="0.3">
      <c r="A27" s="37" t="s">
        <v>51</v>
      </c>
      <c r="B27" s="37">
        <v>26</v>
      </c>
      <c r="C27" s="136">
        <v>726379.92060259648</v>
      </c>
      <c r="D27" s="136">
        <f t="shared" si="2"/>
        <v>359558.06069828523</v>
      </c>
      <c r="E27" s="136">
        <f t="shared" si="3"/>
        <v>366821.85990431125</v>
      </c>
      <c r="F27" s="136">
        <v>0</v>
      </c>
      <c r="G27" s="136">
        <v>38315.912000000004</v>
      </c>
      <c r="H27" s="136"/>
      <c r="I27" s="136"/>
      <c r="J27" s="136">
        <f t="shared" si="5"/>
        <v>38315.912000000004</v>
      </c>
      <c r="K27" s="136"/>
      <c r="L27" s="136"/>
      <c r="M27" s="136"/>
      <c r="N27" s="136"/>
      <c r="O27" s="136">
        <f t="shared" si="1"/>
        <v>405137.77190431126</v>
      </c>
      <c r="P27" s="37"/>
      <c r="Q27" s="37"/>
    </row>
    <row r="28" spans="1:17" x14ac:dyDescent="0.3">
      <c r="A28" s="37" t="s">
        <v>52</v>
      </c>
      <c r="B28" s="37">
        <v>27</v>
      </c>
      <c r="C28" s="136">
        <v>77462.718767322978</v>
      </c>
      <c r="D28" s="136">
        <f t="shared" si="2"/>
        <v>38344.045789824871</v>
      </c>
      <c r="E28" s="136">
        <f t="shared" si="3"/>
        <v>39118.672977498107</v>
      </c>
      <c r="F28" s="136"/>
      <c r="G28" s="37"/>
      <c r="H28" s="136"/>
      <c r="I28" s="136"/>
      <c r="J28" s="136">
        <f t="shared" si="5"/>
        <v>0</v>
      </c>
      <c r="K28" s="137"/>
      <c r="L28" s="137"/>
      <c r="M28" s="137"/>
      <c r="N28" s="137"/>
      <c r="O28" s="136">
        <f t="shared" si="1"/>
        <v>39118.672977498107</v>
      </c>
      <c r="P28" s="37"/>
      <c r="Q28" s="37"/>
    </row>
    <row r="29" spans="1:17" x14ac:dyDescent="0.3">
      <c r="A29" s="37" t="s">
        <v>53</v>
      </c>
      <c r="B29" s="37">
        <v>28</v>
      </c>
      <c r="C29" s="136">
        <v>276972.75364112685</v>
      </c>
      <c r="D29" s="136">
        <f t="shared" si="2"/>
        <v>137101.5130523578</v>
      </c>
      <c r="E29" s="136">
        <f t="shared" si="3"/>
        <v>139871.24058876905</v>
      </c>
      <c r="F29" s="136">
        <v>0</v>
      </c>
      <c r="G29" s="136">
        <v>44775.322071839815</v>
      </c>
      <c r="H29" s="136"/>
      <c r="I29" s="136"/>
      <c r="J29" s="136">
        <f t="shared" si="5"/>
        <v>44775.322071839815</v>
      </c>
      <c r="K29" s="136"/>
      <c r="L29" s="136"/>
      <c r="M29" s="136"/>
      <c r="N29" s="136"/>
      <c r="O29" s="136">
        <f t="shared" si="1"/>
        <v>184646.56266060888</v>
      </c>
      <c r="P29" s="37"/>
      <c r="Q29" s="37"/>
    </row>
    <row r="30" spans="1:17" x14ac:dyDescent="0.3">
      <c r="A30" s="37" t="s">
        <v>54</v>
      </c>
      <c r="B30" s="37">
        <v>29</v>
      </c>
      <c r="C30" s="136">
        <v>77462.718767322978</v>
      </c>
      <c r="D30" s="136">
        <f t="shared" si="2"/>
        <v>38344.045789824871</v>
      </c>
      <c r="E30" s="136">
        <f t="shared" si="3"/>
        <v>39118.672977498107</v>
      </c>
      <c r="F30" s="136"/>
      <c r="G30" s="37"/>
      <c r="H30" s="136"/>
      <c r="I30" s="136"/>
      <c r="J30" s="136">
        <f t="shared" si="5"/>
        <v>0</v>
      </c>
      <c r="K30" s="137"/>
      <c r="L30" s="137"/>
      <c r="M30" s="137"/>
      <c r="N30" s="137"/>
      <c r="O30" s="136">
        <f t="shared" si="1"/>
        <v>39118.672977498107</v>
      </c>
      <c r="P30" s="37"/>
      <c r="Q30" s="37"/>
    </row>
    <row r="31" spans="1:17" x14ac:dyDescent="0.3">
      <c r="A31" s="37" t="s">
        <v>55</v>
      </c>
      <c r="B31" s="37">
        <v>30</v>
      </c>
      <c r="C31" s="136">
        <v>110465.78756085968</v>
      </c>
      <c r="D31" s="136">
        <f t="shared" si="2"/>
        <v>54680.564842625543</v>
      </c>
      <c r="E31" s="136">
        <f t="shared" si="3"/>
        <v>55785.222718234138</v>
      </c>
      <c r="F31" s="136">
        <v>0</v>
      </c>
      <c r="G31" s="136">
        <v>10324.063885353416</v>
      </c>
      <c r="H31" s="136"/>
      <c r="I31" s="136"/>
      <c r="J31" s="136">
        <f t="shared" si="5"/>
        <v>10324.063885353416</v>
      </c>
      <c r="K31" s="136"/>
      <c r="L31" s="136"/>
      <c r="M31" s="136"/>
      <c r="N31" s="136"/>
      <c r="O31" s="136">
        <f t="shared" si="1"/>
        <v>66109.286603587549</v>
      </c>
      <c r="P31" s="37"/>
      <c r="Q31" s="37"/>
    </row>
    <row r="32" spans="1:17" x14ac:dyDescent="0.3">
      <c r="A32" s="37" t="s">
        <v>56</v>
      </c>
      <c r="B32" s="37">
        <v>31</v>
      </c>
      <c r="C32" s="136">
        <v>96455.492931007815</v>
      </c>
      <c r="D32" s="136">
        <f t="shared" si="2"/>
        <v>47745.469000848869</v>
      </c>
      <c r="E32" s="136">
        <f t="shared" si="3"/>
        <v>48710.023930158946</v>
      </c>
      <c r="F32" s="136">
        <v>0</v>
      </c>
      <c r="G32" s="136">
        <v>12660.861790982999</v>
      </c>
      <c r="H32" s="136"/>
      <c r="I32" s="136"/>
      <c r="J32" s="136">
        <f t="shared" si="5"/>
        <v>12660.861790982999</v>
      </c>
      <c r="K32" s="137"/>
      <c r="L32" s="137"/>
      <c r="M32" s="137"/>
      <c r="N32" s="137"/>
      <c r="O32" s="136">
        <f t="shared" si="1"/>
        <v>61370.885721141945</v>
      </c>
      <c r="P32" s="37"/>
      <c r="Q32" s="37"/>
    </row>
    <row r="33" spans="1:17" x14ac:dyDescent="0.3">
      <c r="A33" s="37" t="s">
        <v>57</v>
      </c>
      <c r="B33" s="37">
        <v>32</v>
      </c>
      <c r="C33" s="136">
        <v>368039.7074665234</v>
      </c>
      <c r="D33" s="136">
        <f t="shared" si="2"/>
        <v>182179.65519592908</v>
      </c>
      <c r="E33" s="136">
        <f t="shared" si="3"/>
        <v>185860.05227059431</v>
      </c>
      <c r="F33" s="136">
        <v>0</v>
      </c>
      <c r="G33" s="136">
        <v>23903.79435390027</v>
      </c>
      <c r="H33" s="136"/>
      <c r="I33" s="136"/>
      <c r="J33" s="136">
        <f t="shared" si="5"/>
        <v>23903.79435390027</v>
      </c>
      <c r="K33" s="136"/>
      <c r="L33" s="136"/>
      <c r="M33" s="136"/>
      <c r="N33" s="136"/>
      <c r="O33" s="136">
        <f t="shared" si="1"/>
        <v>209763.84662449459</v>
      </c>
      <c r="P33" s="37"/>
      <c r="Q33" s="37"/>
    </row>
    <row r="34" spans="1:17" x14ac:dyDescent="0.3">
      <c r="A34" s="37" t="s">
        <v>58</v>
      </c>
      <c r="B34" s="37">
        <v>33</v>
      </c>
      <c r="C34" s="136">
        <v>101844.03203661912</v>
      </c>
      <c r="D34" s="136">
        <f t="shared" si="2"/>
        <v>50412.795858126461</v>
      </c>
      <c r="E34" s="136">
        <f t="shared" si="3"/>
        <v>51431.236178492654</v>
      </c>
      <c r="F34" s="136"/>
      <c r="G34" s="37"/>
      <c r="H34" s="136"/>
      <c r="I34" s="136"/>
      <c r="J34" s="136">
        <f t="shared" si="5"/>
        <v>0</v>
      </c>
      <c r="K34" s="137"/>
      <c r="L34" s="137"/>
      <c r="M34" s="137"/>
      <c r="N34" s="137"/>
      <c r="O34" s="136">
        <f t="shared" ref="O34:O68" si="6">SUM(E34+J34)</f>
        <v>51431.236178492654</v>
      </c>
      <c r="P34" s="37"/>
      <c r="Q34" s="37"/>
    </row>
    <row r="35" spans="1:17" x14ac:dyDescent="0.3">
      <c r="A35" s="37" t="s">
        <v>59</v>
      </c>
      <c r="B35" s="37">
        <v>34</v>
      </c>
      <c r="C35" s="136">
        <v>77462.718767322978</v>
      </c>
      <c r="D35" s="136">
        <f t="shared" si="2"/>
        <v>38344.045789824871</v>
      </c>
      <c r="E35" s="136">
        <f t="shared" si="3"/>
        <v>39118.672977498107</v>
      </c>
      <c r="F35" s="136"/>
      <c r="G35" s="37"/>
      <c r="H35" s="136"/>
      <c r="I35" s="136"/>
      <c r="J35" s="136">
        <f t="shared" si="5"/>
        <v>0</v>
      </c>
      <c r="K35" s="136"/>
      <c r="L35" s="136"/>
      <c r="M35" s="136"/>
      <c r="N35" s="136"/>
      <c r="O35" s="136">
        <f t="shared" si="6"/>
        <v>39118.672977498107</v>
      </c>
      <c r="P35" s="37"/>
      <c r="Q35" s="37"/>
    </row>
    <row r="36" spans="1:17" x14ac:dyDescent="0.3">
      <c r="A36" s="37" t="s">
        <v>60</v>
      </c>
      <c r="B36" s="37">
        <v>35</v>
      </c>
      <c r="C36" s="136">
        <v>750628.54023464408</v>
      </c>
      <c r="D36" s="136">
        <f t="shared" si="2"/>
        <v>371561.12741614884</v>
      </c>
      <c r="E36" s="136">
        <f t="shared" si="3"/>
        <v>379067.41281849524</v>
      </c>
      <c r="F36" s="136">
        <v>0</v>
      </c>
      <c r="G36" s="136">
        <v>61993.772503539549</v>
      </c>
      <c r="H36" s="136"/>
      <c r="I36" s="136"/>
      <c r="J36" s="136">
        <f t="shared" si="5"/>
        <v>61993.772503539549</v>
      </c>
      <c r="K36" s="137"/>
      <c r="L36" s="137"/>
      <c r="M36" s="137"/>
      <c r="N36" s="137"/>
      <c r="O36" s="136">
        <f t="shared" si="6"/>
        <v>441061.18532203481</v>
      </c>
      <c r="P36" s="37"/>
      <c r="Q36" s="37"/>
    </row>
    <row r="37" spans="1:17" x14ac:dyDescent="0.3">
      <c r="A37" s="37" t="s">
        <v>61</v>
      </c>
      <c r="B37" s="37">
        <v>36</v>
      </c>
      <c r="C37" s="136">
        <v>1221051.110409532</v>
      </c>
      <c r="D37" s="136">
        <f t="shared" si="2"/>
        <v>604420.29965271836</v>
      </c>
      <c r="E37" s="136">
        <f t="shared" si="3"/>
        <v>616630.81075681362</v>
      </c>
      <c r="F37" s="136"/>
      <c r="G37" s="37"/>
      <c r="H37" s="136"/>
      <c r="I37" s="136"/>
      <c r="J37" s="136">
        <f t="shared" si="5"/>
        <v>0</v>
      </c>
      <c r="K37" s="136"/>
      <c r="L37" s="136"/>
      <c r="M37" s="136"/>
      <c r="N37" s="136"/>
      <c r="O37" s="136">
        <f t="shared" si="6"/>
        <v>616630.81075681362</v>
      </c>
      <c r="P37" s="37"/>
      <c r="Q37" s="37"/>
    </row>
    <row r="38" spans="1:17" x14ac:dyDescent="0.3">
      <c r="A38" s="37" t="s">
        <v>62</v>
      </c>
      <c r="B38" s="37">
        <v>37</v>
      </c>
      <c r="C38" s="136">
        <v>532930.10406883527</v>
      </c>
      <c r="D38" s="136">
        <f t="shared" si="2"/>
        <v>263800.40151407343</v>
      </c>
      <c r="E38" s="136">
        <f t="shared" si="3"/>
        <v>269129.70255476184</v>
      </c>
      <c r="F38" s="136">
        <v>0</v>
      </c>
      <c r="G38" s="136">
        <v>24714.695961850375</v>
      </c>
      <c r="H38" s="136"/>
      <c r="I38" s="136"/>
      <c r="J38" s="136">
        <f t="shared" si="5"/>
        <v>24714.695961850375</v>
      </c>
      <c r="K38" s="137"/>
      <c r="L38" s="137"/>
      <c r="M38" s="137"/>
      <c r="N38" s="137"/>
      <c r="O38" s="136">
        <f t="shared" si="6"/>
        <v>293844.39851661224</v>
      </c>
      <c r="P38" s="37"/>
      <c r="Q38" s="37"/>
    </row>
    <row r="39" spans="1:17" x14ac:dyDescent="0.3">
      <c r="A39" s="37" t="s">
        <v>63</v>
      </c>
      <c r="B39" s="37">
        <v>38</v>
      </c>
      <c r="C39" s="136">
        <v>324931.084770758</v>
      </c>
      <c r="D39" s="136">
        <f t="shared" si="2"/>
        <v>160840.88696152522</v>
      </c>
      <c r="E39" s="136">
        <f t="shared" si="3"/>
        <v>164090.19780923278</v>
      </c>
      <c r="F39" s="136"/>
      <c r="G39" s="37"/>
      <c r="H39" s="136"/>
      <c r="I39" s="136"/>
      <c r="J39" s="136">
        <f t="shared" si="5"/>
        <v>0</v>
      </c>
      <c r="K39" s="136"/>
      <c r="L39" s="136"/>
      <c r="M39" s="136"/>
      <c r="N39" s="136"/>
      <c r="O39" s="136">
        <f t="shared" si="6"/>
        <v>164090.19780923278</v>
      </c>
      <c r="P39" s="37"/>
      <c r="Q39" s="37"/>
    </row>
    <row r="40" spans="1:17" x14ac:dyDescent="0.3">
      <c r="A40" s="37" t="s">
        <v>64</v>
      </c>
      <c r="B40" s="37">
        <v>39</v>
      </c>
      <c r="C40" s="136">
        <v>1135372.7731524657</v>
      </c>
      <c r="D40" s="136">
        <f t="shared" si="2"/>
        <v>562009.52271047048</v>
      </c>
      <c r="E40" s="136">
        <f t="shared" si="3"/>
        <v>573363.25044199522</v>
      </c>
      <c r="F40" s="136">
        <v>0</v>
      </c>
      <c r="G40" s="136">
        <v>107552.71726946429</v>
      </c>
      <c r="H40" s="136"/>
      <c r="I40" s="136"/>
      <c r="J40" s="136">
        <f t="shared" si="5"/>
        <v>107552.71726946429</v>
      </c>
      <c r="K40" s="137"/>
      <c r="L40" s="137"/>
      <c r="M40" s="137"/>
      <c r="N40" s="137"/>
      <c r="O40" s="136">
        <f t="shared" si="6"/>
        <v>680915.9677114595</v>
      </c>
      <c r="P40" s="37"/>
      <c r="Q40" s="37"/>
    </row>
    <row r="41" spans="1:17" x14ac:dyDescent="0.3">
      <c r="A41" s="37" t="s">
        <v>65</v>
      </c>
      <c r="B41" s="37">
        <v>40</v>
      </c>
      <c r="C41" s="136">
        <v>1768530.3397799649</v>
      </c>
      <c r="D41" s="136">
        <f t="shared" si="2"/>
        <v>875422.51819108264</v>
      </c>
      <c r="E41" s="136">
        <f t="shared" si="3"/>
        <v>893107.82158888225</v>
      </c>
      <c r="F41" s="136">
        <v>0</v>
      </c>
      <c r="G41" s="136">
        <v>93493.165063352062</v>
      </c>
      <c r="H41" s="136"/>
      <c r="I41" s="136"/>
      <c r="J41" s="136">
        <f t="shared" si="5"/>
        <v>93493.165063352062</v>
      </c>
      <c r="K41" s="136"/>
      <c r="L41" s="136"/>
      <c r="M41" s="136"/>
      <c r="N41" s="136"/>
      <c r="O41" s="136">
        <f t="shared" si="6"/>
        <v>986600.98665223434</v>
      </c>
      <c r="P41" s="37"/>
      <c r="Q41" s="37"/>
    </row>
    <row r="42" spans="1:17" x14ac:dyDescent="0.3">
      <c r="A42" s="37" t="s">
        <v>66</v>
      </c>
      <c r="B42" s="37">
        <v>41</v>
      </c>
      <c r="C42" s="136">
        <v>345946.48798417643</v>
      </c>
      <c r="D42" s="136">
        <f t="shared" si="2"/>
        <v>171243.51155216733</v>
      </c>
      <c r="E42" s="136">
        <f t="shared" si="3"/>
        <v>174702.97643200911</v>
      </c>
      <c r="F42" s="136">
        <v>0</v>
      </c>
      <c r="G42" s="136">
        <v>38315.912000000004</v>
      </c>
      <c r="H42" s="136"/>
      <c r="I42" s="136"/>
      <c r="J42" s="136">
        <f t="shared" si="5"/>
        <v>38315.912000000004</v>
      </c>
      <c r="K42" s="137"/>
      <c r="L42" s="137"/>
      <c r="M42" s="137"/>
      <c r="N42" s="137"/>
      <c r="O42" s="136">
        <f t="shared" si="6"/>
        <v>213018.88843200912</v>
      </c>
      <c r="P42" s="37"/>
      <c r="Q42" s="37"/>
    </row>
    <row r="43" spans="1:17" x14ac:dyDescent="0.3">
      <c r="A43" s="37" t="s">
        <v>67</v>
      </c>
      <c r="B43" s="37">
        <v>42</v>
      </c>
      <c r="C43" s="136">
        <v>96994.323602753313</v>
      </c>
      <c r="D43" s="136">
        <f t="shared" si="2"/>
        <v>48012.190183362887</v>
      </c>
      <c r="E43" s="136">
        <f t="shared" si="3"/>
        <v>48982.133419390426</v>
      </c>
      <c r="F43" s="136"/>
      <c r="G43" s="37"/>
      <c r="H43" s="136"/>
      <c r="I43" s="136"/>
      <c r="J43" s="136">
        <f t="shared" si="5"/>
        <v>0</v>
      </c>
      <c r="K43" s="136"/>
      <c r="L43" s="136"/>
      <c r="M43" s="136"/>
      <c r="N43" s="136"/>
      <c r="O43" s="136">
        <f t="shared" si="6"/>
        <v>48982.133419390426</v>
      </c>
      <c r="P43" s="37"/>
      <c r="Q43" s="37"/>
    </row>
    <row r="44" spans="1:17" x14ac:dyDescent="0.3">
      <c r="A44" s="37" t="s">
        <v>68</v>
      </c>
      <c r="B44" s="37">
        <v>43</v>
      </c>
      <c r="C44" s="136">
        <v>501676.37585322099</v>
      </c>
      <c r="D44" s="136">
        <f t="shared" si="2"/>
        <v>248329.80604734438</v>
      </c>
      <c r="E44" s="136">
        <f t="shared" si="3"/>
        <v>253346.56980587661</v>
      </c>
      <c r="F44" s="136">
        <v>0</v>
      </c>
      <c r="G44" s="136">
        <v>38315.912000000004</v>
      </c>
      <c r="H44" s="136"/>
      <c r="I44" s="136"/>
      <c r="J44" s="136">
        <f t="shared" si="5"/>
        <v>38315.912000000004</v>
      </c>
      <c r="K44" s="137"/>
      <c r="L44" s="137"/>
      <c r="M44" s="137"/>
      <c r="N44" s="137"/>
      <c r="O44" s="136">
        <f t="shared" si="6"/>
        <v>291662.4818058766</v>
      </c>
      <c r="P44" s="37"/>
      <c r="Q44" s="37"/>
    </row>
    <row r="45" spans="1:17" x14ac:dyDescent="0.3">
      <c r="A45" s="37" t="s">
        <v>69</v>
      </c>
      <c r="B45" s="37">
        <v>44</v>
      </c>
      <c r="C45" s="136">
        <v>93222.3539750973</v>
      </c>
      <c r="D45" s="136">
        <f t="shared" si="2"/>
        <v>46145.06521767316</v>
      </c>
      <c r="E45" s="136">
        <f t="shared" si="3"/>
        <v>47077.288757424139</v>
      </c>
      <c r="F45" s="136"/>
      <c r="G45" s="37"/>
      <c r="H45" s="136"/>
      <c r="I45" s="136"/>
      <c r="J45" s="136">
        <f t="shared" si="5"/>
        <v>0</v>
      </c>
      <c r="K45" s="136"/>
      <c r="L45" s="136"/>
      <c r="M45" s="136"/>
      <c r="N45" s="136"/>
      <c r="O45" s="136">
        <f t="shared" si="6"/>
        <v>47077.288757424139</v>
      </c>
      <c r="P45" s="37"/>
      <c r="Q45" s="37"/>
    </row>
    <row r="46" spans="1:17" x14ac:dyDescent="0.3">
      <c r="A46" s="37" t="s">
        <v>70</v>
      </c>
      <c r="B46" s="37">
        <v>45</v>
      </c>
      <c r="C46" s="136">
        <v>445635.11987109476</v>
      </c>
      <c r="D46" s="136">
        <f t="shared" si="2"/>
        <v>220589.3843361919</v>
      </c>
      <c r="E46" s="136">
        <f t="shared" si="3"/>
        <v>225045.73553490287</v>
      </c>
      <c r="F46" s="136">
        <v>0</v>
      </c>
      <c r="G46" s="136">
        <v>48334.502465091071</v>
      </c>
      <c r="H46" s="136"/>
      <c r="I46" s="136"/>
      <c r="J46" s="136">
        <f t="shared" si="5"/>
        <v>48334.502465091071</v>
      </c>
      <c r="K46" s="137"/>
      <c r="L46" s="137"/>
      <c r="M46" s="137"/>
      <c r="N46" s="137"/>
      <c r="O46" s="136">
        <f t="shared" si="6"/>
        <v>273380.23799999396</v>
      </c>
      <c r="P46" s="37"/>
      <c r="Q46" s="37"/>
    </row>
    <row r="47" spans="1:17" x14ac:dyDescent="0.3">
      <c r="A47" s="37" t="s">
        <v>71</v>
      </c>
      <c r="B47" s="37">
        <v>46</v>
      </c>
      <c r="C47" s="136">
        <v>2719613.8051319369</v>
      </c>
      <c r="D47" s="136">
        <f t="shared" si="2"/>
        <v>1346208.8335403088</v>
      </c>
      <c r="E47" s="136">
        <f t="shared" si="3"/>
        <v>1373404.9715916282</v>
      </c>
      <c r="F47" s="136"/>
      <c r="G47" s="37"/>
      <c r="H47" s="136"/>
      <c r="I47" s="136"/>
      <c r="J47" s="136">
        <f t="shared" si="5"/>
        <v>0</v>
      </c>
      <c r="K47" s="136"/>
      <c r="L47" s="136"/>
      <c r="M47" s="136"/>
      <c r="N47" s="136"/>
      <c r="O47" s="136">
        <f t="shared" si="6"/>
        <v>1373404.9715916282</v>
      </c>
      <c r="P47" s="37"/>
      <c r="Q47" s="37"/>
    </row>
    <row r="48" spans="1:17" x14ac:dyDescent="0.3">
      <c r="A48" s="37" t="s">
        <v>72</v>
      </c>
      <c r="B48" s="37">
        <v>47</v>
      </c>
      <c r="C48" s="136">
        <v>77462.718767322978</v>
      </c>
      <c r="D48" s="136">
        <f t="shared" si="2"/>
        <v>38344.045789824871</v>
      </c>
      <c r="E48" s="136">
        <f t="shared" si="3"/>
        <v>39118.672977498107</v>
      </c>
      <c r="F48" s="136"/>
      <c r="G48" s="37"/>
      <c r="H48" s="136"/>
      <c r="I48" s="136"/>
      <c r="J48" s="136">
        <f t="shared" si="5"/>
        <v>0</v>
      </c>
      <c r="K48" s="137"/>
      <c r="L48" s="137"/>
      <c r="M48" s="137"/>
      <c r="N48" s="137"/>
      <c r="O48" s="136">
        <f t="shared" si="6"/>
        <v>39118.672977498107</v>
      </c>
      <c r="P48" s="37"/>
      <c r="Q48" s="37"/>
    </row>
    <row r="49" spans="1:17" x14ac:dyDescent="0.3">
      <c r="A49" s="37" t="s">
        <v>73</v>
      </c>
      <c r="B49" s="37">
        <v>48</v>
      </c>
      <c r="C49" s="136">
        <v>908513.75079067075</v>
      </c>
      <c r="D49" s="136">
        <f t="shared" si="2"/>
        <v>449714.30664138199</v>
      </c>
      <c r="E49" s="136">
        <f t="shared" si="3"/>
        <v>458799.44414928876</v>
      </c>
      <c r="F49" s="136"/>
      <c r="G49" s="136">
        <v>89862.772347589605</v>
      </c>
      <c r="H49" s="136"/>
      <c r="I49" s="136"/>
      <c r="J49" s="136">
        <f t="shared" si="5"/>
        <v>89862.772347589605</v>
      </c>
      <c r="K49" s="136"/>
      <c r="L49" s="136"/>
      <c r="M49" s="136"/>
      <c r="N49" s="136"/>
      <c r="O49" s="136">
        <f t="shared" si="6"/>
        <v>548662.2164968783</v>
      </c>
      <c r="P49" s="37"/>
      <c r="Q49" s="37"/>
    </row>
    <row r="50" spans="1:17" x14ac:dyDescent="0.3">
      <c r="A50" s="37" t="s">
        <v>74</v>
      </c>
      <c r="B50" s="37">
        <v>49</v>
      </c>
      <c r="C50" s="136">
        <v>311459.62081265164</v>
      </c>
      <c r="D50" s="136">
        <f t="shared" si="2"/>
        <v>154172.51230226256</v>
      </c>
      <c r="E50" s="136">
        <f t="shared" si="3"/>
        <v>157287.10851038908</v>
      </c>
      <c r="F50" s="136">
        <v>0</v>
      </c>
      <c r="G50" s="136">
        <v>26316.111778967137</v>
      </c>
      <c r="H50" s="136"/>
      <c r="I50" s="136"/>
      <c r="J50" s="136">
        <f t="shared" si="5"/>
        <v>26316.111778967137</v>
      </c>
      <c r="K50" s="137"/>
      <c r="L50" s="137"/>
      <c r="M50" s="137"/>
      <c r="N50" s="137"/>
      <c r="O50" s="136">
        <f t="shared" si="6"/>
        <v>183603.22028935622</v>
      </c>
      <c r="P50" s="37"/>
      <c r="Q50" s="37"/>
    </row>
    <row r="51" spans="1:17" x14ac:dyDescent="0.3">
      <c r="A51" s="37" t="s">
        <v>75</v>
      </c>
      <c r="B51" s="37">
        <v>50</v>
      </c>
      <c r="C51" s="136">
        <v>124476.08219071156</v>
      </c>
      <c r="D51" s="136">
        <f t="shared" si="2"/>
        <v>61615.660684402224</v>
      </c>
      <c r="E51" s="136">
        <f t="shared" si="3"/>
        <v>62860.421506309336</v>
      </c>
      <c r="F51" s="136"/>
      <c r="G51" s="37"/>
      <c r="H51" s="136"/>
      <c r="I51" s="136"/>
      <c r="J51" s="136">
        <f t="shared" si="5"/>
        <v>0</v>
      </c>
      <c r="K51" s="136"/>
      <c r="L51" s="136"/>
      <c r="M51" s="136"/>
      <c r="N51" s="136"/>
      <c r="O51" s="136">
        <f t="shared" si="6"/>
        <v>62860.421506309336</v>
      </c>
      <c r="P51" s="37"/>
      <c r="Q51" s="37"/>
    </row>
    <row r="52" spans="1:17" x14ac:dyDescent="0.3">
      <c r="A52" s="37" t="s">
        <v>76</v>
      </c>
      <c r="B52" s="37">
        <v>51</v>
      </c>
      <c r="C52" s="136">
        <v>12472395.824300386</v>
      </c>
      <c r="D52" s="136">
        <f t="shared" si="2"/>
        <v>6173835.9330286914</v>
      </c>
      <c r="E52" s="136">
        <f t="shared" si="3"/>
        <v>6298559.8912716946</v>
      </c>
      <c r="F52" s="136">
        <v>0</v>
      </c>
      <c r="G52" s="136">
        <v>460524.63389715098</v>
      </c>
      <c r="H52" s="153">
        <v>0</v>
      </c>
      <c r="I52" s="136">
        <v>1005792.69</v>
      </c>
      <c r="J52" s="136">
        <f>+F52+G52+H52+I52</f>
        <v>1466317.3238971508</v>
      </c>
      <c r="K52" s="137"/>
      <c r="L52" s="137"/>
      <c r="M52" s="137"/>
      <c r="N52" s="137"/>
      <c r="O52" s="136">
        <f t="shared" si="6"/>
        <v>7764877.2151688449</v>
      </c>
      <c r="P52" s="37"/>
      <c r="Q52" s="37"/>
    </row>
    <row r="53" spans="1:17" x14ac:dyDescent="0.3">
      <c r="A53" s="37" t="s">
        <v>77</v>
      </c>
      <c r="B53" s="37">
        <v>52</v>
      </c>
      <c r="C53" s="136">
        <v>152496.67145041531</v>
      </c>
      <c r="D53" s="136">
        <f t="shared" si="2"/>
        <v>75485.85236795558</v>
      </c>
      <c r="E53" s="136">
        <f t="shared" si="3"/>
        <v>77010.819082459726</v>
      </c>
      <c r="F53" s="136">
        <v>0</v>
      </c>
      <c r="G53" s="136">
        <v>19157.956000000002</v>
      </c>
      <c r="H53" s="136"/>
      <c r="I53" s="136"/>
      <c r="J53" s="136">
        <f t="shared" ref="J53:J68" si="7">+F53+G53</f>
        <v>19157.956000000002</v>
      </c>
      <c r="K53" s="136"/>
      <c r="L53" s="136"/>
      <c r="M53" s="136"/>
      <c r="N53" s="136"/>
      <c r="O53" s="136">
        <f t="shared" si="6"/>
        <v>96168.775082459731</v>
      </c>
      <c r="P53" s="37"/>
      <c r="Q53" s="37"/>
    </row>
    <row r="54" spans="1:17" x14ac:dyDescent="0.3">
      <c r="A54" s="37" t="s">
        <v>78</v>
      </c>
      <c r="B54" s="37">
        <v>53</v>
      </c>
      <c r="C54" s="136">
        <v>77462.718767322978</v>
      </c>
      <c r="D54" s="136">
        <f t="shared" si="2"/>
        <v>38344.045789824871</v>
      </c>
      <c r="E54" s="136">
        <f t="shared" si="3"/>
        <v>39118.672977498107</v>
      </c>
      <c r="F54" s="136"/>
      <c r="G54" s="37"/>
      <c r="H54" s="136"/>
      <c r="I54" s="136"/>
      <c r="J54" s="136">
        <f t="shared" si="7"/>
        <v>0</v>
      </c>
      <c r="K54" s="137"/>
      <c r="L54" s="137"/>
      <c r="M54" s="137"/>
      <c r="N54" s="137"/>
      <c r="O54" s="136">
        <f t="shared" si="6"/>
        <v>39118.672977498107</v>
      </c>
      <c r="P54" s="37"/>
      <c r="Q54" s="37"/>
    </row>
    <row r="55" spans="1:17" x14ac:dyDescent="0.3">
      <c r="A55" s="37" t="s">
        <v>79</v>
      </c>
      <c r="B55" s="37">
        <v>54</v>
      </c>
      <c r="C55" s="136">
        <v>531313.53459088004</v>
      </c>
      <c r="D55" s="136">
        <f t="shared" si="2"/>
        <v>263000.19962248561</v>
      </c>
      <c r="E55" s="136">
        <f t="shared" si="3"/>
        <v>268313.33496839443</v>
      </c>
      <c r="F55" s="136">
        <v>0</v>
      </c>
      <c r="G55" s="136">
        <v>41076.014205260071</v>
      </c>
      <c r="H55" s="136"/>
      <c r="I55" s="136"/>
      <c r="J55" s="136">
        <f t="shared" si="7"/>
        <v>41076.014205260071</v>
      </c>
      <c r="K55" s="136"/>
      <c r="L55" s="136"/>
      <c r="M55" s="136"/>
      <c r="N55" s="136"/>
      <c r="O55" s="136">
        <f t="shared" si="6"/>
        <v>309389.34917365451</v>
      </c>
      <c r="P55" s="37"/>
      <c r="Q55" s="37"/>
    </row>
    <row r="56" spans="1:17" x14ac:dyDescent="0.3">
      <c r="A56" s="37" t="s">
        <v>80</v>
      </c>
      <c r="B56" s="37">
        <v>55</v>
      </c>
      <c r="C56" s="136">
        <v>77462.718767322978</v>
      </c>
      <c r="D56" s="136">
        <f t="shared" si="2"/>
        <v>38344.045789824871</v>
      </c>
      <c r="E56" s="136">
        <f t="shared" si="3"/>
        <v>39118.672977498107</v>
      </c>
      <c r="F56" s="136"/>
      <c r="G56" s="37"/>
      <c r="H56" s="136"/>
      <c r="I56" s="136"/>
      <c r="J56" s="136">
        <f t="shared" si="7"/>
        <v>0</v>
      </c>
      <c r="K56" s="137"/>
      <c r="L56" s="137"/>
      <c r="M56" s="137"/>
      <c r="N56" s="137"/>
      <c r="O56" s="136">
        <f t="shared" si="6"/>
        <v>39118.672977498107</v>
      </c>
      <c r="P56" s="37"/>
      <c r="Q56" s="37"/>
    </row>
    <row r="57" spans="1:17" x14ac:dyDescent="0.3">
      <c r="A57" s="37" t="s">
        <v>81</v>
      </c>
      <c r="B57" s="37">
        <v>56</v>
      </c>
      <c r="C57" s="136">
        <v>229014.42251149568</v>
      </c>
      <c r="D57" s="136">
        <f t="shared" si="2"/>
        <v>113362.13914319036</v>
      </c>
      <c r="E57" s="136">
        <f t="shared" si="3"/>
        <v>115652.28336830532</v>
      </c>
      <c r="F57" s="136"/>
      <c r="G57" s="37"/>
      <c r="H57" s="136"/>
      <c r="I57" s="136"/>
      <c r="J57" s="136">
        <f t="shared" si="7"/>
        <v>0</v>
      </c>
      <c r="K57" s="136"/>
      <c r="L57" s="136"/>
      <c r="M57" s="136"/>
      <c r="N57" s="136"/>
      <c r="O57" s="136">
        <f t="shared" si="6"/>
        <v>115652.28336830532</v>
      </c>
      <c r="P57" s="37"/>
      <c r="Q57" s="37"/>
    </row>
    <row r="58" spans="1:17" x14ac:dyDescent="0.3">
      <c r="A58" s="37" t="s">
        <v>82</v>
      </c>
      <c r="B58" s="37">
        <v>57</v>
      </c>
      <c r="C58" s="136">
        <v>77462.718767322978</v>
      </c>
      <c r="D58" s="136">
        <f t="shared" si="2"/>
        <v>38344.045789824871</v>
      </c>
      <c r="E58" s="136">
        <f t="shared" si="3"/>
        <v>39118.672977498107</v>
      </c>
      <c r="F58" s="136"/>
      <c r="G58" s="37"/>
      <c r="H58" s="136"/>
      <c r="I58" s="136"/>
      <c r="J58" s="136">
        <f t="shared" si="7"/>
        <v>0</v>
      </c>
      <c r="K58" s="137"/>
      <c r="L58" s="137"/>
      <c r="M58" s="137"/>
      <c r="N58" s="137"/>
      <c r="O58" s="136">
        <f t="shared" si="6"/>
        <v>39118.672977498107</v>
      </c>
      <c r="P58" s="37"/>
      <c r="Q58" s="37"/>
    </row>
    <row r="59" spans="1:17" x14ac:dyDescent="0.3">
      <c r="A59" s="37" t="s">
        <v>83</v>
      </c>
      <c r="B59" s="37">
        <v>58</v>
      </c>
      <c r="C59" s="136">
        <v>89450.384347441272</v>
      </c>
      <c r="D59" s="136">
        <f t="shared" si="2"/>
        <v>44277.940251983426</v>
      </c>
      <c r="E59" s="136">
        <f t="shared" si="3"/>
        <v>45172.444095457846</v>
      </c>
      <c r="F59" s="136"/>
      <c r="G59" s="37"/>
      <c r="H59" s="136"/>
      <c r="I59" s="136"/>
      <c r="J59" s="136">
        <f t="shared" si="7"/>
        <v>0</v>
      </c>
      <c r="K59" s="136"/>
      <c r="L59" s="136"/>
      <c r="M59" s="136"/>
      <c r="N59" s="136"/>
      <c r="O59" s="136">
        <f t="shared" si="6"/>
        <v>45172.444095457846</v>
      </c>
      <c r="P59" s="37"/>
      <c r="Q59" s="37"/>
    </row>
    <row r="60" spans="1:17" x14ac:dyDescent="0.3">
      <c r="A60" s="37" t="s">
        <v>84</v>
      </c>
      <c r="B60" s="37">
        <v>59</v>
      </c>
      <c r="C60" s="136">
        <v>80289.798151455194</v>
      </c>
      <c r="D60" s="136">
        <f t="shared" si="2"/>
        <v>39743.450084970318</v>
      </c>
      <c r="E60" s="136">
        <f t="shared" si="3"/>
        <v>40546.348066484876</v>
      </c>
      <c r="F60" s="136">
        <v>0</v>
      </c>
      <c r="G60" s="136">
        <v>11785.926522065163</v>
      </c>
      <c r="H60" s="136"/>
      <c r="I60" s="136"/>
      <c r="J60" s="136">
        <f t="shared" si="7"/>
        <v>11785.926522065163</v>
      </c>
      <c r="K60" s="137"/>
      <c r="L60" s="137"/>
      <c r="M60" s="137"/>
      <c r="N60" s="137"/>
      <c r="O60" s="136">
        <f t="shared" si="6"/>
        <v>52332.274588550041</v>
      </c>
      <c r="P60" s="37"/>
      <c r="Q60" s="37"/>
    </row>
    <row r="61" spans="1:17" x14ac:dyDescent="0.3">
      <c r="A61" s="37" t="s">
        <v>85</v>
      </c>
      <c r="B61" s="37">
        <v>60</v>
      </c>
      <c r="C61" s="136">
        <v>77462.718767322978</v>
      </c>
      <c r="D61" s="136">
        <f t="shared" si="2"/>
        <v>38344.045789824871</v>
      </c>
      <c r="E61" s="136">
        <f t="shared" si="3"/>
        <v>39118.672977498107</v>
      </c>
      <c r="F61" s="136"/>
      <c r="G61" s="136"/>
      <c r="H61" s="136"/>
      <c r="I61" s="136"/>
      <c r="J61" s="136">
        <f t="shared" si="7"/>
        <v>0</v>
      </c>
      <c r="K61" s="136"/>
      <c r="L61" s="136"/>
      <c r="M61" s="136"/>
      <c r="N61" s="136"/>
      <c r="O61" s="136">
        <f t="shared" si="6"/>
        <v>39118.672977498107</v>
      </c>
      <c r="P61" s="37"/>
      <c r="Q61" s="37"/>
    </row>
    <row r="62" spans="1:17" x14ac:dyDescent="0.3">
      <c r="A62" s="37" t="s">
        <v>86</v>
      </c>
      <c r="B62" s="37">
        <v>61</v>
      </c>
      <c r="C62" s="136">
        <v>181056.09138186453</v>
      </c>
      <c r="D62" s="136">
        <f t="shared" si="2"/>
        <v>89622.76523402294</v>
      </c>
      <c r="E62" s="136">
        <f t="shared" si="3"/>
        <v>91433.326147841595</v>
      </c>
      <c r="F62" s="136"/>
      <c r="G62" s="136"/>
      <c r="H62" s="136"/>
      <c r="I62" s="136"/>
      <c r="J62" s="136">
        <f t="shared" si="7"/>
        <v>0</v>
      </c>
      <c r="K62" s="137"/>
      <c r="L62" s="137"/>
      <c r="M62" s="137"/>
      <c r="N62" s="137"/>
      <c r="O62" s="136">
        <f t="shared" si="6"/>
        <v>91433.326147841595</v>
      </c>
      <c r="P62" s="37"/>
      <c r="Q62" s="37"/>
    </row>
    <row r="63" spans="1:17" x14ac:dyDescent="0.3">
      <c r="A63" s="37" t="s">
        <v>87</v>
      </c>
      <c r="B63" s="37">
        <v>62</v>
      </c>
      <c r="C63" s="136">
        <v>77462.718767322978</v>
      </c>
      <c r="D63" s="136">
        <f t="shared" si="2"/>
        <v>38344.045789824871</v>
      </c>
      <c r="E63" s="136">
        <f t="shared" si="3"/>
        <v>39118.672977498107</v>
      </c>
      <c r="F63" s="136"/>
      <c r="G63" s="136"/>
      <c r="H63" s="136"/>
      <c r="I63" s="136"/>
      <c r="J63" s="136">
        <f t="shared" si="7"/>
        <v>0</v>
      </c>
      <c r="K63" s="136"/>
      <c r="L63" s="136"/>
      <c r="M63" s="136"/>
      <c r="N63" s="136"/>
      <c r="O63" s="136">
        <f t="shared" si="6"/>
        <v>39118.672977498107</v>
      </c>
      <c r="P63" s="37"/>
      <c r="Q63" s="37"/>
    </row>
    <row r="64" spans="1:17" x14ac:dyDescent="0.3">
      <c r="A64" s="37" t="s">
        <v>88</v>
      </c>
      <c r="B64" s="37">
        <v>63</v>
      </c>
      <c r="C64" s="136">
        <v>887498.34757725231</v>
      </c>
      <c r="D64" s="136">
        <f t="shared" si="2"/>
        <v>439311.68205073988</v>
      </c>
      <c r="E64" s="136">
        <f t="shared" si="3"/>
        <v>448186.66552651243</v>
      </c>
      <c r="F64" s="136">
        <v>0</v>
      </c>
      <c r="G64" s="136">
        <v>60113.82</v>
      </c>
      <c r="H64" s="136"/>
      <c r="I64" s="136"/>
      <c r="J64" s="136">
        <f t="shared" si="7"/>
        <v>60113.82</v>
      </c>
      <c r="K64" s="137"/>
      <c r="L64" s="137"/>
      <c r="M64" s="137"/>
      <c r="N64" s="137"/>
      <c r="O64" s="136">
        <f t="shared" si="6"/>
        <v>508300.48552651244</v>
      </c>
      <c r="P64" s="37"/>
      <c r="Q64" s="37"/>
    </row>
    <row r="65" spans="1:17" x14ac:dyDescent="0.3">
      <c r="A65" s="37" t="s">
        <v>89</v>
      </c>
      <c r="B65" s="37">
        <v>64</v>
      </c>
      <c r="C65" s="136">
        <v>169740.10503617767</v>
      </c>
      <c r="D65" s="136">
        <f t="shared" si="2"/>
        <v>84021.351992907948</v>
      </c>
      <c r="E65" s="136">
        <f t="shared" si="3"/>
        <v>85718.753043269724</v>
      </c>
      <c r="F65" s="136"/>
      <c r="G65" s="136"/>
      <c r="H65" s="136"/>
      <c r="I65" s="136"/>
      <c r="J65" s="136">
        <f t="shared" si="7"/>
        <v>0</v>
      </c>
      <c r="K65" s="136"/>
      <c r="L65" s="136"/>
      <c r="M65" s="136"/>
      <c r="N65" s="136"/>
      <c r="O65" s="136">
        <f t="shared" si="6"/>
        <v>85718.753043269724</v>
      </c>
      <c r="P65" s="37"/>
      <c r="Q65" s="37"/>
    </row>
    <row r="66" spans="1:17" x14ac:dyDescent="0.3">
      <c r="A66" s="37" t="s">
        <v>90</v>
      </c>
      <c r="B66" s="37">
        <v>65</v>
      </c>
      <c r="C66" s="136">
        <v>1738893.1810423059</v>
      </c>
      <c r="D66" s="136">
        <f t="shared" si="2"/>
        <v>860752.12461594143</v>
      </c>
      <c r="E66" s="136">
        <f t="shared" si="3"/>
        <v>878141.05642636446</v>
      </c>
      <c r="F66" s="136">
        <v>0</v>
      </c>
      <c r="G66" s="136">
        <v>101840.23</v>
      </c>
      <c r="H66" s="136"/>
      <c r="I66" s="136"/>
      <c r="J66" s="136">
        <f t="shared" si="7"/>
        <v>101840.23</v>
      </c>
      <c r="K66" s="137"/>
      <c r="L66" s="137"/>
      <c r="M66" s="137"/>
      <c r="N66" s="137"/>
      <c r="O66" s="136">
        <f t="shared" si="6"/>
        <v>979981.28642636444</v>
      </c>
      <c r="P66" s="37"/>
      <c r="Q66" s="37"/>
    </row>
    <row r="67" spans="1:17" x14ac:dyDescent="0.3">
      <c r="A67" s="37" t="s">
        <v>91</v>
      </c>
      <c r="B67" s="37">
        <v>66</v>
      </c>
      <c r="C67" s="136">
        <v>109926.95688911418</v>
      </c>
      <c r="D67" s="136">
        <f t="shared" ref="D67:D68" si="8">+C67*0.495</f>
        <v>54413.843660111517</v>
      </c>
      <c r="E67" s="136">
        <f t="shared" ref="E67:E68" si="9">+C67-D67</f>
        <v>55513.113229002665</v>
      </c>
      <c r="F67" s="136">
        <v>0</v>
      </c>
      <c r="G67" s="136">
        <v>9578.98</v>
      </c>
      <c r="H67" s="136"/>
      <c r="I67" s="136"/>
      <c r="J67" s="136">
        <f t="shared" si="7"/>
        <v>9578.98</v>
      </c>
      <c r="K67" s="136"/>
      <c r="L67" s="136"/>
      <c r="M67" s="136"/>
      <c r="N67" s="136"/>
      <c r="O67" s="136">
        <f t="shared" si="6"/>
        <v>65092.093229002669</v>
      </c>
      <c r="P67" s="37"/>
      <c r="Q67" s="37"/>
    </row>
    <row r="68" spans="1:17" x14ac:dyDescent="0.3">
      <c r="A68" s="37" t="s">
        <v>92</v>
      </c>
      <c r="B68" s="37">
        <v>67</v>
      </c>
      <c r="C68" s="136">
        <v>1385402.6763400985</v>
      </c>
      <c r="D68" s="136">
        <f t="shared" si="8"/>
        <v>685774.32478834875</v>
      </c>
      <c r="E68" s="136">
        <f t="shared" si="9"/>
        <v>699628.35155174974</v>
      </c>
      <c r="F68" s="136">
        <v>0</v>
      </c>
      <c r="G68" s="136">
        <v>131064.56</v>
      </c>
      <c r="H68" s="37"/>
      <c r="I68" s="136"/>
      <c r="J68" s="136">
        <f t="shared" si="7"/>
        <v>131064.56</v>
      </c>
      <c r="K68" s="137"/>
      <c r="L68" s="137"/>
      <c r="M68" s="137"/>
      <c r="N68" s="137"/>
      <c r="O68" s="136">
        <f t="shared" si="6"/>
        <v>830692.9115517498</v>
      </c>
      <c r="P68" s="37"/>
      <c r="Q68" s="37"/>
    </row>
    <row r="69" spans="1:17" x14ac:dyDescent="0.3">
      <c r="A69" s="139" t="s">
        <v>362</v>
      </c>
      <c r="B69" s="139"/>
      <c r="C69" s="63">
        <f>SUM(C2:C68)</f>
        <v>54223231.690279804</v>
      </c>
      <c r="D69" s="63">
        <f>SUM(D2:D68)</f>
        <v>26840499.686688513</v>
      </c>
      <c r="E69" s="63">
        <f>SUM(E2:E68)</f>
        <v>27382732.003591318</v>
      </c>
      <c r="F69" s="63">
        <f>SUM(F2:F68)</f>
        <v>0</v>
      </c>
      <c r="G69" s="136">
        <f>SUM(G2:G68)</f>
        <v>2842615.9411807763</v>
      </c>
      <c r="H69" s="136">
        <f>SUM(H2:H67)</f>
        <v>0</v>
      </c>
      <c r="I69" s="63">
        <f t="shared" ref="I69:O69" si="10">SUM(I2:I68)</f>
        <v>1436846.7</v>
      </c>
      <c r="J69" s="63">
        <f t="shared" si="10"/>
        <v>4279462.6411807761</v>
      </c>
      <c r="K69" s="63">
        <f t="shared" si="10"/>
        <v>0</v>
      </c>
      <c r="L69" s="63">
        <f t="shared" si="10"/>
        <v>0</v>
      </c>
      <c r="M69" s="63">
        <f t="shared" si="10"/>
        <v>0</v>
      </c>
      <c r="N69" s="63">
        <f t="shared" si="10"/>
        <v>0</v>
      </c>
      <c r="O69" s="63">
        <f t="shared" si="10"/>
        <v>31662194.64477209</v>
      </c>
      <c r="P69" s="37"/>
      <c r="Q69" s="37"/>
    </row>
    <row r="70" spans="1:17" x14ac:dyDescent="0.3">
      <c r="A70" s="139"/>
      <c r="B70" s="139"/>
      <c r="C70" s="63"/>
      <c r="D70" s="63"/>
      <c r="E70" s="63"/>
      <c r="F70" s="63"/>
      <c r="G70" s="63"/>
      <c r="H70" s="63"/>
      <c r="I70" s="63"/>
      <c r="J70" s="63"/>
      <c r="K70" s="63"/>
      <c r="L70" s="63"/>
      <c r="M70" s="63"/>
      <c r="N70" s="63"/>
      <c r="O70" s="63"/>
      <c r="P70" s="37"/>
      <c r="Q70" s="37"/>
    </row>
    <row r="71" spans="1:17" x14ac:dyDescent="0.3">
      <c r="A71" s="139"/>
      <c r="B71" s="139"/>
      <c r="C71" s="63"/>
      <c r="D71" s="63"/>
      <c r="E71" s="63"/>
      <c r="F71" s="63"/>
      <c r="G71" s="63"/>
      <c r="H71" s="63"/>
      <c r="I71" s="63"/>
      <c r="J71" s="63"/>
      <c r="K71" s="63"/>
      <c r="L71" s="63"/>
      <c r="M71" s="63"/>
      <c r="N71" s="63"/>
      <c r="O71" s="63"/>
      <c r="P71" s="37"/>
      <c r="Q71" s="37"/>
    </row>
    <row r="72" spans="1:17" x14ac:dyDescent="0.3">
      <c r="A72" s="37"/>
      <c r="B72" s="37"/>
      <c r="C72" s="37"/>
      <c r="D72" s="37"/>
      <c r="E72" s="37"/>
      <c r="F72" s="37"/>
      <c r="G72" s="37"/>
      <c r="H72" s="37"/>
      <c r="I72" s="37"/>
      <c r="J72" s="37"/>
      <c r="K72" s="37"/>
      <c r="L72" s="37"/>
      <c r="M72" s="37"/>
      <c r="N72" s="37"/>
      <c r="O72" s="37"/>
      <c r="P72" s="37"/>
      <c r="Q72" s="37"/>
    </row>
    <row r="73" spans="1:17" ht="28.8" x14ac:dyDescent="0.3">
      <c r="A73" s="131" t="s">
        <v>387</v>
      </c>
      <c r="B73" s="131" t="s">
        <v>355</v>
      </c>
      <c r="C73" s="131" t="s">
        <v>380</v>
      </c>
      <c r="D73" s="131" t="s">
        <v>379</v>
      </c>
      <c r="E73" s="131"/>
      <c r="F73" s="133" t="s">
        <v>386</v>
      </c>
      <c r="G73" s="131"/>
      <c r="H73" s="131"/>
      <c r="I73" s="131" t="s">
        <v>385</v>
      </c>
      <c r="J73" s="131"/>
      <c r="K73" s="135"/>
      <c r="L73" s="131" t="s">
        <v>383</v>
      </c>
      <c r="M73" s="37"/>
      <c r="N73" s="135" t="s">
        <v>384</v>
      </c>
      <c r="O73" s="131" t="s">
        <v>383</v>
      </c>
      <c r="P73" s="37"/>
      <c r="Q73" s="37"/>
    </row>
    <row r="74" spans="1:17" x14ac:dyDescent="0.3">
      <c r="A74" s="37" t="s">
        <v>248</v>
      </c>
      <c r="B74" s="37">
        <v>68</v>
      </c>
      <c r="C74" s="136">
        <v>0</v>
      </c>
      <c r="D74" s="136">
        <v>161349.80047802409</v>
      </c>
      <c r="E74" s="136"/>
      <c r="F74" s="136">
        <f t="shared" ref="F74:F83" si="11">+C74+D74</f>
        <v>161349.80047802409</v>
      </c>
      <c r="G74" s="136"/>
      <c r="H74" s="136"/>
      <c r="I74" s="136"/>
      <c r="J74" s="136"/>
      <c r="K74" s="137"/>
      <c r="L74" s="137"/>
      <c r="M74" s="140">
        <f t="shared" ref="M74:M83" si="12">SUM(F74+I74+J74+L74)</f>
        <v>161349.80047802409</v>
      </c>
      <c r="N74" s="37"/>
      <c r="O74" s="136">
        <f t="shared" ref="O74:O83" si="13">F74</f>
        <v>161349.80047802409</v>
      </c>
      <c r="P74" s="37"/>
      <c r="Q74" s="37"/>
    </row>
    <row r="75" spans="1:17" x14ac:dyDescent="0.3">
      <c r="A75" s="37" t="s">
        <v>249</v>
      </c>
      <c r="B75" s="37">
        <v>69</v>
      </c>
      <c r="C75" s="136">
        <v>0</v>
      </c>
      <c r="D75" s="136">
        <v>143953.49601993797</v>
      </c>
      <c r="E75" s="136"/>
      <c r="F75" s="136">
        <f t="shared" si="11"/>
        <v>143953.49601993797</v>
      </c>
      <c r="G75" s="136"/>
      <c r="H75" s="136"/>
      <c r="I75" s="136"/>
      <c r="J75" s="136"/>
      <c r="K75" s="136"/>
      <c r="L75" s="136"/>
      <c r="M75" s="140">
        <f t="shared" si="12"/>
        <v>143953.49601993797</v>
      </c>
      <c r="N75" s="37"/>
      <c r="O75" s="136">
        <f t="shared" si="13"/>
        <v>143953.49601993797</v>
      </c>
      <c r="P75" s="37"/>
      <c r="Q75" s="37"/>
    </row>
    <row r="76" spans="1:17" x14ac:dyDescent="0.3">
      <c r="A76" s="37" t="s">
        <v>250</v>
      </c>
      <c r="B76" s="37">
        <v>70</v>
      </c>
      <c r="C76" s="136">
        <v>0</v>
      </c>
      <c r="D76" s="136">
        <v>93474.5654044275</v>
      </c>
      <c r="E76" s="136"/>
      <c r="F76" s="136">
        <f t="shared" si="11"/>
        <v>93474.5654044275</v>
      </c>
      <c r="G76" s="136"/>
      <c r="H76" s="136"/>
      <c r="I76" s="136"/>
      <c r="J76" s="136"/>
      <c r="K76" s="137"/>
      <c r="L76" s="137"/>
      <c r="M76" s="140">
        <f t="shared" si="12"/>
        <v>93474.5654044275</v>
      </c>
      <c r="N76" s="37"/>
      <c r="O76" s="136">
        <f t="shared" si="13"/>
        <v>93474.5654044275</v>
      </c>
      <c r="P76" s="37"/>
      <c r="Q76" s="37"/>
    </row>
    <row r="77" spans="1:17" x14ac:dyDescent="0.3">
      <c r="A77" s="37" t="s">
        <v>251</v>
      </c>
      <c r="B77" s="37">
        <v>71</v>
      </c>
      <c r="C77" s="136">
        <v>0</v>
      </c>
      <c r="D77" s="136">
        <v>88509.825620053161</v>
      </c>
      <c r="E77" s="136"/>
      <c r="F77" s="136">
        <f t="shared" si="11"/>
        <v>88509.825620053161</v>
      </c>
      <c r="G77" s="136"/>
      <c r="H77" s="136"/>
      <c r="I77" s="136"/>
      <c r="J77" s="136"/>
      <c r="K77" s="136"/>
      <c r="L77" s="136"/>
      <c r="M77" s="140">
        <f t="shared" si="12"/>
        <v>88509.825620053161</v>
      </c>
      <c r="N77" s="37"/>
      <c r="O77" s="136">
        <f t="shared" si="13"/>
        <v>88509.825620053161</v>
      </c>
      <c r="P77" s="37"/>
      <c r="Q77" s="37"/>
    </row>
    <row r="78" spans="1:17" x14ac:dyDescent="0.3">
      <c r="A78" s="37" t="s">
        <v>382</v>
      </c>
      <c r="B78" s="37">
        <v>72</v>
      </c>
      <c r="C78" s="136">
        <v>0</v>
      </c>
      <c r="D78" s="136">
        <v>67599.7212140435</v>
      </c>
      <c r="E78" s="136"/>
      <c r="F78" s="136">
        <f t="shared" si="11"/>
        <v>67599.7212140435</v>
      </c>
      <c r="G78" s="136"/>
      <c r="H78" s="136"/>
      <c r="I78" s="141"/>
      <c r="J78" s="136"/>
      <c r="K78" s="137"/>
      <c r="L78" s="137"/>
      <c r="M78" s="140">
        <f t="shared" si="12"/>
        <v>67599.7212140435</v>
      </c>
      <c r="N78" s="37"/>
      <c r="O78" s="136">
        <f t="shared" si="13"/>
        <v>67599.7212140435</v>
      </c>
      <c r="P78" s="37"/>
      <c r="Q78" s="37"/>
    </row>
    <row r="79" spans="1:17" x14ac:dyDescent="0.3">
      <c r="A79" s="37" t="s">
        <v>252</v>
      </c>
      <c r="B79" s="37">
        <v>73</v>
      </c>
      <c r="C79" s="136">
        <v>0</v>
      </c>
      <c r="D79" s="136">
        <v>133368.17367681835</v>
      </c>
      <c r="E79" s="136"/>
      <c r="F79" s="136">
        <f t="shared" si="11"/>
        <v>133368.17367681835</v>
      </c>
      <c r="G79" s="136"/>
      <c r="H79" s="136"/>
      <c r="I79" s="136"/>
      <c r="J79" s="136"/>
      <c r="K79" s="136"/>
      <c r="L79" s="136"/>
      <c r="M79" s="140">
        <f t="shared" si="12"/>
        <v>133368.17367681835</v>
      </c>
      <c r="N79" s="37"/>
      <c r="O79" s="136">
        <f t="shared" si="13"/>
        <v>133368.17367681835</v>
      </c>
      <c r="P79" s="37"/>
      <c r="Q79" s="37"/>
    </row>
    <row r="80" spans="1:17" x14ac:dyDescent="0.3">
      <c r="A80" s="37" t="s">
        <v>253</v>
      </c>
      <c r="B80" s="37">
        <v>74</v>
      </c>
      <c r="C80" s="136">
        <v>0</v>
      </c>
      <c r="D80" s="136">
        <v>78100.193274329737</v>
      </c>
      <c r="E80" s="136"/>
      <c r="F80" s="136">
        <f t="shared" si="11"/>
        <v>78100.193274329737</v>
      </c>
      <c r="G80" s="136"/>
      <c r="H80" s="136"/>
      <c r="I80" s="136"/>
      <c r="J80" s="136"/>
      <c r="K80" s="137"/>
      <c r="L80" s="137"/>
      <c r="M80" s="140">
        <f t="shared" si="12"/>
        <v>78100.193274329737</v>
      </c>
      <c r="N80" s="37"/>
      <c r="O80" s="136">
        <f t="shared" si="13"/>
        <v>78100.193274329737</v>
      </c>
      <c r="P80" s="37"/>
      <c r="Q80" s="37"/>
    </row>
    <row r="81" spans="1:22" x14ac:dyDescent="0.3">
      <c r="A81" s="37" t="s">
        <v>254</v>
      </c>
      <c r="B81" s="37">
        <v>75</v>
      </c>
      <c r="C81" s="136">
        <v>0</v>
      </c>
      <c r="D81" s="136">
        <v>71474.384423664291</v>
      </c>
      <c r="E81" s="136"/>
      <c r="F81" s="136">
        <f t="shared" si="11"/>
        <v>71474.384423664291</v>
      </c>
      <c r="G81" s="136"/>
      <c r="H81" s="136"/>
      <c r="I81" s="136"/>
      <c r="J81" s="136"/>
      <c r="K81" s="136"/>
      <c r="L81" s="136"/>
      <c r="M81" s="140">
        <f t="shared" si="12"/>
        <v>71474.384423664291</v>
      </c>
      <c r="N81" s="37"/>
      <c r="O81" s="136">
        <f t="shared" si="13"/>
        <v>71474.384423664291</v>
      </c>
      <c r="P81" s="37"/>
      <c r="Q81" s="37"/>
    </row>
    <row r="82" spans="1:22" x14ac:dyDescent="0.3">
      <c r="A82" s="37" t="s">
        <v>255</v>
      </c>
      <c r="B82" s="37">
        <v>76</v>
      </c>
      <c r="C82" s="136">
        <v>0</v>
      </c>
      <c r="D82" s="136">
        <v>107023.65821498603</v>
      </c>
      <c r="E82" s="136"/>
      <c r="F82" s="136">
        <f t="shared" si="11"/>
        <v>107023.65821498603</v>
      </c>
      <c r="G82" s="136"/>
      <c r="H82" s="136"/>
      <c r="I82" s="136"/>
      <c r="J82" s="136"/>
      <c r="K82" s="137"/>
      <c r="L82" s="137"/>
      <c r="M82" s="140">
        <f t="shared" si="12"/>
        <v>107023.65821498603</v>
      </c>
      <c r="N82" s="37"/>
      <c r="O82" s="136">
        <f t="shared" si="13"/>
        <v>107023.65821498603</v>
      </c>
      <c r="P82" s="37"/>
      <c r="Q82" s="37"/>
    </row>
    <row r="83" spans="1:22" x14ac:dyDescent="0.3">
      <c r="A83" s="37" t="s">
        <v>256</v>
      </c>
      <c r="B83" s="37">
        <v>77</v>
      </c>
      <c r="C83" s="136">
        <v>0</v>
      </c>
      <c r="D83" s="136">
        <v>20105.024957714129</v>
      </c>
      <c r="E83" s="136"/>
      <c r="F83" s="136">
        <f t="shared" si="11"/>
        <v>20105.024957714129</v>
      </c>
      <c r="G83" s="136"/>
      <c r="H83" s="136"/>
      <c r="I83" s="136"/>
      <c r="J83" s="136"/>
      <c r="K83" s="136"/>
      <c r="L83" s="136"/>
      <c r="M83" s="140">
        <f t="shared" si="12"/>
        <v>20105.024957714129</v>
      </c>
      <c r="N83" s="37"/>
      <c r="O83" s="136">
        <f t="shared" si="13"/>
        <v>20105.024957714129</v>
      </c>
      <c r="P83" s="37"/>
      <c r="Q83" s="37"/>
    </row>
    <row r="84" spans="1:22" x14ac:dyDescent="0.3">
      <c r="A84" s="139" t="s">
        <v>362</v>
      </c>
      <c r="B84" s="139"/>
      <c r="C84" s="63">
        <f>SUM(C74:C83)</f>
        <v>0</v>
      </c>
      <c r="D84" s="63">
        <f>SUM(D74:D83)</f>
        <v>964958.84328399878</v>
      </c>
      <c r="E84" s="63">
        <f>SUM(E74:E83)</f>
        <v>0</v>
      </c>
      <c r="F84" s="63">
        <f>SUM(F74:F83)</f>
        <v>964958.84328399878</v>
      </c>
      <c r="G84" s="63"/>
      <c r="H84" s="63"/>
      <c r="I84" s="63">
        <f t="shared" ref="I84:O84" si="14">SUM(I74:I83)</f>
        <v>0</v>
      </c>
      <c r="J84" s="63">
        <f t="shared" si="14"/>
        <v>0</v>
      </c>
      <c r="K84" s="63">
        <f t="shared" si="14"/>
        <v>0</v>
      </c>
      <c r="L84" s="63">
        <f t="shared" si="14"/>
        <v>0</v>
      </c>
      <c r="M84" s="63">
        <f t="shared" si="14"/>
        <v>964958.84328399878</v>
      </c>
      <c r="N84" s="63">
        <f t="shared" si="14"/>
        <v>0</v>
      </c>
      <c r="O84" s="63">
        <f t="shared" si="14"/>
        <v>964958.84328399878</v>
      </c>
      <c r="P84" s="37"/>
      <c r="Q84" s="37"/>
    </row>
    <row r="85" spans="1:22" x14ac:dyDescent="0.3">
      <c r="A85" s="37"/>
      <c r="B85" s="37"/>
      <c r="C85" s="136"/>
      <c r="D85" s="136"/>
      <c r="E85" s="136"/>
      <c r="F85" s="136"/>
      <c r="G85" s="136"/>
      <c r="H85" s="136"/>
      <c r="I85" s="136"/>
      <c r="J85" s="136"/>
      <c r="K85" s="142"/>
      <c r="L85" s="37"/>
      <c r="M85" s="37"/>
      <c r="N85" s="37"/>
      <c r="O85" s="37"/>
      <c r="P85" s="37"/>
      <c r="Q85" s="37"/>
    </row>
    <row r="86" spans="1:22" x14ac:dyDescent="0.3">
      <c r="A86" s="37"/>
      <c r="B86" s="37"/>
      <c r="C86" s="37"/>
      <c r="D86" s="37"/>
      <c r="E86" s="37"/>
      <c r="F86" s="37"/>
      <c r="G86" s="37"/>
      <c r="H86" s="37"/>
      <c r="I86" s="37"/>
      <c r="J86" s="37"/>
      <c r="K86" s="37"/>
      <c r="L86" s="37"/>
      <c r="M86" s="37"/>
      <c r="N86" s="37"/>
      <c r="O86" s="37"/>
      <c r="P86" s="37"/>
      <c r="Q86" s="37"/>
      <c r="V86" s="45"/>
    </row>
    <row r="87" spans="1:22" x14ac:dyDescent="0.3">
      <c r="A87" s="131" t="s">
        <v>381</v>
      </c>
      <c r="B87" s="131" t="s">
        <v>355</v>
      </c>
      <c r="C87" s="131" t="s">
        <v>380</v>
      </c>
      <c r="D87" s="131" t="s">
        <v>379</v>
      </c>
      <c r="E87" s="131"/>
      <c r="F87" s="131" t="s">
        <v>378</v>
      </c>
      <c r="G87" s="37"/>
      <c r="H87" s="37"/>
      <c r="I87" s="37"/>
      <c r="J87" s="37"/>
      <c r="K87" s="37"/>
      <c r="L87" s="37"/>
      <c r="M87" s="37"/>
      <c r="N87" s="37"/>
      <c r="O87" s="37"/>
      <c r="P87" s="37"/>
      <c r="Q87" s="37"/>
    </row>
    <row r="88" spans="1:22" x14ac:dyDescent="0.3">
      <c r="A88" s="37" t="s">
        <v>377</v>
      </c>
      <c r="B88" s="37">
        <v>78</v>
      </c>
      <c r="C88" s="136"/>
      <c r="D88" s="136">
        <v>3831.5912000000003</v>
      </c>
      <c r="E88" s="136"/>
      <c r="F88" s="136">
        <f t="shared" ref="F88:F123" si="15">+C88+D88</f>
        <v>3831.5912000000003</v>
      </c>
      <c r="G88" s="37"/>
      <c r="H88" s="37"/>
      <c r="I88" s="37"/>
      <c r="J88" s="37"/>
      <c r="K88" s="37"/>
      <c r="L88" s="37"/>
      <c r="M88" s="37"/>
      <c r="N88" s="37"/>
      <c r="O88" s="37"/>
      <c r="P88" s="37"/>
      <c r="Q88" s="37"/>
    </row>
    <row r="89" spans="1:22" x14ac:dyDescent="0.3">
      <c r="A89" s="37" t="s">
        <v>376</v>
      </c>
      <c r="B89" s="37">
        <v>79</v>
      </c>
      <c r="C89" s="136">
        <v>0</v>
      </c>
      <c r="D89" s="136">
        <v>38315.912000000004</v>
      </c>
      <c r="E89" s="136"/>
      <c r="F89" s="136">
        <f t="shared" si="15"/>
        <v>38315.912000000004</v>
      </c>
      <c r="G89" s="37"/>
      <c r="H89" s="37"/>
      <c r="I89" s="37"/>
      <c r="J89" s="37"/>
      <c r="K89" s="37"/>
      <c r="L89" s="37"/>
      <c r="M89" s="37"/>
      <c r="N89" s="37"/>
      <c r="O89" s="37"/>
      <c r="P89" s="37"/>
      <c r="Q89" s="37"/>
    </row>
    <row r="90" spans="1:22" x14ac:dyDescent="0.3">
      <c r="A90" s="37" t="s">
        <v>375</v>
      </c>
      <c r="B90" s="37">
        <v>80</v>
      </c>
      <c r="C90" s="136">
        <v>0</v>
      </c>
      <c r="D90" s="136">
        <v>19157.956000000002</v>
      </c>
      <c r="E90" s="136"/>
      <c r="F90" s="136">
        <f t="shared" si="15"/>
        <v>19157.956000000002</v>
      </c>
      <c r="G90" s="37"/>
      <c r="H90" s="37"/>
      <c r="I90" s="37"/>
      <c r="J90" s="37"/>
      <c r="K90" s="37"/>
      <c r="L90" s="37"/>
      <c r="M90" s="37"/>
      <c r="N90" s="37"/>
      <c r="O90" s="37"/>
      <c r="P90" s="37"/>
      <c r="Q90" s="37"/>
    </row>
    <row r="91" spans="1:22" x14ac:dyDescent="0.3">
      <c r="A91" s="37" t="s">
        <v>374</v>
      </c>
      <c r="B91" s="37">
        <v>81</v>
      </c>
      <c r="C91" s="136">
        <v>0</v>
      </c>
      <c r="D91" s="136">
        <v>19157.956000000002</v>
      </c>
      <c r="E91" s="136"/>
      <c r="F91" s="136">
        <f t="shared" si="15"/>
        <v>19157.956000000002</v>
      </c>
      <c r="G91" s="37"/>
      <c r="H91" s="37"/>
      <c r="I91" s="37"/>
      <c r="J91" s="37"/>
      <c r="K91" s="37"/>
      <c r="L91" s="37"/>
      <c r="M91" s="37"/>
      <c r="N91" s="37"/>
      <c r="O91" s="37"/>
      <c r="P91" s="37"/>
      <c r="Q91" s="37"/>
    </row>
    <row r="92" spans="1:22" x14ac:dyDescent="0.3">
      <c r="A92" s="37" t="s">
        <v>373</v>
      </c>
      <c r="B92" s="37">
        <v>82</v>
      </c>
      <c r="C92" s="136">
        <v>0</v>
      </c>
      <c r="D92" s="136">
        <v>3831.5912000000003</v>
      </c>
      <c r="E92" s="136"/>
      <c r="F92" s="136">
        <f t="shared" si="15"/>
        <v>3831.5912000000003</v>
      </c>
      <c r="G92" s="37"/>
      <c r="H92" s="37"/>
      <c r="I92" s="37"/>
      <c r="J92" s="37"/>
      <c r="K92" s="37"/>
      <c r="L92" s="37"/>
      <c r="M92" s="37"/>
      <c r="N92" s="37"/>
      <c r="O92" s="37"/>
      <c r="P92" s="37"/>
      <c r="Q92" s="37"/>
    </row>
    <row r="93" spans="1:22" x14ac:dyDescent="0.3">
      <c r="A93" s="37" t="s">
        <v>372</v>
      </c>
      <c r="B93" s="37">
        <v>83</v>
      </c>
      <c r="C93" s="136">
        <v>0</v>
      </c>
      <c r="D93" s="136">
        <v>9578.978000000001</v>
      </c>
      <c r="E93" s="136"/>
      <c r="F93" s="136">
        <f t="shared" si="15"/>
        <v>9578.978000000001</v>
      </c>
      <c r="G93" s="37"/>
      <c r="H93" s="37"/>
      <c r="I93" s="37"/>
      <c r="J93" s="37"/>
      <c r="K93" s="37"/>
      <c r="L93" s="37"/>
      <c r="M93" s="37"/>
      <c r="N93" s="37"/>
      <c r="O93" s="37"/>
      <c r="P93" s="37"/>
      <c r="Q93" s="37"/>
    </row>
    <row r="94" spans="1:22" x14ac:dyDescent="0.3">
      <c r="A94" s="37" t="s">
        <v>371</v>
      </c>
      <c r="B94" s="37">
        <v>84</v>
      </c>
      <c r="C94" s="136">
        <v>0</v>
      </c>
      <c r="D94" s="136">
        <v>3831.5912000000003</v>
      </c>
      <c r="E94" s="136"/>
      <c r="F94" s="136">
        <f t="shared" si="15"/>
        <v>3831.5912000000003</v>
      </c>
      <c r="G94" s="37"/>
      <c r="H94" s="37"/>
      <c r="I94" s="37"/>
      <c r="J94" s="37"/>
      <c r="K94" s="37"/>
      <c r="L94" s="37"/>
      <c r="M94" s="37"/>
      <c r="N94" s="37"/>
      <c r="O94" s="37"/>
      <c r="P94" s="37"/>
      <c r="Q94" s="37"/>
    </row>
    <row r="95" spans="1:22" x14ac:dyDescent="0.3">
      <c r="A95" s="37" t="s">
        <v>370</v>
      </c>
      <c r="B95" s="37">
        <v>85</v>
      </c>
      <c r="C95" s="136">
        <v>0</v>
      </c>
      <c r="D95" s="136">
        <v>3831.5912000000003</v>
      </c>
      <c r="E95" s="136"/>
      <c r="F95" s="136">
        <f t="shared" si="15"/>
        <v>3831.5912000000003</v>
      </c>
      <c r="G95" s="37"/>
      <c r="H95" s="37"/>
      <c r="I95" s="37"/>
      <c r="J95" s="37"/>
      <c r="K95" s="37"/>
      <c r="L95" s="37"/>
      <c r="M95" s="37"/>
      <c r="N95" s="37"/>
      <c r="O95" s="37"/>
      <c r="P95" s="37"/>
      <c r="Q95" s="37"/>
    </row>
    <row r="96" spans="1:22" x14ac:dyDescent="0.3">
      <c r="A96" s="37" t="s">
        <v>369</v>
      </c>
      <c r="B96" s="37">
        <v>86</v>
      </c>
      <c r="C96" s="136">
        <v>0</v>
      </c>
      <c r="D96" s="136">
        <v>9578.978000000001</v>
      </c>
      <c r="E96" s="136"/>
      <c r="F96" s="136">
        <f t="shared" si="15"/>
        <v>9578.978000000001</v>
      </c>
      <c r="G96" s="37"/>
      <c r="H96" s="37"/>
      <c r="I96" s="37"/>
      <c r="J96" s="37"/>
      <c r="K96" s="37"/>
      <c r="L96" s="37"/>
      <c r="M96" s="37"/>
      <c r="N96" s="37"/>
      <c r="O96" s="37"/>
      <c r="P96" s="37"/>
      <c r="Q96" s="37"/>
    </row>
    <row r="97" spans="1:17" x14ac:dyDescent="0.3">
      <c r="A97" s="37" t="s">
        <v>368</v>
      </c>
      <c r="B97" s="37">
        <v>87</v>
      </c>
      <c r="C97" s="136">
        <v>0</v>
      </c>
      <c r="D97" s="136">
        <v>3831.5912000000003</v>
      </c>
      <c r="E97" s="136"/>
      <c r="F97" s="136">
        <f t="shared" si="15"/>
        <v>3831.5912000000003</v>
      </c>
      <c r="G97" s="37"/>
      <c r="H97" s="37"/>
      <c r="I97" s="37"/>
      <c r="J97" s="37"/>
      <c r="K97" s="37"/>
      <c r="L97" s="37"/>
      <c r="M97" s="37"/>
      <c r="N97" s="37"/>
      <c r="O97" s="37"/>
      <c r="P97" s="37"/>
      <c r="Q97" s="37"/>
    </row>
    <row r="98" spans="1:17" x14ac:dyDescent="0.3">
      <c r="A98" s="37" t="s">
        <v>367</v>
      </c>
      <c r="B98" s="37">
        <v>88</v>
      </c>
      <c r="C98" s="136">
        <v>0</v>
      </c>
      <c r="D98" s="136">
        <v>9578.978000000001</v>
      </c>
      <c r="E98" s="136"/>
      <c r="F98" s="136">
        <f t="shared" si="15"/>
        <v>9578.978000000001</v>
      </c>
      <c r="G98" s="37"/>
      <c r="H98" s="37"/>
      <c r="I98" s="37"/>
      <c r="J98" s="37"/>
      <c r="K98" s="37"/>
      <c r="L98" s="37"/>
      <c r="M98" s="37"/>
      <c r="N98" s="37"/>
      <c r="O98" s="37"/>
      <c r="P98" s="37"/>
      <c r="Q98" s="37"/>
    </row>
    <row r="99" spans="1:17" x14ac:dyDescent="0.3">
      <c r="A99" s="37" t="s">
        <v>366</v>
      </c>
      <c r="B99" s="37">
        <v>89</v>
      </c>
      <c r="C99" s="136">
        <v>0</v>
      </c>
      <c r="D99" s="136">
        <v>9578.978000000001</v>
      </c>
      <c r="E99" s="136"/>
      <c r="F99" s="136">
        <f t="shared" si="15"/>
        <v>9578.978000000001</v>
      </c>
      <c r="G99" s="37"/>
      <c r="H99" s="37"/>
      <c r="I99" s="37"/>
      <c r="J99" s="37"/>
      <c r="K99" s="37"/>
      <c r="L99" s="37"/>
      <c r="M99" s="37"/>
      <c r="N99" s="37"/>
      <c r="O99" s="37"/>
      <c r="P99" s="37"/>
      <c r="Q99" s="37"/>
    </row>
    <row r="100" spans="1:17" x14ac:dyDescent="0.3">
      <c r="A100" s="37" t="s">
        <v>365</v>
      </c>
      <c r="B100" s="37">
        <v>90</v>
      </c>
      <c r="C100" s="136">
        <v>0</v>
      </c>
      <c r="D100" s="136">
        <v>9578.978000000001</v>
      </c>
      <c r="E100" s="136"/>
      <c r="F100" s="136">
        <f t="shared" si="15"/>
        <v>9578.978000000001</v>
      </c>
      <c r="G100" s="37"/>
      <c r="H100" s="37"/>
      <c r="I100" s="37"/>
      <c r="J100" s="37"/>
      <c r="K100" s="37"/>
      <c r="L100" s="37"/>
      <c r="M100" s="37"/>
      <c r="N100" s="37"/>
      <c r="O100" s="37"/>
      <c r="P100" s="37"/>
      <c r="Q100" s="37"/>
    </row>
    <row r="101" spans="1:17" x14ac:dyDescent="0.3">
      <c r="A101" s="37" t="s">
        <v>257</v>
      </c>
      <c r="B101" s="37">
        <v>91</v>
      </c>
      <c r="C101" s="136">
        <v>0</v>
      </c>
      <c r="D101" s="136">
        <v>9578.978000000001</v>
      </c>
      <c r="E101" s="136"/>
      <c r="F101" s="136">
        <f t="shared" si="15"/>
        <v>9578.978000000001</v>
      </c>
      <c r="G101" s="37"/>
      <c r="H101" s="37"/>
      <c r="I101" s="37"/>
      <c r="J101" s="37"/>
      <c r="K101" s="37"/>
      <c r="L101" s="37"/>
      <c r="M101" s="37"/>
      <c r="N101" s="37"/>
      <c r="O101" s="37"/>
      <c r="P101" s="37"/>
      <c r="Q101" s="37"/>
    </row>
    <row r="102" spans="1:17" x14ac:dyDescent="0.3">
      <c r="A102" s="37" t="s">
        <v>258</v>
      </c>
      <c r="B102" s="37">
        <v>92</v>
      </c>
      <c r="C102" s="136">
        <v>0</v>
      </c>
      <c r="D102" s="136">
        <v>9578.978000000001</v>
      </c>
      <c r="E102" s="136"/>
      <c r="F102" s="136">
        <f t="shared" si="15"/>
        <v>9578.978000000001</v>
      </c>
      <c r="G102" s="37"/>
      <c r="H102" s="37"/>
      <c r="I102" s="37"/>
      <c r="J102" s="37"/>
      <c r="K102" s="37"/>
      <c r="L102" s="37"/>
      <c r="M102" s="37"/>
      <c r="N102" s="37"/>
      <c r="O102" s="37"/>
      <c r="P102" s="37"/>
      <c r="Q102" s="37"/>
    </row>
    <row r="103" spans="1:17" x14ac:dyDescent="0.3">
      <c r="A103" s="37" t="s">
        <v>259</v>
      </c>
      <c r="B103" s="37">
        <v>93</v>
      </c>
      <c r="C103" s="136"/>
      <c r="D103" s="136">
        <v>3831.5912000000003</v>
      </c>
      <c r="E103" s="136"/>
      <c r="F103" s="136">
        <f t="shared" si="15"/>
        <v>3831.5912000000003</v>
      </c>
      <c r="G103" s="37"/>
      <c r="H103" s="37"/>
      <c r="I103" s="37"/>
      <c r="J103" s="37"/>
      <c r="K103" s="37"/>
      <c r="L103" s="37"/>
      <c r="M103" s="37"/>
      <c r="N103" s="37"/>
      <c r="O103" s="37"/>
      <c r="P103" s="37"/>
      <c r="Q103" s="37"/>
    </row>
    <row r="104" spans="1:17" x14ac:dyDescent="0.3">
      <c r="A104" s="37" t="s">
        <v>260</v>
      </c>
      <c r="B104" s="37">
        <v>94</v>
      </c>
      <c r="C104" s="136">
        <v>0</v>
      </c>
      <c r="D104" s="136">
        <v>13220.22309845</v>
      </c>
      <c r="E104" s="136"/>
      <c r="F104" s="136">
        <f t="shared" si="15"/>
        <v>13220.22309845</v>
      </c>
      <c r="G104" s="37"/>
      <c r="H104" s="37"/>
      <c r="I104" s="37"/>
      <c r="J104" s="37"/>
      <c r="K104" s="37"/>
      <c r="L104" s="37"/>
      <c r="M104" s="37"/>
      <c r="N104" s="37"/>
      <c r="O104" s="37"/>
      <c r="P104" s="37"/>
      <c r="Q104" s="37"/>
    </row>
    <row r="105" spans="1:17" x14ac:dyDescent="0.3">
      <c r="A105" s="37" t="s">
        <v>261</v>
      </c>
      <c r="B105" s="37">
        <v>95</v>
      </c>
      <c r="C105" s="136">
        <v>0</v>
      </c>
      <c r="D105" s="136">
        <v>3831.5912000000003</v>
      </c>
      <c r="E105" s="136"/>
      <c r="F105" s="136">
        <f t="shared" si="15"/>
        <v>3831.5912000000003</v>
      </c>
      <c r="G105" s="37"/>
      <c r="H105" s="37"/>
      <c r="I105" s="37"/>
      <c r="J105" s="37"/>
      <c r="K105" s="37"/>
      <c r="L105" s="37"/>
      <c r="M105" s="37"/>
      <c r="N105" s="37"/>
      <c r="O105" s="37"/>
      <c r="P105" s="37"/>
      <c r="Q105" s="37"/>
    </row>
    <row r="106" spans="1:17" x14ac:dyDescent="0.3">
      <c r="A106" s="37" t="s">
        <v>262</v>
      </c>
      <c r="B106" s="37">
        <v>96</v>
      </c>
      <c r="C106" s="136">
        <v>0</v>
      </c>
      <c r="D106" s="136">
        <v>9578.978000000001</v>
      </c>
      <c r="E106" s="136"/>
      <c r="F106" s="136">
        <f t="shared" si="15"/>
        <v>9578.978000000001</v>
      </c>
      <c r="G106" s="37"/>
      <c r="H106" s="37"/>
      <c r="I106" s="37"/>
      <c r="J106" s="37"/>
      <c r="K106" s="37"/>
      <c r="L106" s="37"/>
      <c r="M106" s="37"/>
      <c r="N106" s="37"/>
      <c r="O106" s="37"/>
      <c r="P106" s="37"/>
      <c r="Q106" s="37"/>
    </row>
    <row r="107" spans="1:17" x14ac:dyDescent="0.3">
      <c r="A107" s="37" t="s">
        <v>263</v>
      </c>
      <c r="B107" s="37">
        <v>97</v>
      </c>
      <c r="C107" s="136"/>
      <c r="D107" s="136">
        <v>9578.978000000001</v>
      </c>
      <c r="E107" s="136"/>
      <c r="F107" s="136">
        <f t="shared" si="15"/>
        <v>9578.978000000001</v>
      </c>
      <c r="G107" s="37"/>
      <c r="H107" s="37"/>
      <c r="I107" s="37"/>
      <c r="J107" s="37"/>
      <c r="K107" s="37"/>
      <c r="L107" s="37"/>
      <c r="M107" s="37"/>
      <c r="N107" s="37"/>
      <c r="O107" s="37"/>
      <c r="P107" s="37"/>
      <c r="Q107" s="37"/>
    </row>
    <row r="108" spans="1:17" x14ac:dyDescent="0.3">
      <c r="A108" s="37" t="s">
        <v>264</v>
      </c>
      <c r="B108" s="37">
        <v>98</v>
      </c>
      <c r="C108" s="136">
        <v>0</v>
      </c>
      <c r="D108" s="136">
        <v>9578.978000000001</v>
      </c>
      <c r="E108" s="136"/>
      <c r="F108" s="136">
        <f t="shared" si="15"/>
        <v>9578.978000000001</v>
      </c>
      <c r="G108" s="37"/>
      <c r="H108" s="37"/>
      <c r="I108" s="37"/>
      <c r="J108" s="37"/>
      <c r="K108" s="37"/>
      <c r="L108" s="37"/>
      <c r="M108" s="37"/>
      <c r="N108" s="37"/>
      <c r="O108" s="37"/>
      <c r="P108" s="37"/>
      <c r="Q108" s="37"/>
    </row>
    <row r="109" spans="1:17" x14ac:dyDescent="0.3">
      <c r="A109" s="37" t="s">
        <v>265</v>
      </c>
      <c r="B109" s="37">
        <v>99</v>
      </c>
      <c r="C109" s="136">
        <v>0</v>
      </c>
      <c r="D109" s="136">
        <v>10264.911714235242</v>
      </c>
      <c r="E109" s="136"/>
      <c r="F109" s="136">
        <f t="shared" si="15"/>
        <v>10264.911714235242</v>
      </c>
      <c r="G109" s="37"/>
      <c r="H109" s="37"/>
      <c r="I109" s="37"/>
      <c r="J109" s="37"/>
      <c r="K109" s="37"/>
      <c r="L109" s="37"/>
      <c r="M109" s="37"/>
      <c r="N109" s="37"/>
      <c r="O109" s="37"/>
      <c r="P109" s="37"/>
      <c r="Q109" s="37"/>
    </row>
    <row r="110" spans="1:17" x14ac:dyDescent="0.3">
      <c r="A110" s="37" t="s">
        <v>266</v>
      </c>
      <c r="B110" s="37">
        <v>100</v>
      </c>
      <c r="C110" s="136">
        <v>0</v>
      </c>
      <c r="D110" s="136">
        <v>86997.050659437329</v>
      </c>
      <c r="E110" s="136"/>
      <c r="F110" s="136">
        <f t="shared" si="15"/>
        <v>86997.050659437329</v>
      </c>
      <c r="G110" s="37"/>
      <c r="H110" s="37"/>
      <c r="I110" s="37"/>
      <c r="J110" s="37"/>
      <c r="K110" s="37"/>
      <c r="L110" s="37"/>
      <c r="M110" s="37"/>
      <c r="N110" s="37"/>
      <c r="O110" s="37"/>
      <c r="P110" s="37"/>
      <c r="Q110" s="37"/>
    </row>
    <row r="111" spans="1:17" x14ac:dyDescent="0.3">
      <c r="A111" s="37" t="s">
        <v>267</v>
      </c>
      <c r="B111" s="37">
        <v>101</v>
      </c>
      <c r="C111" s="136">
        <v>0</v>
      </c>
      <c r="D111" s="136">
        <v>3831.5912000000003</v>
      </c>
      <c r="E111" s="136"/>
      <c r="F111" s="136">
        <f t="shared" si="15"/>
        <v>3831.5912000000003</v>
      </c>
      <c r="G111" s="37"/>
      <c r="H111" s="37"/>
      <c r="I111" s="37"/>
      <c r="J111" s="37"/>
      <c r="K111" s="37"/>
      <c r="L111" s="37"/>
      <c r="M111" s="37"/>
      <c r="N111" s="37"/>
      <c r="O111" s="37"/>
      <c r="P111" s="37"/>
      <c r="Q111" s="37"/>
    </row>
    <row r="112" spans="1:17" x14ac:dyDescent="0.3">
      <c r="A112" s="37" t="s">
        <v>268</v>
      </c>
      <c r="B112" s="37">
        <v>102</v>
      </c>
      <c r="C112" s="136"/>
      <c r="D112" s="136">
        <v>121122.11046538854</v>
      </c>
      <c r="E112" s="136"/>
      <c r="F112" s="136">
        <f t="shared" si="15"/>
        <v>121122.11046538854</v>
      </c>
      <c r="G112" s="37"/>
      <c r="H112" s="37"/>
      <c r="I112" s="37"/>
      <c r="J112" s="37"/>
      <c r="K112" s="37"/>
      <c r="L112" s="37"/>
      <c r="M112" s="37"/>
      <c r="N112" s="37"/>
      <c r="O112" s="37"/>
      <c r="P112" s="37"/>
      <c r="Q112" s="37"/>
    </row>
    <row r="113" spans="1:17" x14ac:dyDescent="0.3">
      <c r="A113" s="37" t="s">
        <v>269</v>
      </c>
      <c r="B113" s="37">
        <v>103</v>
      </c>
      <c r="C113" s="136">
        <v>0</v>
      </c>
      <c r="D113" s="136">
        <v>3831.5912000000003</v>
      </c>
      <c r="E113" s="136"/>
      <c r="F113" s="136">
        <f t="shared" si="15"/>
        <v>3831.5912000000003</v>
      </c>
      <c r="G113" s="37"/>
      <c r="H113" s="37"/>
      <c r="I113" s="37"/>
      <c r="J113" s="37"/>
      <c r="K113" s="37"/>
      <c r="L113" s="37"/>
      <c r="M113" s="37"/>
      <c r="N113" s="37"/>
      <c r="O113" s="37"/>
      <c r="P113" s="37"/>
      <c r="Q113" s="37"/>
    </row>
    <row r="114" spans="1:17" x14ac:dyDescent="0.3">
      <c r="A114" s="37" t="s">
        <v>270</v>
      </c>
      <c r="B114" s="37">
        <v>104</v>
      </c>
      <c r="C114" s="136"/>
      <c r="D114" s="136">
        <v>3831.5912000000003</v>
      </c>
      <c r="E114" s="136"/>
      <c r="F114" s="136">
        <f t="shared" si="15"/>
        <v>3831.5912000000003</v>
      </c>
      <c r="G114" s="37"/>
      <c r="H114" s="37"/>
      <c r="I114" s="37"/>
      <c r="J114" s="37"/>
      <c r="K114" s="37"/>
      <c r="L114" s="37"/>
      <c r="M114" s="37"/>
      <c r="N114" s="37"/>
      <c r="O114" s="37"/>
      <c r="P114" s="37"/>
      <c r="Q114" s="37"/>
    </row>
    <row r="115" spans="1:17" x14ac:dyDescent="0.3">
      <c r="A115" s="37" t="s">
        <v>271</v>
      </c>
      <c r="B115" s="37">
        <v>105</v>
      </c>
      <c r="C115" s="136"/>
      <c r="D115" s="136">
        <v>3831.5912000000003</v>
      </c>
      <c r="E115" s="136"/>
      <c r="F115" s="136">
        <f t="shared" si="15"/>
        <v>3831.5912000000003</v>
      </c>
      <c r="G115" s="37"/>
      <c r="H115" s="37"/>
      <c r="I115" s="37"/>
      <c r="J115" s="37"/>
      <c r="K115" s="37"/>
      <c r="L115" s="37"/>
      <c r="M115" s="37"/>
      <c r="N115" s="37"/>
      <c r="O115" s="37"/>
      <c r="P115" s="37"/>
      <c r="Q115" s="37"/>
    </row>
    <row r="116" spans="1:17" x14ac:dyDescent="0.3">
      <c r="A116" s="37" t="s">
        <v>272</v>
      </c>
      <c r="B116" s="37">
        <v>106</v>
      </c>
      <c r="C116" s="136">
        <v>0</v>
      </c>
      <c r="D116" s="136">
        <v>9578.978000000001</v>
      </c>
      <c r="E116" s="136"/>
      <c r="F116" s="136">
        <f t="shared" si="15"/>
        <v>9578.978000000001</v>
      </c>
      <c r="G116" s="37"/>
      <c r="H116" s="37"/>
      <c r="I116" s="37"/>
      <c r="J116" s="37"/>
      <c r="K116" s="37"/>
      <c r="L116" s="37"/>
      <c r="M116" s="37"/>
      <c r="N116" s="37"/>
      <c r="O116" s="37"/>
      <c r="P116" s="37"/>
      <c r="Q116" s="37"/>
    </row>
    <row r="117" spans="1:17" x14ac:dyDescent="0.3">
      <c r="A117" s="37" t="s">
        <v>273</v>
      </c>
      <c r="B117" s="37">
        <v>107</v>
      </c>
      <c r="C117" s="136">
        <v>0</v>
      </c>
      <c r="D117" s="136">
        <v>9578.978000000001</v>
      </c>
      <c r="E117" s="136"/>
      <c r="F117" s="136">
        <f t="shared" si="15"/>
        <v>9578.978000000001</v>
      </c>
      <c r="G117" s="37"/>
      <c r="H117" s="37"/>
      <c r="I117" s="37"/>
      <c r="J117" s="37"/>
      <c r="K117" s="37"/>
      <c r="L117" s="37"/>
      <c r="M117" s="37"/>
      <c r="N117" s="37"/>
      <c r="O117" s="37"/>
      <c r="P117" s="37"/>
      <c r="Q117" s="37"/>
    </row>
    <row r="118" spans="1:17" x14ac:dyDescent="0.3">
      <c r="A118" s="37" t="s">
        <v>274</v>
      </c>
      <c r="B118" s="37">
        <v>108</v>
      </c>
      <c r="C118" s="136">
        <v>0</v>
      </c>
      <c r="D118" s="136">
        <v>9578.978000000001</v>
      </c>
      <c r="E118" s="136"/>
      <c r="F118" s="136">
        <f t="shared" si="15"/>
        <v>9578.978000000001</v>
      </c>
      <c r="G118" s="37"/>
      <c r="H118" s="37"/>
      <c r="I118" s="37"/>
      <c r="J118" s="37"/>
      <c r="K118" s="37"/>
      <c r="L118" s="37"/>
      <c r="M118" s="37"/>
      <c r="N118" s="37"/>
      <c r="O118" s="37"/>
      <c r="P118" s="37"/>
      <c r="Q118" s="37"/>
    </row>
    <row r="119" spans="1:17" x14ac:dyDescent="0.3">
      <c r="A119" s="37" t="s">
        <v>275</v>
      </c>
      <c r="B119" s="37">
        <v>109</v>
      </c>
      <c r="C119" s="136">
        <v>0</v>
      </c>
      <c r="D119" s="136">
        <v>3831.5912000000003</v>
      </c>
      <c r="E119" s="136"/>
      <c r="F119" s="136">
        <f t="shared" si="15"/>
        <v>3831.5912000000003</v>
      </c>
      <c r="G119" s="37"/>
      <c r="H119" s="37"/>
      <c r="I119" s="37"/>
      <c r="J119" s="37"/>
      <c r="K119" s="37"/>
      <c r="L119" s="37"/>
      <c r="M119" s="37"/>
      <c r="N119" s="37"/>
      <c r="O119" s="37"/>
      <c r="P119" s="37"/>
      <c r="Q119" s="37"/>
    </row>
    <row r="120" spans="1:17" x14ac:dyDescent="0.3">
      <c r="A120" s="37" t="s">
        <v>364</v>
      </c>
      <c r="B120" s="37">
        <v>110</v>
      </c>
      <c r="C120" s="136">
        <v>0</v>
      </c>
      <c r="D120" s="136">
        <v>12728.628355953335</v>
      </c>
      <c r="E120" s="136"/>
      <c r="F120" s="136">
        <f t="shared" si="15"/>
        <v>12728.628355953335</v>
      </c>
      <c r="G120" s="37"/>
      <c r="H120" s="37"/>
      <c r="I120" s="37"/>
      <c r="J120" s="37"/>
      <c r="K120" s="37"/>
      <c r="L120" s="37"/>
      <c r="M120" s="37"/>
      <c r="N120" s="37"/>
      <c r="O120" s="37"/>
      <c r="P120" s="37"/>
      <c r="Q120" s="37"/>
    </row>
    <row r="121" spans="1:17" x14ac:dyDescent="0.3">
      <c r="A121" s="37" t="s">
        <v>363</v>
      </c>
      <c r="B121" s="37">
        <v>111</v>
      </c>
      <c r="C121" s="136">
        <v>0</v>
      </c>
      <c r="D121" s="136">
        <v>3831.5912000000003</v>
      </c>
      <c r="E121" s="136"/>
      <c r="F121" s="136">
        <f t="shared" si="15"/>
        <v>3831.5912000000003</v>
      </c>
      <c r="G121" s="37"/>
      <c r="H121" s="37"/>
      <c r="I121" s="37"/>
      <c r="J121" s="37"/>
      <c r="K121" s="37"/>
      <c r="L121" s="37"/>
      <c r="M121" s="37"/>
      <c r="N121" s="37"/>
      <c r="O121" s="37"/>
      <c r="P121" s="37"/>
      <c r="Q121" s="37"/>
    </row>
    <row r="122" spans="1:17" x14ac:dyDescent="0.3">
      <c r="A122" s="37" t="s">
        <v>276</v>
      </c>
      <c r="B122" s="37">
        <v>112</v>
      </c>
      <c r="C122" s="136">
        <v>0</v>
      </c>
      <c r="D122" s="136">
        <v>3831.5912000000003</v>
      </c>
      <c r="E122" s="136"/>
      <c r="F122" s="136">
        <f t="shared" si="15"/>
        <v>3831.5912000000003</v>
      </c>
      <c r="G122" s="37"/>
      <c r="H122" s="37"/>
      <c r="I122" s="37"/>
      <c r="J122" s="37"/>
      <c r="K122" s="37"/>
      <c r="L122" s="37"/>
      <c r="M122" s="37"/>
      <c r="N122" s="37"/>
      <c r="O122" s="37"/>
      <c r="P122" s="37"/>
      <c r="Q122" s="37"/>
    </row>
    <row r="123" spans="1:17" x14ac:dyDescent="0.3">
      <c r="A123" s="37" t="s">
        <v>277</v>
      </c>
      <c r="B123" s="37">
        <v>113</v>
      </c>
      <c r="C123" s="136">
        <v>0</v>
      </c>
      <c r="D123" s="136">
        <v>3831.5912000000003</v>
      </c>
      <c r="E123" s="136"/>
      <c r="F123" s="136">
        <f t="shared" si="15"/>
        <v>3831.5912000000003</v>
      </c>
      <c r="G123" s="37"/>
      <c r="H123" s="37"/>
      <c r="I123" s="37"/>
      <c r="J123" s="37"/>
      <c r="K123" s="37"/>
      <c r="L123" s="37"/>
      <c r="M123" s="37"/>
      <c r="N123" s="37"/>
      <c r="O123" s="37"/>
      <c r="P123" s="37"/>
      <c r="Q123" s="37"/>
    </row>
    <row r="124" spans="1:17" x14ac:dyDescent="0.3">
      <c r="A124" s="139" t="s">
        <v>362</v>
      </c>
      <c r="B124" s="139"/>
      <c r="C124" s="63">
        <f>SUM(C88:C123)</f>
        <v>0</v>
      </c>
      <c r="D124" s="63">
        <f>SUM(D88:D123)</f>
        <v>502965.33029346465</v>
      </c>
      <c r="E124" s="63">
        <f>SUM(E88:E123)</f>
        <v>0</v>
      </c>
      <c r="F124" s="63">
        <f>SUM(F88:F123)</f>
        <v>502965.33029346465</v>
      </c>
      <c r="G124" s="37"/>
      <c r="H124" s="37"/>
      <c r="I124" s="37"/>
      <c r="J124" s="37"/>
      <c r="K124" s="37"/>
      <c r="L124" s="37"/>
      <c r="M124" s="37"/>
      <c r="N124" s="37"/>
      <c r="O124" s="37"/>
      <c r="P124" s="37"/>
      <c r="Q124" s="37"/>
    </row>
    <row r="125" spans="1:17" x14ac:dyDescent="0.3">
      <c r="A125" s="139"/>
      <c r="B125" s="139"/>
      <c r="C125" s="63"/>
      <c r="D125" s="37"/>
      <c r="E125" s="37"/>
      <c r="F125" s="37"/>
      <c r="G125" s="37"/>
      <c r="H125" s="37"/>
      <c r="I125" s="37"/>
      <c r="J125" s="37"/>
      <c r="K125" s="37"/>
      <c r="L125" s="37"/>
      <c r="M125" s="37"/>
      <c r="N125" s="37"/>
      <c r="O125" s="37"/>
      <c r="P125" s="37"/>
      <c r="Q125" s="37"/>
    </row>
    <row r="126" spans="1:17" x14ac:dyDescent="0.3">
      <c r="A126" s="37"/>
      <c r="B126" s="37"/>
      <c r="C126" s="37"/>
      <c r="D126" s="37"/>
      <c r="E126" s="37"/>
      <c r="F126" s="37"/>
      <c r="G126" s="37"/>
      <c r="H126" s="37"/>
      <c r="I126" s="37"/>
      <c r="J126" s="37"/>
      <c r="K126" s="37"/>
      <c r="L126" s="37"/>
      <c r="M126" s="37"/>
      <c r="N126" s="37"/>
      <c r="O126" s="37"/>
      <c r="P126" s="37"/>
      <c r="Q126" s="37"/>
    </row>
    <row r="127" spans="1:17" x14ac:dyDescent="0.3">
      <c r="A127" s="37" t="s">
        <v>361</v>
      </c>
      <c r="B127" s="37" t="s">
        <v>355</v>
      </c>
      <c r="C127" s="37" t="s">
        <v>360</v>
      </c>
      <c r="D127" s="37" t="s">
        <v>359</v>
      </c>
      <c r="E127" s="37" t="s">
        <v>492</v>
      </c>
      <c r="F127" s="143" t="s">
        <v>358</v>
      </c>
      <c r="G127" s="37"/>
      <c r="H127" s="37"/>
      <c r="I127" s="37"/>
      <c r="J127" s="37"/>
      <c r="K127" s="37"/>
      <c r="L127" s="37"/>
      <c r="M127" s="37"/>
      <c r="N127" s="37"/>
      <c r="O127" s="37"/>
      <c r="P127" s="37"/>
      <c r="Q127" s="37"/>
    </row>
    <row r="128" spans="1:17" x14ac:dyDescent="0.3">
      <c r="A128" s="37" t="s">
        <v>357</v>
      </c>
      <c r="B128" s="37">
        <v>114</v>
      </c>
      <c r="C128" s="136">
        <v>0</v>
      </c>
      <c r="D128" s="144">
        <v>5846280.7300000004</v>
      </c>
      <c r="E128" s="58"/>
      <c r="F128" s="136">
        <f>+Table718254[[#This Row],[Dist Payment]]+Table718254[[#This Row],[JJ Payment]]</f>
        <v>5846280.7300000004</v>
      </c>
      <c r="G128" s="37"/>
      <c r="H128" s="37"/>
      <c r="I128" s="37"/>
      <c r="J128" s="37"/>
      <c r="K128" s="37"/>
      <c r="L128" s="37"/>
      <c r="M128" s="37"/>
      <c r="N128" s="37"/>
      <c r="O128" s="37"/>
      <c r="P128" s="37"/>
      <c r="Q128" s="37"/>
    </row>
    <row r="129" spans="1:17" x14ac:dyDescent="0.3">
      <c r="A129" s="37"/>
      <c r="B129" s="37"/>
      <c r="C129" s="136">
        <f>+'Dist and JJ Totals'!B24</f>
        <v>0</v>
      </c>
      <c r="D129" s="144">
        <f>+'Dist and JJ Totals'!C24</f>
        <v>0</v>
      </c>
      <c r="E129" s="37"/>
      <c r="F129" s="136">
        <f>+Table718254[[#This Row],[Dist Payment]]+Table718254[[#This Row],[JJ Payment]]</f>
        <v>0</v>
      </c>
      <c r="G129" s="37"/>
      <c r="H129" s="37"/>
      <c r="I129" s="37"/>
      <c r="J129" s="37"/>
      <c r="K129" s="37"/>
      <c r="L129" s="37"/>
      <c r="M129" s="37"/>
      <c r="N129" s="37"/>
      <c r="O129" s="37"/>
      <c r="P129" s="37"/>
      <c r="Q129" s="37"/>
    </row>
    <row r="130" spans="1:17" x14ac:dyDescent="0.3">
      <c r="A130" s="37"/>
      <c r="B130" s="37"/>
      <c r="C130" s="37"/>
      <c r="D130" s="37"/>
      <c r="E130" s="37"/>
      <c r="F130" s="136"/>
      <c r="G130" s="37"/>
      <c r="H130" s="37"/>
      <c r="I130" s="37"/>
      <c r="J130" s="37"/>
      <c r="K130" s="37"/>
      <c r="L130" s="37"/>
      <c r="M130" s="37"/>
      <c r="N130" s="37"/>
      <c r="O130" s="37"/>
      <c r="P130" s="37"/>
      <c r="Q130" s="37"/>
    </row>
    <row r="131" spans="1:17" ht="57.6" x14ac:dyDescent="0.3">
      <c r="A131" s="37" t="s">
        <v>356</v>
      </c>
      <c r="B131" s="37" t="s">
        <v>355</v>
      </c>
      <c r="C131" s="37" t="s">
        <v>354</v>
      </c>
      <c r="D131" s="136" t="s">
        <v>353</v>
      </c>
      <c r="E131" s="136" t="s">
        <v>352</v>
      </c>
      <c r="F131" s="145" t="s">
        <v>351</v>
      </c>
      <c r="G131" s="136"/>
      <c r="H131" s="136"/>
      <c r="I131" s="37"/>
      <c r="J131" s="37"/>
      <c r="K131" s="37"/>
      <c r="L131" s="37"/>
      <c r="M131" s="37"/>
      <c r="N131" s="37"/>
      <c r="O131" s="37"/>
      <c r="P131" s="37"/>
      <c r="Q131" s="37"/>
    </row>
    <row r="132" spans="1:17" x14ac:dyDescent="0.3">
      <c r="A132" s="37" t="s">
        <v>278</v>
      </c>
      <c r="B132" s="37">
        <v>115</v>
      </c>
      <c r="C132" s="37"/>
      <c r="D132" s="136">
        <v>0</v>
      </c>
      <c r="E132" s="136">
        <v>2167116.1509940801</v>
      </c>
      <c r="F132" s="146">
        <f>+Table819265[[#This Row],[Attorney/Admin Costs]]+Table819265[[#This Row],[Dist Atty Fees]]+Table819265[[#This Row],[JJ Atty Fees]]</f>
        <v>2167116.1509940801</v>
      </c>
      <c r="G132" s="37"/>
      <c r="H132" s="37"/>
      <c r="I132" s="37"/>
      <c r="J132" s="37"/>
      <c r="K132" s="37"/>
      <c r="L132" s="37"/>
      <c r="M132" s="37"/>
      <c r="N132" s="37"/>
      <c r="O132" s="37"/>
      <c r="P132" s="37"/>
      <c r="Q132" s="37"/>
    </row>
    <row r="133" spans="1:17" x14ac:dyDescent="0.3">
      <c r="A133" s="37" t="s">
        <v>350</v>
      </c>
      <c r="B133" s="37"/>
      <c r="C133" s="37"/>
      <c r="D133" s="37"/>
      <c r="E133" s="37"/>
      <c r="F133" s="145">
        <v>0</v>
      </c>
      <c r="G133" s="37"/>
      <c r="H133" s="37"/>
      <c r="I133" s="37"/>
      <c r="J133" s="37"/>
      <c r="K133" s="37"/>
      <c r="L133" s="37"/>
      <c r="M133" s="37"/>
      <c r="N133" s="37"/>
      <c r="O133" s="37"/>
      <c r="P133" s="37"/>
      <c r="Q133" s="37"/>
    </row>
    <row r="134" spans="1:17" x14ac:dyDescent="0.3">
      <c r="A134" s="37"/>
      <c r="B134" s="37"/>
      <c r="C134" s="37"/>
      <c r="D134" s="37"/>
      <c r="E134" s="37"/>
      <c r="F134" s="37"/>
      <c r="G134" s="37"/>
      <c r="H134" s="37"/>
      <c r="I134" s="37"/>
      <c r="J134" s="37"/>
      <c r="K134" s="37"/>
      <c r="L134" s="37"/>
      <c r="M134" s="37"/>
      <c r="N134" s="37"/>
      <c r="O134" s="37"/>
      <c r="P134" s="37"/>
      <c r="Q134" s="37"/>
    </row>
    <row r="135" spans="1:17" x14ac:dyDescent="0.3">
      <c r="A135" s="147" t="s">
        <v>349</v>
      </c>
      <c r="B135" s="139"/>
      <c r="C135" s="63">
        <f>F132</f>
        <v>2167116.1509940801</v>
      </c>
      <c r="D135" s="37"/>
      <c r="E135" s="37"/>
      <c r="F135" s="37"/>
      <c r="G135" s="37"/>
      <c r="H135" s="37"/>
      <c r="I135" s="37"/>
      <c r="J135" s="37"/>
      <c r="K135" s="37"/>
      <c r="L135" s="37"/>
      <c r="M135" s="37"/>
      <c r="N135" s="37"/>
      <c r="O135" s="37"/>
      <c r="P135" s="37"/>
      <c r="Q135" s="37"/>
    </row>
    <row r="136" spans="1:17" x14ac:dyDescent="0.3">
      <c r="A136" s="147" t="s">
        <v>348</v>
      </c>
      <c r="B136" s="139"/>
      <c r="C136" s="63">
        <f>F128+F124+O84+O69</f>
        <v>38976399.548349552</v>
      </c>
      <c r="D136" s="37"/>
      <c r="E136" s="37"/>
      <c r="F136" s="37"/>
      <c r="G136" s="37"/>
      <c r="H136" s="37"/>
      <c r="I136" s="37"/>
      <c r="J136" s="37"/>
      <c r="K136" s="37"/>
      <c r="L136" s="37"/>
      <c r="M136" s="37"/>
      <c r="N136" s="37"/>
      <c r="O136" s="37"/>
      <c r="P136" s="37"/>
      <c r="Q136" s="37"/>
    </row>
    <row r="137" spans="1:17" x14ac:dyDescent="0.3">
      <c r="A137" s="147" t="s">
        <v>347</v>
      </c>
      <c r="B137" s="139"/>
      <c r="C137" s="63">
        <f>C135+C136</f>
        <v>41143515.699343629</v>
      </c>
      <c r="D137" s="38"/>
      <c r="E137" s="37"/>
      <c r="F137" s="37"/>
      <c r="G137" s="37"/>
      <c r="H137" s="37"/>
      <c r="I137" s="37"/>
      <c r="J137" s="37"/>
      <c r="K137" s="37"/>
      <c r="L137" s="37"/>
      <c r="M137" s="37"/>
      <c r="N137" s="37"/>
      <c r="O137" s="37"/>
      <c r="P137" s="37"/>
      <c r="Q137" s="37"/>
    </row>
    <row r="138" spans="1:17" x14ac:dyDescent="0.3">
      <c r="A138" s="37"/>
      <c r="B138" s="37"/>
      <c r="C138" s="36"/>
      <c r="D138" s="37"/>
      <c r="E138" s="37"/>
      <c r="F138" s="37"/>
      <c r="G138" s="37"/>
      <c r="H138" s="37"/>
      <c r="I138" s="37"/>
      <c r="J138" s="37"/>
      <c r="K138" s="37"/>
      <c r="L138" s="37"/>
      <c r="M138" s="37"/>
      <c r="N138" s="37"/>
      <c r="O138" s="37"/>
      <c r="P138" s="37"/>
      <c r="Q138" s="37"/>
    </row>
    <row r="139" spans="1:17" x14ac:dyDescent="0.3">
      <c r="A139" s="37"/>
      <c r="B139" s="37"/>
      <c r="C139" s="36"/>
      <c r="D139" s="37"/>
      <c r="E139" s="37"/>
      <c r="F139" s="37"/>
      <c r="G139" s="37"/>
      <c r="H139" s="37"/>
      <c r="I139" s="37"/>
      <c r="J139" s="37"/>
      <c r="K139" s="37"/>
      <c r="L139" s="37"/>
      <c r="M139" s="37"/>
      <c r="N139" s="37"/>
      <c r="O139" s="37"/>
      <c r="P139" s="37"/>
      <c r="Q139" s="37"/>
    </row>
    <row r="140" spans="1:17" x14ac:dyDescent="0.3">
      <c r="A140" s="37"/>
      <c r="B140" s="37"/>
      <c r="C140" s="37"/>
      <c r="D140" s="37"/>
      <c r="E140" s="37"/>
      <c r="F140" s="37"/>
      <c r="G140" s="37"/>
      <c r="H140" s="37"/>
      <c r="I140" s="37"/>
      <c r="J140" s="37"/>
      <c r="K140" s="37"/>
      <c r="L140" s="37"/>
      <c r="M140" s="37"/>
      <c r="N140" s="37"/>
      <c r="O140" s="37"/>
      <c r="P140" s="37"/>
      <c r="Q140" s="37"/>
    </row>
    <row r="141" spans="1:17" x14ac:dyDescent="0.3">
      <c r="A141" s="37"/>
      <c r="B141" s="37"/>
      <c r="C141" s="37"/>
      <c r="D141" s="37"/>
      <c r="E141" s="37"/>
      <c r="F141" s="37"/>
      <c r="G141" s="37"/>
      <c r="H141" s="37"/>
      <c r="I141" s="37"/>
      <c r="J141" s="37"/>
      <c r="K141" s="37"/>
      <c r="L141" s="37"/>
      <c r="M141" s="37"/>
      <c r="N141" s="37"/>
      <c r="O141" s="37"/>
      <c r="P141" s="37"/>
      <c r="Q141" s="37"/>
    </row>
    <row r="142" spans="1:17" x14ac:dyDescent="0.3">
      <c r="A142" s="37"/>
      <c r="B142" s="37"/>
      <c r="C142" s="37"/>
      <c r="D142" s="37"/>
      <c r="E142" s="37"/>
      <c r="F142" s="37"/>
      <c r="G142" s="37"/>
      <c r="H142" s="37"/>
      <c r="I142" s="37"/>
      <c r="J142" s="37"/>
      <c r="K142" s="37"/>
      <c r="L142" s="37"/>
      <c r="M142" s="37"/>
      <c r="N142" s="37"/>
      <c r="O142" s="37"/>
      <c r="P142" s="37"/>
      <c r="Q142" s="37"/>
    </row>
    <row r="144" spans="1:17" x14ac:dyDescent="0.3">
      <c r="C144" s="45"/>
    </row>
  </sheetData>
  <autoFilter ref="A73:O73" xr:uid="{2F521CBF-AB09-4562-A2EA-1699344780B0}"/>
  <pageMargins left="0.7" right="0.7" top="0.75" bottom="0.75" header="0.3" footer="0.3"/>
  <customProperties>
    <customPr name="OrphanNamesChecked" r:id="rId1"/>
  </customPropertie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FA598-2376-4F0D-8A9D-056CB9951A75}">
  <dimension ref="A2:L133"/>
  <sheetViews>
    <sheetView tabSelected="1" topLeftCell="A118" workbookViewId="0">
      <selection activeCell="E129" sqref="E129"/>
    </sheetView>
  </sheetViews>
  <sheetFormatPr defaultRowHeight="14.4" x14ac:dyDescent="0.3"/>
  <cols>
    <col min="3" max="3" width="16.21875" customWidth="1"/>
    <col min="4" max="4" width="18.21875" customWidth="1"/>
    <col min="6" max="6" width="20.77734375" customWidth="1"/>
    <col min="8" max="8" width="15.21875" customWidth="1"/>
    <col min="9" max="9" width="15.33203125" customWidth="1"/>
    <col min="10" max="10" width="13.5546875" customWidth="1"/>
    <col min="11" max="11" width="15.44140625" customWidth="1"/>
    <col min="12" max="12" width="20" customWidth="1"/>
  </cols>
  <sheetData>
    <row r="2" spans="1:12" x14ac:dyDescent="0.3">
      <c r="A2" s="16" t="s">
        <v>508</v>
      </c>
      <c r="B2" s="16"/>
    </row>
    <row r="3" spans="1:12" x14ac:dyDescent="0.3">
      <c r="A3" s="170"/>
      <c r="B3" s="170"/>
      <c r="C3" s="170"/>
      <c r="D3" s="170"/>
      <c r="E3" s="170"/>
      <c r="F3" s="170"/>
      <c r="G3" s="170"/>
      <c r="H3" s="171" t="s">
        <v>498</v>
      </c>
      <c r="I3" s="170"/>
      <c r="J3" s="171" t="s">
        <v>417</v>
      </c>
      <c r="K3" s="170"/>
      <c r="L3" s="171" t="s">
        <v>6</v>
      </c>
    </row>
    <row r="4" spans="1:12" x14ac:dyDescent="0.3">
      <c r="A4" s="170"/>
      <c r="B4" s="170"/>
      <c r="C4" s="170"/>
      <c r="D4" s="170"/>
      <c r="E4" s="170"/>
      <c r="F4" s="172" t="s">
        <v>395</v>
      </c>
      <c r="G4" s="170"/>
      <c r="H4" s="172" t="s">
        <v>499</v>
      </c>
      <c r="I4" s="173" t="s">
        <v>395</v>
      </c>
      <c r="J4" s="172" t="s">
        <v>214</v>
      </c>
      <c r="K4" s="172" t="s">
        <v>395</v>
      </c>
      <c r="L4" s="172" t="s">
        <v>500</v>
      </c>
    </row>
    <row r="5" spans="1:12" x14ac:dyDescent="0.3">
      <c r="A5" s="174" t="s">
        <v>396</v>
      </c>
      <c r="B5" s="170"/>
      <c r="C5" s="172" t="s">
        <v>395</v>
      </c>
      <c r="D5" s="172" t="s">
        <v>496</v>
      </c>
      <c r="E5" s="170"/>
      <c r="F5" s="175">
        <v>0.78</v>
      </c>
      <c r="G5" s="170"/>
      <c r="H5" s="176">
        <v>0.78</v>
      </c>
      <c r="I5" s="170"/>
      <c r="J5" s="176">
        <v>0.78</v>
      </c>
      <c r="K5" s="170"/>
      <c r="L5" s="170"/>
    </row>
    <row r="6" spans="1:12" x14ac:dyDescent="0.3">
      <c r="A6" s="170" t="s">
        <v>26</v>
      </c>
      <c r="B6" s="170"/>
      <c r="C6" s="177">
        <v>185366.96914398481</v>
      </c>
      <c r="D6" s="177">
        <v>91756.649726272473</v>
      </c>
      <c r="E6" s="170"/>
      <c r="F6" s="178">
        <v>71570.18678649253</v>
      </c>
      <c r="G6" s="170"/>
      <c r="H6" s="179">
        <v>39145.846666666672</v>
      </c>
      <c r="I6" s="177">
        <v>30533.760400000006</v>
      </c>
      <c r="J6" s="170"/>
      <c r="K6" s="170"/>
      <c r="L6" s="178">
        <v>102103.94718649253</v>
      </c>
    </row>
    <row r="7" spans="1:12" x14ac:dyDescent="0.3">
      <c r="A7" s="170" t="s">
        <v>27</v>
      </c>
      <c r="B7" s="170"/>
      <c r="C7" s="177">
        <v>6209793.8923684452</v>
      </c>
      <c r="D7" s="177">
        <v>3073847.9767223801</v>
      </c>
      <c r="E7" s="170"/>
      <c r="F7" s="178">
        <v>2397601.4218434566</v>
      </c>
      <c r="G7" s="170"/>
      <c r="H7" s="180">
        <v>398296.81228561688</v>
      </c>
      <c r="I7" s="177">
        <v>310671.51358278119</v>
      </c>
      <c r="J7" s="170"/>
      <c r="K7" s="170"/>
      <c r="L7" s="178">
        <v>2708272.935426238</v>
      </c>
    </row>
    <row r="8" spans="1:12" x14ac:dyDescent="0.3">
      <c r="A8" s="170" t="s">
        <v>28</v>
      </c>
      <c r="B8" s="170"/>
      <c r="C8" s="177">
        <v>326547.65424871328</v>
      </c>
      <c r="D8" s="177">
        <v>161641.08885311306</v>
      </c>
      <c r="E8" s="170"/>
      <c r="F8" s="178">
        <v>126080.0493054282</v>
      </c>
      <c r="G8" s="170"/>
      <c r="H8" s="179">
        <v>20879.579218425773</v>
      </c>
      <c r="I8" s="177">
        <v>16286.071790372103</v>
      </c>
      <c r="J8" s="170"/>
      <c r="K8" s="170"/>
      <c r="L8" s="178">
        <v>142366.12109580031</v>
      </c>
    </row>
    <row r="9" spans="1:12" x14ac:dyDescent="0.3">
      <c r="A9" s="170" t="s">
        <v>29</v>
      </c>
      <c r="B9" s="170"/>
      <c r="C9" s="177">
        <v>686504.4368627416</v>
      </c>
      <c r="D9" s="177">
        <v>339819.69624705712</v>
      </c>
      <c r="E9" s="170"/>
      <c r="F9" s="178">
        <v>265059.36307270458</v>
      </c>
      <c r="G9" s="170"/>
      <c r="H9" s="180">
        <v>53574.825623531717</v>
      </c>
      <c r="I9" s="177">
        <v>41788.363986354743</v>
      </c>
      <c r="J9" s="177"/>
      <c r="K9" s="170"/>
      <c r="L9" s="178">
        <v>306847.72705905931</v>
      </c>
    </row>
    <row r="10" spans="1:12" x14ac:dyDescent="0.3">
      <c r="A10" s="170" t="s">
        <v>30</v>
      </c>
      <c r="B10" s="170"/>
      <c r="C10" s="177">
        <v>103460.67897729314</v>
      </c>
      <c r="D10" s="177">
        <v>51213.0360937601</v>
      </c>
      <c r="E10" s="170"/>
      <c r="F10" s="178">
        <v>39946.16815313288</v>
      </c>
      <c r="G10" s="170"/>
      <c r="H10" s="179">
        <v>15152.807292398233</v>
      </c>
      <c r="I10" s="177">
        <v>11819.189688070623</v>
      </c>
      <c r="J10" s="177"/>
      <c r="K10" s="170"/>
      <c r="L10" s="178">
        <v>51765.357841203499</v>
      </c>
    </row>
    <row r="11" spans="1:12" x14ac:dyDescent="0.3">
      <c r="A11" s="170" t="s">
        <v>31</v>
      </c>
      <c r="B11" s="170"/>
      <c r="C11" s="177">
        <v>1018979.5383515304</v>
      </c>
      <c r="D11" s="177">
        <v>504394.87148400757</v>
      </c>
      <c r="E11" s="170"/>
      <c r="F11" s="178">
        <v>393427.99975752592</v>
      </c>
      <c r="G11" s="170"/>
      <c r="H11" s="180"/>
      <c r="I11" s="177">
        <v>0</v>
      </c>
      <c r="J11" s="177"/>
      <c r="K11" s="170"/>
      <c r="L11" s="178">
        <v>393427.99975752592</v>
      </c>
    </row>
    <row r="12" spans="1:12" x14ac:dyDescent="0.3">
      <c r="A12" s="170" t="s">
        <v>32</v>
      </c>
      <c r="B12" s="170"/>
      <c r="C12" s="177">
        <v>434858.04165987222</v>
      </c>
      <c r="D12" s="177">
        <v>215254.73062163676</v>
      </c>
      <c r="E12" s="170"/>
      <c r="F12" s="178">
        <v>167898.68988487669</v>
      </c>
      <c r="G12" s="170"/>
      <c r="H12" s="179"/>
      <c r="I12" s="177">
        <v>0</v>
      </c>
      <c r="J12" s="177"/>
      <c r="K12" s="170"/>
      <c r="L12" s="178">
        <v>167898.68988487669</v>
      </c>
    </row>
    <row r="13" spans="1:12" x14ac:dyDescent="0.3">
      <c r="A13" s="170" t="s">
        <v>33</v>
      </c>
      <c r="B13" s="170"/>
      <c r="C13" s="177">
        <v>121242.94323480103</v>
      </c>
      <c r="D13" s="177">
        <v>60015.256901226508</v>
      </c>
      <c r="E13" s="170"/>
      <c r="F13" s="178">
        <v>46811.900382956679</v>
      </c>
      <c r="G13" s="170"/>
      <c r="H13" s="180">
        <v>19572.919999999998</v>
      </c>
      <c r="I13" s="177">
        <v>15266.8776</v>
      </c>
      <c r="J13" s="177"/>
      <c r="K13" s="170"/>
      <c r="L13" s="178">
        <v>62078.777982956679</v>
      </c>
    </row>
    <row r="14" spans="1:12" x14ac:dyDescent="0.3">
      <c r="A14" s="170" t="s">
        <v>34</v>
      </c>
      <c r="B14" s="170"/>
      <c r="C14" s="177">
        <v>3126990.0882038507</v>
      </c>
      <c r="D14" s="177">
        <v>1547860.093660906</v>
      </c>
      <c r="E14" s="170"/>
      <c r="F14" s="178">
        <v>1207330.8730555067</v>
      </c>
      <c r="G14" s="170"/>
      <c r="H14" s="179">
        <v>205916</v>
      </c>
      <c r="I14" s="177">
        <v>160614.48000000001</v>
      </c>
      <c r="J14" s="177"/>
      <c r="K14" s="170"/>
      <c r="L14" s="178">
        <v>1367945.3530555067</v>
      </c>
    </row>
    <row r="15" spans="1:12" x14ac:dyDescent="0.3">
      <c r="A15" s="170" t="s">
        <v>35</v>
      </c>
      <c r="B15" s="170"/>
      <c r="C15" s="177">
        <v>737695.9069482832</v>
      </c>
      <c r="D15" s="177">
        <v>365159.47393940017</v>
      </c>
      <c r="E15" s="170"/>
      <c r="F15" s="178">
        <v>284824.38967273216</v>
      </c>
      <c r="G15" s="170"/>
      <c r="H15" s="180"/>
      <c r="I15" s="177">
        <v>0</v>
      </c>
      <c r="J15" s="177"/>
      <c r="K15" s="170"/>
      <c r="L15" s="178">
        <v>284824.38967273216</v>
      </c>
    </row>
    <row r="16" spans="1:12" x14ac:dyDescent="0.3">
      <c r="A16" s="170" t="s">
        <v>36</v>
      </c>
      <c r="B16" s="170"/>
      <c r="C16" s="177">
        <v>855166.88055542833</v>
      </c>
      <c r="D16" s="177">
        <v>423307.60587493703</v>
      </c>
      <c r="E16" s="170"/>
      <c r="F16" s="178">
        <v>330179.93258245091</v>
      </c>
      <c r="G16" s="170"/>
      <c r="H16" s="179">
        <v>42509.52</v>
      </c>
      <c r="I16" s="177">
        <v>33157.425599999995</v>
      </c>
      <c r="J16" s="177"/>
      <c r="K16" s="170"/>
      <c r="L16" s="178">
        <v>363337.35818245093</v>
      </c>
    </row>
    <row r="17" spans="1:12" x14ac:dyDescent="0.3">
      <c r="A17" s="170" t="s">
        <v>37</v>
      </c>
      <c r="B17" s="170"/>
      <c r="C17" s="177">
        <v>77462.718767322978</v>
      </c>
      <c r="D17" s="177">
        <v>38344.045789824871</v>
      </c>
      <c r="E17" s="170"/>
      <c r="F17" s="178">
        <v>29908.355716063401</v>
      </c>
      <c r="G17" s="170"/>
      <c r="H17" s="180"/>
      <c r="I17" s="177">
        <v>0</v>
      </c>
      <c r="J17" s="177"/>
      <c r="K17" s="170"/>
      <c r="L17" s="178">
        <v>29908.355716063401</v>
      </c>
    </row>
    <row r="18" spans="1:12" x14ac:dyDescent="0.3">
      <c r="A18" s="170" t="s">
        <v>38</v>
      </c>
      <c r="B18" s="170"/>
      <c r="C18" s="177">
        <v>347024.22679038619</v>
      </c>
      <c r="D18" s="177">
        <v>171776.99226124116</v>
      </c>
      <c r="E18" s="170"/>
      <c r="F18" s="178">
        <v>133986.05396376812</v>
      </c>
      <c r="G18" s="170"/>
      <c r="H18" s="179">
        <v>20621.919999999998</v>
      </c>
      <c r="I18" s="177">
        <v>16085.097599999999</v>
      </c>
      <c r="J18" s="177">
        <v>73398.460000000006</v>
      </c>
      <c r="K18" s="177">
        <v>57250.798800000004</v>
      </c>
      <c r="L18" s="178">
        <v>207321.95036376815</v>
      </c>
    </row>
    <row r="19" spans="1:12" x14ac:dyDescent="0.3">
      <c r="A19" s="170" t="s">
        <v>39</v>
      </c>
      <c r="B19" s="170"/>
      <c r="C19" s="177">
        <v>134714.40719290738</v>
      </c>
      <c r="D19" s="177">
        <v>66683.631560489157</v>
      </c>
      <c r="E19" s="170"/>
      <c r="F19" s="178">
        <v>52013.232617181544</v>
      </c>
      <c r="G19" s="170"/>
      <c r="H19" s="180"/>
      <c r="I19" s="177">
        <v>0</v>
      </c>
      <c r="J19" s="177"/>
      <c r="K19" s="170"/>
      <c r="L19" s="178">
        <v>52013.232617181544</v>
      </c>
    </row>
    <row r="20" spans="1:12" x14ac:dyDescent="0.3">
      <c r="A20" s="170" t="s">
        <v>40</v>
      </c>
      <c r="B20" s="170"/>
      <c r="C20" s="177">
        <v>1201652.1992113502</v>
      </c>
      <c r="D20" s="177">
        <v>594817.83860961837</v>
      </c>
      <c r="E20" s="170"/>
      <c r="F20" s="178">
        <v>463957.91411550232</v>
      </c>
      <c r="G20" s="170"/>
      <c r="H20" s="179">
        <v>170205.29</v>
      </c>
      <c r="I20" s="177">
        <v>132760.1262</v>
      </c>
      <c r="J20" s="177"/>
      <c r="K20" s="170"/>
      <c r="L20" s="178">
        <v>596718.04031550232</v>
      </c>
    </row>
    <row r="21" spans="1:12" x14ac:dyDescent="0.3">
      <c r="A21" s="170" t="s">
        <v>41</v>
      </c>
      <c r="B21" s="170"/>
      <c r="C21" s="177">
        <v>79212.059345245434</v>
      </c>
      <c r="D21" s="177">
        <v>39209.969375896493</v>
      </c>
      <c r="E21" s="170"/>
      <c r="F21" s="178">
        <v>30583.776113199267</v>
      </c>
      <c r="G21" s="170"/>
      <c r="H21" s="180">
        <v>11860.89</v>
      </c>
      <c r="I21" s="177">
        <v>9251.4941999999992</v>
      </c>
      <c r="J21" s="177"/>
      <c r="K21" s="170"/>
      <c r="L21" s="178">
        <v>39835.270313199268</v>
      </c>
    </row>
    <row r="22" spans="1:12" x14ac:dyDescent="0.3">
      <c r="A22" s="170" t="s">
        <v>42</v>
      </c>
      <c r="B22" s="170"/>
      <c r="C22" s="177">
        <v>161118.42697465586</v>
      </c>
      <c r="D22" s="177">
        <v>79753.621352454647</v>
      </c>
      <c r="E22" s="170"/>
      <c r="F22" s="178">
        <v>62207.824654914628</v>
      </c>
      <c r="G22" s="170"/>
      <c r="H22" s="179">
        <v>25658.21</v>
      </c>
      <c r="I22" s="177">
        <v>20013.4038</v>
      </c>
      <c r="J22" s="177"/>
      <c r="K22" s="170"/>
      <c r="L22" s="178">
        <v>82221.228454914628</v>
      </c>
    </row>
    <row r="23" spans="1:12" x14ac:dyDescent="0.3">
      <c r="A23" s="170" t="s">
        <v>43</v>
      </c>
      <c r="B23" s="170"/>
      <c r="C23" s="177">
        <v>77462.718767322978</v>
      </c>
      <c r="D23" s="177">
        <v>38344.045789824871</v>
      </c>
      <c r="E23" s="170"/>
      <c r="F23" s="178">
        <v>29908.355716063401</v>
      </c>
      <c r="G23" s="170"/>
      <c r="H23" s="180">
        <v>11927.46</v>
      </c>
      <c r="I23" s="177">
        <v>9303.4187999999995</v>
      </c>
      <c r="J23" s="177"/>
      <c r="K23" s="170"/>
      <c r="L23" s="178">
        <v>39211.7745160634</v>
      </c>
    </row>
    <row r="24" spans="1:12" x14ac:dyDescent="0.3">
      <c r="A24" s="170" t="s">
        <v>44</v>
      </c>
      <c r="B24" s="170"/>
      <c r="C24" s="177">
        <v>176745.29108246299</v>
      </c>
      <c r="D24" s="177">
        <v>87488.919085819187</v>
      </c>
      <c r="E24" s="170"/>
      <c r="F24" s="178">
        <v>68241.356886938971</v>
      </c>
      <c r="G24" s="170"/>
      <c r="H24" s="179">
        <v>20614.91</v>
      </c>
      <c r="I24" s="177">
        <v>16079.629800000001</v>
      </c>
      <c r="J24" s="177"/>
      <c r="K24" s="170"/>
      <c r="L24" s="178">
        <v>84320.986686938966</v>
      </c>
    </row>
    <row r="25" spans="1:12" x14ac:dyDescent="0.3">
      <c r="A25" s="170" t="s">
        <v>45</v>
      </c>
      <c r="B25" s="170"/>
      <c r="C25" s="177">
        <v>361573.3520919836</v>
      </c>
      <c r="D25" s="177">
        <v>178978.80928553187</v>
      </c>
      <c r="E25" s="170"/>
      <c r="F25" s="178">
        <v>139603.47124271485</v>
      </c>
      <c r="G25" s="170"/>
      <c r="H25" s="180"/>
      <c r="I25" s="177">
        <v>0</v>
      </c>
      <c r="J25" s="177"/>
      <c r="K25" s="170"/>
      <c r="L25" s="178">
        <v>139603.47124271485</v>
      </c>
    </row>
    <row r="26" spans="1:12" x14ac:dyDescent="0.3">
      <c r="A26" s="170" t="s">
        <v>46</v>
      </c>
      <c r="B26" s="170"/>
      <c r="C26" s="177">
        <v>564722.66295619507</v>
      </c>
      <c r="D26" s="177">
        <v>279537.71816331655</v>
      </c>
      <c r="E26" s="170"/>
      <c r="F26" s="178">
        <v>218039.42016738691</v>
      </c>
      <c r="G26" s="170"/>
      <c r="H26" s="179">
        <v>82638.33</v>
      </c>
      <c r="I26" s="177">
        <v>64457.897400000002</v>
      </c>
      <c r="J26" s="177"/>
      <c r="K26" s="170"/>
      <c r="L26" s="178">
        <v>282497.3175673869</v>
      </c>
    </row>
    <row r="27" spans="1:12" x14ac:dyDescent="0.3">
      <c r="A27" s="170" t="s">
        <v>47</v>
      </c>
      <c r="B27" s="170"/>
      <c r="C27" s="177">
        <v>868099.43637907051</v>
      </c>
      <c r="D27" s="177">
        <v>429709.22100763989</v>
      </c>
      <c r="E27" s="170"/>
      <c r="F27" s="178">
        <v>335173.19238595915</v>
      </c>
      <c r="G27" s="170"/>
      <c r="H27" s="180"/>
      <c r="I27" s="177">
        <v>0</v>
      </c>
      <c r="J27" s="177"/>
      <c r="K27" s="170"/>
      <c r="L27" s="178">
        <v>335173.19238595915</v>
      </c>
    </row>
    <row r="28" spans="1:12" x14ac:dyDescent="0.3">
      <c r="A28" s="170" t="s">
        <v>48</v>
      </c>
      <c r="B28" s="170"/>
      <c r="C28" s="177">
        <v>3485330.3788026427</v>
      </c>
      <c r="D28" s="177">
        <v>1725238.5375073082</v>
      </c>
      <c r="E28" s="170"/>
      <c r="F28" s="178">
        <v>1345686.0592557003</v>
      </c>
      <c r="G28" s="170"/>
      <c r="H28" s="179">
        <v>183714.69</v>
      </c>
      <c r="I28" s="177">
        <v>143297.45819999999</v>
      </c>
      <c r="J28" s="177">
        <v>366992.31</v>
      </c>
      <c r="K28" s="177">
        <v>286254.00180000003</v>
      </c>
      <c r="L28" s="178">
        <v>1775237.5192557003</v>
      </c>
    </row>
    <row r="29" spans="1:12" x14ac:dyDescent="0.3">
      <c r="A29" s="170" t="s">
        <v>49</v>
      </c>
      <c r="B29" s="170"/>
      <c r="C29" s="177">
        <v>90528.045690932267</v>
      </c>
      <c r="D29" s="177">
        <v>44811.38261701147</v>
      </c>
      <c r="E29" s="170"/>
      <c r="F29" s="178">
        <v>34952.878441268949</v>
      </c>
      <c r="G29" s="170"/>
      <c r="H29" s="180"/>
      <c r="I29" s="177">
        <v>0</v>
      </c>
      <c r="J29" s="177"/>
      <c r="K29" s="170"/>
      <c r="L29" s="178">
        <v>34952.878441268949</v>
      </c>
    </row>
    <row r="30" spans="1:12" x14ac:dyDescent="0.3">
      <c r="A30" s="170" t="s">
        <v>50</v>
      </c>
      <c r="B30" s="170"/>
      <c r="C30" s="177">
        <v>1105196.7062803425</v>
      </c>
      <c r="D30" s="177">
        <v>547072.36960876954</v>
      </c>
      <c r="E30" s="170"/>
      <c r="F30" s="178">
        <v>426716.44829484023</v>
      </c>
      <c r="G30" s="170"/>
      <c r="H30" s="179">
        <v>86271.35</v>
      </c>
      <c r="I30" s="177">
        <v>67291.653000000006</v>
      </c>
      <c r="J30" s="177"/>
      <c r="K30" s="170"/>
      <c r="L30" s="178">
        <v>494008.10129484022</v>
      </c>
    </row>
    <row r="31" spans="1:12" x14ac:dyDescent="0.3">
      <c r="A31" s="170" t="s">
        <v>51</v>
      </c>
      <c r="B31" s="170"/>
      <c r="C31" s="177">
        <v>726379.92060259648</v>
      </c>
      <c r="D31" s="177">
        <v>359558.06069828523</v>
      </c>
      <c r="E31" s="170"/>
      <c r="F31" s="178">
        <v>280455.28734466247</v>
      </c>
      <c r="G31" s="170"/>
      <c r="H31" s="180">
        <v>41022.81</v>
      </c>
      <c r="I31" s="177">
        <v>31997.791799999999</v>
      </c>
      <c r="J31" s="177"/>
      <c r="K31" s="170"/>
      <c r="L31" s="178">
        <v>312453.07914466248</v>
      </c>
    </row>
    <row r="32" spans="1:12" x14ac:dyDescent="0.3">
      <c r="A32" s="170" t="s">
        <v>52</v>
      </c>
      <c r="B32" s="170"/>
      <c r="C32" s="177">
        <v>77462.718767322978</v>
      </c>
      <c r="D32" s="177">
        <v>38344.045789824871</v>
      </c>
      <c r="E32" s="170"/>
      <c r="F32" s="178">
        <v>29908.355716063401</v>
      </c>
      <c r="G32" s="170"/>
      <c r="H32" s="179"/>
      <c r="I32" s="177">
        <v>0</v>
      </c>
      <c r="J32" s="177"/>
      <c r="K32" s="170"/>
      <c r="L32" s="178">
        <v>29908.355716063401</v>
      </c>
    </row>
    <row r="33" spans="1:12" x14ac:dyDescent="0.3">
      <c r="A33" s="170" t="s">
        <v>53</v>
      </c>
      <c r="B33" s="170"/>
      <c r="C33" s="177">
        <v>276972.75364112685</v>
      </c>
      <c r="D33" s="177">
        <v>137101.5130523578</v>
      </c>
      <c r="E33" s="170"/>
      <c r="F33" s="178">
        <v>106939.18018083909</v>
      </c>
      <c r="G33" s="170"/>
      <c r="H33" s="180">
        <v>49662.81</v>
      </c>
      <c r="I33" s="177">
        <v>38736.991799999996</v>
      </c>
      <c r="J33" s="177"/>
      <c r="K33" s="170"/>
      <c r="L33" s="178">
        <v>145676.17198083908</v>
      </c>
    </row>
    <row r="34" spans="1:12" x14ac:dyDescent="0.3">
      <c r="A34" s="170" t="s">
        <v>54</v>
      </c>
      <c r="B34" s="170"/>
      <c r="C34" s="177">
        <v>77462.718767322978</v>
      </c>
      <c r="D34" s="177">
        <v>38344.045789824871</v>
      </c>
      <c r="E34" s="170"/>
      <c r="F34" s="178">
        <v>29908.355716063401</v>
      </c>
      <c r="G34" s="170"/>
      <c r="H34" s="179"/>
      <c r="I34" s="177">
        <v>0</v>
      </c>
      <c r="J34" s="177"/>
      <c r="K34" s="170"/>
      <c r="L34" s="178">
        <v>29908.355716063401</v>
      </c>
    </row>
    <row r="35" spans="1:12" x14ac:dyDescent="0.3">
      <c r="A35" s="170" t="s">
        <v>55</v>
      </c>
      <c r="B35" s="170"/>
      <c r="C35" s="177">
        <v>110465.78756085968</v>
      </c>
      <c r="D35" s="177">
        <v>54680.564842625543</v>
      </c>
      <c r="E35" s="170"/>
      <c r="F35" s="178">
        <v>42650.840577247924</v>
      </c>
      <c r="G35" s="170"/>
      <c r="H35" s="180">
        <v>11451</v>
      </c>
      <c r="I35" s="177">
        <v>8931.7800000000007</v>
      </c>
      <c r="J35" s="177"/>
      <c r="K35" s="170"/>
      <c r="L35" s="178">
        <v>51582.620577247922</v>
      </c>
    </row>
    <row r="36" spans="1:12" x14ac:dyDescent="0.3">
      <c r="A36" s="170" t="s">
        <v>56</v>
      </c>
      <c r="B36" s="170"/>
      <c r="C36" s="177">
        <v>96455.492931007815</v>
      </c>
      <c r="D36" s="177">
        <v>47745.469000848869</v>
      </c>
      <c r="E36" s="170"/>
      <c r="F36" s="178">
        <v>37241.465820662117</v>
      </c>
      <c r="G36" s="170"/>
      <c r="H36" s="179">
        <v>14042.87</v>
      </c>
      <c r="I36" s="177">
        <v>10953.438600000001</v>
      </c>
      <c r="J36" s="177"/>
      <c r="K36" s="170"/>
      <c r="L36" s="178">
        <v>48194.904420662118</v>
      </c>
    </row>
    <row r="37" spans="1:12" x14ac:dyDescent="0.3">
      <c r="A37" s="170" t="s">
        <v>57</v>
      </c>
      <c r="B37" s="170"/>
      <c r="C37" s="177">
        <v>368039.7074665234</v>
      </c>
      <c r="D37" s="177">
        <v>182179.65519592908</v>
      </c>
      <c r="E37" s="170"/>
      <c r="F37" s="178">
        <v>142100.1310528247</v>
      </c>
      <c r="G37" s="170"/>
      <c r="H37" s="180">
        <v>26513.03</v>
      </c>
      <c r="I37" s="177">
        <v>20680.163400000001</v>
      </c>
      <c r="J37" s="177"/>
      <c r="K37" s="170"/>
      <c r="L37" s="178">
        <v>162780.29445282469</v>
      </c>
    </row>
    <row r="38" spans="1:12" x14ac:dyDescent="0.3">
      <c r="A38" s="170" t="s">
        <v>58</v>
      </c>
      <c r="B38" s="170"/>
      <c r="C38" s="177">
        <v>101844.03203661912</v>
      </c>
      <c r="D38" s="177">
        <v>50412.795858126461</v>
      </c>
      <c r="E38" s="170"/>
      <c r="F38" s="178">
        <v>39321.980769338639</v>
      </c>
      <c r="G38" s="170"/>
      <c r="H38" s="179"/>
      <c r="I38" s="177">
        <v>0</v>
      </c>
      <c r="J38" s="177"/>
      <c r="K38" s="170"/>
      <c r="L38" s="178">
        <v>39321.980769338639</v>
      </c>
    </row>
    <row r="39" spans="1:12" x14ac:dyDescent="0.3">
      <c r="A39" s="170" t="s">
        <v>59</v>
      </c>
      <c r="B39" s="170"/>
      <c r="C39" s="177">
        <v>77462.718767322978</v>
      </c>
      <c r="D39" s="177">
        <v>38344.045789824871</v>
      </c>
      <c r="E39" s="170"/>
      <c r="F39" s="178">
        <v>29908.355716063401</v>
      </c>
      <c r="G39" s="170"/>
      <c r="H39" s="180"/>
      <c r="I39" s="177">
        <v>0</v>
      </c>
      <c r="J39" s="177"/>
      <c r="K39" s="170"/>
      <c r="L39" s="178">
        <v>29908.355716063401</v>
      </c>
    </row>
    <row r="40" spans="1:12" x14ac:dyDescent="0.3">
      <c r="A40" s="170" t="s">
        <v>60</v>
      </c>
      <c r="B40" s="170"/>
      <c r="C40" s="177">
        <v>750628.54023464408</v>
      </c>
      <c r="D40" s="177">
        <v>371561.12741614884</v>
      </c>
      <c r="E40" s="170"/>
      <c r="F40" s="178">
        <v>289817.67938459612</v>
      </c>
      <c r="G40" s="170"/>
      <c r="H40" s="179">
        <v>68760.759999999995</v>
      </c>
      <c r="I40" s="177">
        <v>53633.392799999994</v>
      </c>
      <c r="J40" s="177"/>
      <c r="K40" s="170"/>
      <c r="L40" s="178">
        <v>343451.07218459609</v>
      </c>
    </row>
    <row r="41" spans="1:12" x14ac:dyDescent="0.3">
      <c r="A41" s="170" t="s">
        <v>61</v>
      </c>
      <c r="B41" s="170"/>
      <c r="C41" s="177">
        <v>1221051.110409532</v>
      </c>
      <c r="D41" s="177">
        <v>604420.29965271836</v>
      </c>
      <c r="E41" s="170"/>
      <c r="F41" s="178">
        <v>471447.83372912032</v>
      </c>
      <c r="G41" s="170"/>
      <c r="H41" s="180"/>
      <c r="I41" s="177">
        <v>0</v>
      </c>
      <c r="J41" s="177"/>
      <c r="K41" s="170"/>
      <c r="L41" s="178">
        <v>471447.83372912032</v>
      </c>
    </row>
    <row r="42" spans="1:12" x14ac:dyDescent="0.3">
      <c r="A42" s="170" t="s">
        <v>62</v>
      </c>
      <c r="B42" s="170"/>
      <c r="C42" s="177">
        <v>532930.10406883527</v>
      </c>
      <c r="D42" s="177">
        <v>263800.40151407343</v>
      </c>
      <c r="E42" s="170"/>
      <c r="F42" s="178">
        <v>205764.31318097727</v>
      </c>
      <c r="G42" s="170"/>
      <c r="H42" s="179">
        <v>27412.45</v>
      </c>
      <c r="I42" s="177">
        <v>21381.711000000003</v>
      </c>
      <c r="J42" s="177"/>
      <c r="K42" s="170"/>
      <c r="L42" s="178">
        <v>227146.02418097729</v>
      </c>
    </row>
    <row r="43" spans="1:12" x14ac:dyDescent="0.3">
      <c r="A43" s="170" t="s">
        <v>63</v>
      </c>
      <c r="B43" s="170"/>
      <c r="C43" s="177">
        <v>324931.084770758</v>
      </c>
      <c r="D43" s="177">
        <v>160840.88696152522</v>
      </c>
      <c r="E43" s="170"/>
      <c r="F43" s="178">
        <v>125455.89182998968</v>
      </c>
      <c r="G43" s="170"/>
      <c r="H43" s="180"/>
      <c r="I43" s="177">
        <v>0</v>
      </c>
      <c r="J43" s="177"/>
      <c r="K43" s="170"/>
      <c r="L43" s="178">
        <v>125455.89182998968</v>
      </c>
    </row>
    <row r="44" spans="1:12" x14ac:dyDescent="0.3">
      <c r="A44" s="170" t="s">
        <v>64</v>
      </c>
      <c r="B44" s="170"/>
      <c r="C44" s="177">
        <v>1135372.7731524657</v>
      </c>
      <c r="D44" s="177">
        <v>562009.52271047048</v>
      </c>
      <c r="E44" s="170"/>
      <c r="F44" s="178">
        <v>438367.42771416699</v>
      </c>
      <c r="G44" s="170"/>
      <c r="H44" s="179">
        <v>119292.73</v>
      </c>
      <c r="I44" s="177">
        <v>93048.329400000002</v>
      </c>
      <c r="J44" s="177"/>
      <c r="K44" s="170"/>
      <c r="L44" s="178">
        <v>531415.75711416698</v>
      </c>
    </row>
    <row r="45" spans="1:12" x14ac:dyDescent="0.3">
      <c r="A45" s="170" t="s">
        <v>65</v>
      </c>
      <c r="B45" s="170"/>
      <c r="C45" s="177">
        <v>1768530.3397799649</v>
      </c>
      <c r="D45" s="177">
        <v>875422.51819108264</v>
      </c>
      <c r="E45" s="170"/>
      <c r="F45" s="178">
        <v>682829.56418904453</v>
      </c>
      <c r="G45" s="170"/>
      <c r="H45" s="180">
        <v>103698.49</v>
      </c>
      <c r="I45" s="177">
        <v>80884.82220000001</v>
      </c>
      <c r="J45" s="177"/>
      <c r="K45" s="170"/>
      <c r="L45" s="178">
        <v>763714.38638904458</v>
      </c>
    </row>
    <row r="46" spans="1:12" x14ac:dyDescent="0.3">
      <c r="A46" s="170" t="s">
        <v>66</v>
      </c>
      <c r="B46" s="170"/>
      <c r="C46" s="177">
        <v>345946.48798417643</v>
      </c>
      <c r="D46" s="177">
        <v>171243.51155216733</v>
      </c>
      <c r="E46" s="170"/>
      <c r="F46" s="178">
        <v>133569.93901069052</v>
      </c>
      <c r="G46" s="170"/>
      <c r="H46" s="179">
        <v>39145.85</v>
      </c>
      <c r="I46" s="177">
        <v>30533.762999999999</v>
      </c>
      <c r="J46" s="177"/>
      <c r="K46" s="170"/>
      <c r="L46" s="178">
        <v>164103.70201069053</v>
      </c>
    </row>
    <row r="47" spans="1:12" x14ac:dyDescent="0.3">
      <c r="A47" s="170" t="s">
        <v>67</v>
      </c>
      <c r="B47" s="170"/>
      <c r="C47" s="177">
        <v>96994.323602753313</v>
      </c>
      <c r="D47" s="177">
        <v>48012.190183362887</v>
      </c>
      <c r="E47" s="170"/>
      <c r="F47" s="178">
        <v>37449.508343023052</v>
      </c>
      <c r="G47" s="170"/>
      <c r="H47" s="180"/>
      <c r="I47" s="177">
        <v>0</v>
      </c>
      <c r="J47" s="177"/>
      <c r="K47" s="170"/>
      <c r="L47" s="178">
        <v>37449.508343023052</v>
      </c>
    </row>
    <row r="48" spans="1:12" x14ac:dyDescent="0.3">
      <c r="A48" s="170" t="s">
        <v>68</v>
      </c>
      <c r="B48" s="170"/>
      <c r="C48" s="177">
        <v>501676.37585322099</v>
      </c>
      <c r="D48" s="177">
        <v>248329.80604734438</v>
      </c>
      <c r="E48" s="170"/>
      <c r="F48" s="178">
        <v>193697.24871692862</v>
      </c>
      <c r="G48" s="170"/>
      <c r="H48" s="179">
        <v>39145.85</v>
      </c>
      <c r="I48" s="177">
        <v>30533.762999999999</v>
      </c>
      <c r="J48" s="177"/>
      <c r="K48" s="170"/>
      <c r="L48" s="178">
        <v>224231.01171692862</v>
      </c>
    </row>
    <row r="49" spans="1:12" x14ac:dyDescent="0.3">
      <c r="A49" s="170" t="s">
        <v>69</v>
      </c>
      <c r="B49" s="170"/>
      <c r="C49" s="177">
        <v>93222.3539750973</v>
      </c>
      <c r="D49" s="177">
        <v>46145.06521767316</v>
      </c>
      <c r="E49" s="170"/>
      <c r="F49" s="178">
        <v>35993.150869785066</v>
      </c>
      <c r="G49" s="170"/>
      <c r="H49" s="180"/>
      <c r="I49" s="177">
        <v>0</v>
      </c>
      <c r="J49" s="177"/>
      <c r="K49" s="170"/>
      <c r="L49" s="178">
        <v>35993.150869785066</v>
      </c>
    </row>
    <row r="50" spans="1:12" x14ac:dyDescent="0.3">
      <c r="A50" s="170" t="s">
        <v>70</v>
      </c>
      <c r="B50" s="170"/>
      <c r="C50" s="177">
        <v>445635.11987109476</v>
      </c>
      <c r="D50" s="177">
        <v>220589.3843361919</v>
      </c>
      <c r="E50" s="170"/>
      <c r="F50" s="178">
        <v>172059.71978222969</v>
      </c>
      <c r="G50" s="170"/>
      <c r="H50" s="179">
        <v>53610.5</v>
      </c>
      <c r="I50" s="177">
        <v>41816.19</v>
      </c>
      <c r="J50" s="177"/>
      <c r="K50" s="170"/>
      <c r="L50" s="178">
        <v>213875.90978222969</v>
      </c>
    </row>
    <row r="51" spans="1:12" x14ac:dyDescent="0.3">
      <c r="A51" s="170" t="s">
        <v>71</v>
      </c>
      <c r="B51" s="170"/>
      <c r="C51" s="177">
        <v>2719613.8051319369</v>
      </c>
      <c r="D51" s="177">
        <v>1346208.8335403088</v>
      </c>
      <c r="E51" s="170"/>
      <c r="F51" s="178">
        <v>1050042.8901614409</v>
      </c>
      <c r="G51" s="170"/>
      <c r="H51" s="180"/>
      <c r="I51" s="177">
        <v>0</v>
      </c>
      <c r="J51" s="177"/>
      <c r="K51" s="170"/>
      <c r="L51" s="178">
        <v>1050042.8901614409</v>
      </c>
    </row>
    <row r="52" spans="1:12" x14ac:dyDescent="0.3">
      <c r="A52" s="170" t="s">
        <v>72</v>
      </c>
      <c r="B52" s="170"/>
      <c r="C52" s="177">
        <v>77462.718767322978</v>
      </c>
      <c r="D52" s="177">
        <v>38344.045789824871</v>
      </c>
      <c r="E52" s="170"/>
      <c r="F52" s="178">
        <v>29908.355716063401</v>
      </c>
      <c r="G52" s="170"/>
      <c r="H52" s="179"/>
      <c r="I52" s="177">
        <v>0</v>
      </c>
      <c r="J52" s="177"/>
      <c r="K52" s="170"/>
      <c r="L52" s="178">
        <v>29908.355716063401</v>
      </c>
    </row>
    <row r="53" spans="1:12" x14ac:dyDescent="0.3">
      <c r="A53" s="170" t="s">
        <v>73</v>
      </c>
      <c r="B53" s="170"/>
      <c r="C53" s="177">
        <v>908513.75079067075</v>
      </c>
      <c r="D53" s="177">
        <v>449714.30664138199</v>
      </c>
      <c r="E53" s="170"/>
      <c r="F53" s="178">
        <v>350777.15918027796</v>
      </c>
      <c r="G53" s="170"/>
      <c r="H53" s="180"/>
      <c r="I53" s="177">
        <v>0</v>
      </c>
      <c r="J53" s="177"/>
      <c r="K53" s="170"/>
      <c r="L53" s="178">
        <v>350777.15918027796</v>
      </c>
    </row>
    <row r="54" spans="1:12" x14ac:dyDescent="0.3">
      <c r="A54" s="170" t="s">
        <v>74</v>
      </c>
      <c r="B54" s="170"/>
      <c r="C54" s="177">
        <v>311459.62081265164</v>
      </c>
      <c r="D54" s="177">
        <v>154172.51230226256</v>
      </c>
      <c r="E54" s="170"/>
      <c r="F54" s="178">
        <v>120254.5595957648</v>
      </c>
      <c r="G54" s="170"/>
      <c r="H54" s="179">
        <v>29188.67</v>
      </c>
      <c r="I54" s="177">
        <v>22767.1626</v>
      </c>
      <c r="J54" s="177"/>
      <c r="K54" s="170"/>
      <c r="L54" s="178">
        <v>143021.7221957648</v>
      </c>
    </row>
    <row r="55" spans="1:12" x14ac:dyDescent="0.3">
      <c r="A55" s="170" t="s">
        <v>75</v>
      </c>
      <c r="B55" s="170"/>
      <c r="C55" s="177">
        <v>124476.08219071156</v>
      </c>
      <c r="D55" s="177">
        <v>61615.660684402224</v>
      </c>
      <c r="E55" s="170"/>
      <c r="F55" s="178">
        <v>48060.215333833738</v>
      </c>
      <c r="G55" s="170"/>
      <c r="H55" s="180"/>
      <c r="I55" s="177">
        <v>0</v>
      </c>
      <c r="J55" s="177"/>
      <c r="K55" s="170"/>
      <c r="L55" s="178">
        <v>48060.215333833738</v>
      </c>
    </row>
    <row r="56" spans="1:12" x14ac:dyDescent="0.3">
      <c r="A56" s="170" t="s">
        <v>76</v>
      </c>
      <c r="B56" s="170"/>
      <c r="C56" s="177">
        <v>12472395.824300386</v>
      </c>
      <c r="D56" s="177">
        <v>6173835.9330286914</v>
      </c>
      <c r="E56" s="170"/>
      <c r="F56" s="178">
        <v>4815592.0277623795</v>
      </c>
      <c r="G56" s="170"/>
      <c r="H56" s="179">
        <v>510793.6</v>
      </c>
      <c r="I56" s="177">
        <v>398419.00799999997</v>
      </c>
      <c r="J56" s="177">
        <v>1027578.48</v>
      </c>
      <c r="K56" s="177">
        <v>801511.21440000006</v>
      </c>
      <c r="L56" s="178">
        <v>6015522.2501623798</v>
      </c>
    </row>
    <row r="57" spans="1:12" x14ac:dyDescent="0.3">
      <c r="A57" s="170" t="s">
        <v>77</v>
      </c>
      <c r="B57" s="170"/>
      <c r="C57" s="177">
        <v>152496.67145041531</v>
      </c>
      <c r="D57" s="177">
        <v>75485.85236795558</v>
      </c>
      <c r="E57" s="170"/>
      <c r="F57" s="178">
        <v>58878.964847005358</v>
      </c>
      <c r="G57" s="170"/>
      <c r="H57" s="180">
        <v>19572.919999999998</v>
      </c>
      <c r="I57" s="177">
        <v>15266.8776</v>
      </c>
      <c r="J57" s="177"/>
      <c r="K57" s="170"/>
      <c r="L57" s="178">
        <v>74145.842447005358</v>
      </c>
    </row>
    <row r="58" spans="1:12" x14ac:dyDescent="0.3">
      <c r="A58" s="170" t="s">
        <v>78</v>
      </c>
      <c r="B58" s="170"/>
      <c r="C58" s="177">
        <v>77462.718767322978</v>
      </c>
      <c r="D58" s="177">
        <v>38344.045789824871</v>
      </c>
      <c r="E58" s="170"/>
      <c r="F58" s="178">
        <v>29908.355716063401</v>
      </c>
      <c r="G58" s="170"/>
      <c r="H58" s="181"/>
      <c r="I58" s="177">
        <v>0</v>
      </c>
      <c r="J58" s="177"/>
      <c r="K58" s="170"/>
      <c r="L58" s="178">
        <v>29908.355716063401</v>
      </c>
    </row>
    <row r="59" spans="1:12" x14ac:dyDescent="0.3">
      <c r="A59" s="170" t="s">
        <v>79</v>
      </c>
      <c r="B59" s="170"/>
      <c r="C59" s="177">
        <v>531313.53459088004</v>
      </c>
      <c r="D59" s="177">
        <v>263000.19962248561</v>
      </c>
      <c r="E59" s="170"/>
      <c r="F59" s="178">
        <v>205140.15570553878</v>
      </c>
      <c r="G59" s="170"/>
      <c r="H59" s="192">
        <v>45559.7</v>
      </c>
      <c r="I59" s="177">
        <v>35536.565999999999</v>
      </c>
      <c r="J59" s="177"/>
      <c r="K59" s="170"/>
      <c r="L59" s="178">
        <v>240676.72170553877</v>
      </c>
    </row>
    <row r="60" spans="1:12" x14ac:dyDescent="0.3">
      <c r="A60" s="170" t="s">
        <v>80</v>
      </c>
      <c r="B60" s="170"/>
      <c r="C60" s="177">
        <v>77462.718767322978</v>
      </c>
      <c r="D60" s="177">
        <v>38344.045789824871</v>
      </c>
      <c r="E60" s="170"/>
      <c r="F60" s="193">
        <v>29908.355716063401</v>
      </c>
      <c r="G60" s="170"/>
      <c r="H60" s="194"/>
      <c r="I60" s="177">
        <v>0</v>
      </c>
      <c r="J60" s="177"/>
      <c r="K60" s="170"/>
      <c r="L60" s="178">
        <v>29908.355716063401</v>
      </c>
    </row>
    <row r="61" spans="1:12" x14ac:dyDescent="0.3">
      <c r="A61" s="170" t="s">
        <v>81</v>
      </c>
      <c r="B61" s="170"/>
      <c r="C61" s="177">
        <v>229014.42251149568</v>
      </c>
      <c r="D61" s="177">
        <v>113362.13914319036</v>
      </c>
      <c r="E61" s="170"/>
      <c r="F61" s="178">
        <v>88422.468531688486</v>
      </c>
      <c r="G61" s="170"/>
      <c r="H61" s="194"/>
      <c r="I61" s="177">
        <v>0</v>
      </c>
      <c r="J61" s="177"/>
      <c r="K61" s="170"/>
      <c r="L61" s="178">
        <v>88422.468531688486</v>
      </c>
    </row>
    <row r="62" spans="1:12" x14ac:dyDescent="0.3">
      <c r="A62" s="170" t="s">
        <v>82</v>
      </c>
      <c r="B62" s="170"/>
      <c r="C62" s="177">
        <v>77462.718767322978</v>
      </c>
      <c r="D62" s="177">
        <v>38344.045789824871</v>
      </c>
      <c r="E62" s="170"/>
      <c r="F62" s="178">
        <v>29908.355716063401</v>
      </c>
      <c r="G62" s="170"/>
      <c r="H62" s="194"/>
      <c r="I62" s="177">
        <v>0</v>
      </c>
      <c r="J62" s="177"/>
      <c r="K62" s="170"/>
      <c r="L62" s="178">
        <v>29908.355716063401</v>
      </c>
    </row>
    <row r="63" spans="1:12" x14ac:dyDescent="0.3">
      <c r="A63" s="170" t="s">
        <v>83</v>
      </c>
      <c r="B63" s="170"/>
      <c r="C63" s="177">
        <v>89450.384347441272</v>
      </c>
      <c r="D63" s="177">
        <v>44277.940251983426</v>
      </c>
      <c r="E63" s="170"/>
      <c r="F63" s="178">
        <v>34536.793396547073</v>
      </c>
      <c r="G63" s="170"/>
      <c r="H63" s="181"/>
      <c r="I63" s="177">
        <v>0</v>
      </c>
      <c r="J63" s="177"/>
      <c r="K63" s="170"/>
      <c r="L63" s="178">
        <v>34536.793396547073</v>
      </c>
    </row>
    <row r="64" spans="1:12" x14ac:dyDescent="0.3">
      <c r="A64" s="170" t="s">
        <v>84</v>
      </c>
      <c r="B64" s="170"/>
      <c r="C64" s="177">
        <v>80289.798151455194</v>
      </c>
      <c r="D64" s="177">
        <v>39743.450084970318</v>
      </c>
      <c r="E64" s="170"/>
      <c r="F64" s="178">
        <v>30999.89106627685</v>
      </c>
      <c r="G64" s="170"/>
      <c r="H64" s="181">
        <v>13072.43</v>
      </c>
      <c r="I64" s="177">
        <v>10196.4954</v>
      </c>
      <c r="J64" s="177"/>
      <c r="K64" s="170"/>
      <c r="L64" s="178">
        <v>41196.386466276846</v>
      </c>
    </row>
    <row r="65" spans="1:12" x14ac:dyDescent="0.3">
      <c r="A65" s="170" t="s">
        <v>85</v>
      </c>
      <c r="B65" s="170"/>
      <c r="C65" s="177">
        <v>77462.718767322978</v>
      </c>
      <c r="D65" s="177">
        <v>38344.045789824871</v>
      </c>
      <c r="E65" s="170"/>
      <c r="F65" s="178">
        <v>29908.355716063401</v>
      </c>
      <c r="G65" s="170"/>
      <c r="H65" s="181"/>
      <c r="I65" s="177">
        <v>0</v>
      </c>
      <c r="J65" s="177"/>
      <c r="K65" s="170"/>
      <c r="L65" s="178">
        <v>29908.355716063401</v>
      </c>
    </row>
    <row r="66" spans="1:12" x14ac:dyDescent="0.3">
      <c r="A66" s="170" t="s">
        <v>86</v>
      </c>
      <c r="B66" s="170"/>
      <c r="C66" s="177">
        <v>181056.09138186453</v>
      </c>
      <c r="D66" s="177">
        <v>89622.76523402294</v>
      </c>
      <c r="E66" s="170"/>
      <c r="F66" s="178">
        <v>69905.756882537898</v>
      </c>
      <c r="G66" s="170"/>
      <c r="H66" s="181"/>
      <c r="I66" s="177">
        <v>0</v>
      </c>
      <c r="J66" s="177"/>
      <c r="K66" s="170"/>
      <c r="L66" s="178">
        <v>69905.756882537898</v>
      </c>
    </row>
    <row r="67" spans="1:12" x14ac:dyDescent="0.3">
      <c r="A67" s="170" t="s">
        <v>87</v>
      </c>
      <c r="B67" s="170"/>
      <c r="C67" s="177">
        <v>77462.718767322978</v>
      </c>
      <c r="D67" s="177">
        <v>38344.045789824871</v>
      </c>
      <c r="E67" s="170"/>
      <c r="F67" s="178">
        <v>29908.355716063401</v>
      </c>
      <c r="G67" s="170"/>
      <c r="H67" s="181"/>
      <c r="I67" s="177">
        <v>0</v>
      </c>
      <c r="J67" s="177"/>
      <c r="K67" s="170"/>
      <c r="L67" s="178">
        <v>29908.355716063401</v>
      </c>
    </row>
    <row r="68" spans="1:12" x14ac:dyDescent="0.3">
      <c r="A68" s="170" t="s">
        <v>88</v>
      </c>
      <c r="B68" s="170"/>
      <c r="C68" s="177">
        <v>887498.34757725231</v>
      </c>
      <c r="D68" s="177">
        <v>439311.68205073988</v>
      </c>
      <c r="E68" s="170"/>
      <c r="F68" s="178">
        <v>342663.11199957714</v>
      </c>
      <c r="G68" s="170"/>
      <c r="H68" s="181">
        <v>66675.600000000006</v>
      </c>
      <c r="I68" s="177">
        <v>52006.968000000008</v>
      </c>
      <c r="J68" s="177"/>
      <c r="K68" s="170"/>
      <c r="L68" s="178">
        <v>394670.07999957714</v>
      </c>
    </row>
    <row r="69" spans="1:12" x14ac:dyDescent="0.3">
      <c r="A69" s="170" t="s">
        <v>89</v>
      </c>
      <c r="B69" s="170"/>
      <c r="C69" s="177">
        <v>169740.10503617767</v>
      </c>
      <c r="D69" s="177">
        <v>84021.351992907948</v>
      </c>
      <c r="E69" s="170"/>
      <c r="F69" s="178">
        <v>65536.654554468201</v>
      </c>
      <c r="G69" s="170"/>
      <c r="H69" s="181"/>
      <c r="I69" s="177">
        <v>0</v>
      </c>
      <c r="J69" s="177"/>
      <c r="K69" s="170"/>
      <c r="L69" s="178">
        <v>65536.654554468201</v>
      </c>
    </row>
    <row r="70" spans="1:12" x14ac:dyDescent="0.3">
      <c r="A70" s="170" t="s">
        <v>90</v>
      </c>
      <c r="B70" s="170"/>
      <c r="C70" s="177">
        <v>1738893.1810423059</v>
      </c>
      <c r="D70" s="177">
        <v>860752.12461594143</v>
      </c>
      <c r="E70" s="170"/>
      <c r="F70" s="178">
        <v>671386.65720043436</v>
      </c>
      <c r="G70" s="170"/>
      <c r="H70" s="181">
        <v>112956.68</v>
      </c>
      <c r="I70" s="177">
        <v>88106.210399999996</v>
      </c>
      <c r="J70" s="177"/>
      <c r="K70" s="170"/>
      <c r="L70" s="178">
        <v>759492.86760043434</v>
      </c>
    </row>
    <row r="71" spans="1:12" x14ac:dyDescent="0.3">
      <c r="A71" s="170" t="s">
        <v>91</v>
      </c>
      <c r="B71" s="170"/>
      <c r="C71" s="177">
        <v>109926.95688911418</v>
      </c>
      <c r="D71" s="177">
        <v>54413.843660111517</v>
      </c>
      <c r="E71" s="170"/>
      <c r="F71" s="178">
        <v>42442.798054886982</v>
      </c>
      <c r="G71" s="170"/>
      <c r="H71" s="181">
        <v>9786.4599999999991</v>
      </c>
      <c r="I71" s="177">
        <v>7633.4387999999999</v>
      </c>
      <c r="J71" s="177"/>
      <c r="K71" s="170"/>
      <c r="L71" s="178">
        <v>50076.236854886985</v>
      </c>
    </row>
    <row r="72" spans="1:12" ht="16.2" x14ac:dyDescent="0.45">
      <c r="A72" s="170" t="s">
        <v>92</v>
      </c>
      <c r="B72" s="170"/>
      <c r="C72" s="182">
        <v>1385402.6763400985</v>
      </c>
      <c r="D72" s="182">
        <v>685774.32478834875</v>
      </c>
      <c r="E72" s="170"/>
      <c r="F72" s="183">
        <v>534903.97333491209</v>
      </c>
      <c r="G72" s="170"/>
      <c r="H72" s="188">
        <v>145371.01999999999</v>
      </c>
      <c r="I72" s="189">
        <v>113389.39559999999</v>
      </c>
      <c r="J72" s="190"/>
      <c r="K72" s="190"/>
      <c r="L72" s="191">
        <v>648293.36893491214</v>
      </c>
    </row>
    <row r="73" spans="1:12" x14ac:dyDescent="0.3">
      <c r="A73" s="170"/>
      <c r="B73" s="170"/>
      <c r="C73" s="177"/>
      <c r="D73" s="177"/>
      <c r="E73" s="170"/>
      <c r="F73" s="178"/>
      <c r="G73" s="170"/>
      <c r="H73" s="181"/>
      <c r="I73" s="170"/>
      <c r="J73" s="170"/>
      <c r="K73" s="170"/>
      <c r="L73" s="178"/>
    </row>
    <row r="74" spans="1:12" x14ac:dyDescent="0.3">
      <c r="A74" s="170" t="s">
        <v>6</v>
      </c>
      <c r="B74" s="170"/>
      <c r="C74" s="177">
        <v>54223231.690279804</v>
      </c>
      <c r="D74" s="177">
        <v>26840499.686688513</v>
      </c>
      <c r="E74" s="170"/>
      <c r="F74" s="178">
        <v>20935589.755617034</v>
      </c>
      <c r="G74" s="170"/>
      <c r="H74" s="184">
        <v>2955297.59108664</v>
      </c>
      <c r="I74" s="178">
        <v>2305132.1210475788</v>
      </c>
      <c r="J74" s="177">
        <v>1467969.25</v>
      </c>
      <c r="K74" s="177">
        <v>1145016.0150000001</v>
      </c>
      <c r="L74" s="178">
        <v>24385737.891664613</v>
      </c>
    </row>
    <row r="75" spans="1:12" x14ac:dyDescent="0.3">
      <c r="A75" s="170"/>
      <c r="B75" s="170"/>
      <c r="C75" s="177"/>
      <c r="D75" s="177"/>
      <c r="E75" s="170"/>
      <c r="F75" s="178"/>
      <c r="G75" s="170"/>
      <c r="H75" s="181"/>
      <c r="I75" s="170"/>
      <c r="J75" s="170"/>
      <c r="K75" s="170"/>
      <c r="L75" s="178"/>
    </row>
    <row r="76" spans="1:12" x14ac:dyDescent="0.3">
      <c r="A76" s="170" t="s">
        <v>501</v>
      </c>
      <c r="B76" s="170"/>
      <c r="C76" s="170"/>
      <c r="D76" s="170"/>
      <c r="E76" s="170"/>
      <c r="F76" s="178"/>
      <c r="G76" s="170"/>
      <c r="H76" s="181"/>
      <c r="I76" s="170"/>
      <c r="J76" s="170"/>
      <c r="K76" s="170"/>
      <c r="L76" s="178"/>
    </row>
    <row r="77" spans="1:12" x14ac:dyDescent="0.3">
      <c r="A77" s="170"/>
      <c r="B77" s="170"/>
      <c r="C77" s="170"/>
      <c r="D77" s="170"/>
      <c r="E77" s="170"/>
      <c r="F77" s="178"/>
      <c r="G77" s="170"/>
      <c r="H77" s="181"/>
      <c r="I77" s="170"/>
      <c r="J77" s="170"/>
      <c r="K77" s="170"/>
      <c r="L77" s="178"/>
    </row>
    <row r="78" spans="1:12" ht="15.6" x14ac:dyDescent="0.3">
      <c r="A78" s="185" t="s">
        <v>248</v>
      </c>
      <c r="B78" s="170"/>
      <c r="C78" s="170"/>
      <c r="D78" s="170"/>
      <c r="E78" s="170"/>
      <c r="F78" s="170"/>
      <c r="G78" s="170"/>
      <c r="H78" s="177">
        <v>178962.07629058108</v>
      </c>
      <c r="I78" s="178">
        <v>139590.41950665324</v>
      </c>
      <c r="J78" s="170"/>
      <c r="K78" s="170"/>
      <c r="L78" s="178">
        <v>139590.41950665324</v>
      </c>
    </row>
    <row r="79" spans="1:12" ht="15.6" x14ac:dyDescent="0.3">
      <c r="A79" s="185" t="s">
        <v>249</v>
      </c>
      <c r="B79" s="170"/>
      <c r="C79" s="170"/>
      <c r="D79" s="170"/>
      <c r="E79" s="170"/>
      <c r="F79" s="170"/>
      <c r="G79" s="170"/>
      <c r="H79" s="177">
        <v>159666.86330377465</v>
      </c>
      <c r="I79" s="178">
        <v>124540.15337694423</v>
      </c>
      <c r="J79" s="170"/>
      <c r="K79" s="170"/>
      <c r="L79" s="178">
        <v>124540.15337694423</v>
      </c>
    </row>
    <row r="80" spans="1:12" ht="15.6" x14ac:dyDescent="0.3">
      <c r="A80" s="185" t="s">
        <v>250</v>
      </c>
      <c r="B80" s="170"/>
      <c r="C80" s="170"/>
      <c r="D80" s="170"/>
      <c r="E80" s="170"/>
      <c r="F80" s="170"/>
      <c r="G80" s="170"/>
      <c r="H80" s="177">
        <v>103677.86173627451</v>
      </c>
      <c r="I80" s="178">
        <v>80868.732154294121</v>
      </c>
      <c r="J80" s="170"/>
      <c r="K80" s="170"/>
      <c r="L80" s="178">
        <v>80868.732154294121</v>
      </c>
    </row>
    <row r="81" spans="1:12" ht="15.6" x14ac:dyDescent="0.3">
      <c r="A81" s="185" t="s">
        <v>251</v>
      </c>
      <c r="B81" s="170"/>
      <c r="C81" s="170"/>
      <c r="D81" s="170"/>
      <c r="E81" s="170"/>
      <c r="F81" s="170"/>
      <c r="G81" s="170"/>
      <c r="H81" s="177">
        <v>98171.191523967078</v>
      </c>
      <c r="I81" s="178">
        <v>76573.529388694325</v>
      </c>
      <c r="J81" s="170"/>
      <c r="K81" s="170"/>
      <c r="L81" s="178">
        <v>76573.529388694325</v>
      </c>
    </row>
    <row r="82" spans="1:12" ht="15.6" x14ac:dyDescent="0.3">
      <c r="A82" s="185" t="s">
        <v>382</v>
      </c>
      <c r="B82" s="170"/>
      <c r="C82" s="170"/>
      <c r="D82" s="170"/>
      <c r="E82" s="170"/>
      <c r="F82" s="170"/>
      <c r="G82" s="170"/>
      <c r="H82" s="177">
        <v>74978.62674318823</v>
      </c>
      <c r="I82" s="178">
        <v>58483.328859686822</v>
      </c>
      <c r="J82" s="170"/>
      <c r="K82" s="170"/>
      <c r="L82" s="178">
        <v>58483.328859686822</v>
      </c>
    </row>
    <row r="83" spans="1:12" ht="15.6" x14ac:dyDescent="0.3">
      <c r="A83" s="185" t="s">
        <v>252</v>
      </c>
      <c r="B83" s="170"/>
      <c r="C83" s="170"/>
      <c r="D83" s="170"/>
      <c r="E83" s="170"/>
      <c r="F83" s="170"/>
      <c r="G83" s="170"/>
      <c r="H83" s="177">
        <v>147926.09102443259</v>
      </c>
      <c r="I83" s="178">
        <v>115382.35099905742</v>
      </c>
      <c r="J83" s="170"/>
      <c r="K83" s="170"/>
      <c r="L83" s="178">
        <v>115382.35099905742</v>
      </c>
    </row>
    <row r="84" spans="1:12" ht="15.6" x14ac:dyDescent="0.3">
      <c r="A84" s="185" t="s">
        <v>253</v>
      </c>
      <c r="B84" s="170"/>
      <c r="C84" s="170"/>
      <c r="D84" s="170"/>
      <c r="E84" s="170"/>
      <c r="F84" s="170"/>
      <c r="G84" s="170"/>
      <c r="H84" s="177">
        <v>86625.286834323633</v>
      </c>
      <c r="I84" s="178">
        <v>67567.723730772443</v>
      </c>
      <c r="J84" s="170"/>
      <c r="K84" s="170"/>
      <c r="L84" s="178">
        <v>67567.723730772443</v>
      </c>
    </row>
    <row r="85" spans="1:12" ht="15.6" x14ac:dyDescent="0.3">
      <c r="A85" s="185" t="s">
        <v>254</v>
      </c>
      <c r="B85" s="170"/>
      <c r="C85" s="170"/>
      <c r="D85" s="170"/>
      <c r="E85" s="170"/>
      <c r="F85" s="170"/>
      <c r="G85" s="170"/>
      <c r="H85" s="177">
        <v>79276.23213759283</v>
      </c>
      <c r="I85" s="178">
        <v>61835.461067322409</v>
      </c>
      <c r="J85" s="170"/>
      <c r="K85" s="170"/>
      <c r="L85" s="178">
        <v>61835.461067322409</v>
      </c>
    </row>
    <row r="86" spans="1:12" ht="15.6" x14ac:dyDescent="0.3">
      <c r="A86" s="185" t="s">
        <v>255</v>
      </c>
      <c r="B86" s="170"/>
      <c r="C86" s="170"/>
      <c r="D86" s="170"/>
      <c r="E86" s="170"/>
      <c r="F86" s="170"/>
      <c r="G86" s="170"/>
      <c r="H86" s="177">
        <v>118705.91738956672</v>
      </c>
      <c r="I86" s="178">
        <v>92590.61556386204</v>
      </c>
      <c r="J86" s="170"/>
      <c r="K86" s="170"/>
      <c r="L86" s="178">
        <v>92590.61556386204</v>
      </c>
    </row>
    <row r="87" spans="1:12" ht="15.6" x14ac:dyDescent="0.3">
      <c r="A87" s="185" t="s">
        <v>256</v>
      </c>
      <c r="B87" s="170"/>
      <c r="C87" s="170"/>
      <c r="D87" s="170"/>
      <c r="E87" s="170"/>
      <c r="F87" s="170"/>
      <c r="G87" s="170"/>
      <c r="H87" s="177">
        <v>22299.606195029206</v>
      </c>
      <c r="I87" s="178">
        <v>17393.692832122782</v>
      </c>
      <c r="J87" s="170"/>
      <c r="K87" s="170"/>
      <c r="L87" s="178">
        <v>17393.692832122782</v>
      </c>
    </row>
    <row r="88" spans="1:12" ht="15.6" x14ac:dyDescent="0.3">
      <c r="A88" s="185" t="s">
        <v>376</v>
      </c>
      <c r="B88" s="170"/>
      <c r="C88" s="170"/>
      <c r="D88" s="170"/>
      <c r="E88" s="170"/>
      <c r="F88" s="170"/>
      <c r="G88" s="170"/>
      <c r="H88" s="177">
        <v>40080.396698233497</v>
      </c>
      <c r="I88" s="178">
        <v>31262.709424622128</v>
      </c>
      <c r="J88" s="170"/>
      <c r="K88" s="170"/>
      <c r="L88" s="178">
        <v>31262.709424622128</v>
      </c>
    </row>
    <row r="89" spans="1:12" ht="15.6" x14ac:dyDescent="0.3">
      <c r="A89" s="185" t="s">
        <v>375</v>
      </c>
      <c r="B89" s="170"/>
      <c r="C89" s="170"/>
      <c r="D89" s="170"/>
      <c r="E89" s="170"/>
      <c r="F89" s="170"/>
      <c r="G89" s="170"/>
      <c r="H89" s="177">
        <v>19812.318625348737</v>
      </c>
      <c r="I89" s="178">
        <v>15453.608527772016</v>
      </c>
      <c r="J89" s="170"/>
      <c r="K89" s="170"/>
      <c r="L89" s="178">
        <v>15453.608527772016</v>
      </c>
    </row>
    <row r="90" spans="1:12" ht="15.6" x14ac:dyDescent="0.3">
      <c r="A90" s="185" t="s">
        <v>374</v>
      </c>
      <c r="B90" s="170"/>
      <c r="C90" s="170"/>
      <c r="D90" s="170"/>
      <c r="E90" s="170"/>
      <c r="F90" s="170"/>
      <c r="G90" s="170"/>
      <c r="H90" s="177">
        <v>19572.923333333336</v>
      </c>
      <c r="I90" s="178">
        <v>15266.880200000003</v>
      </c>
      <c r="J90" s="170"/>
      <c r="K90" s="170"/>
      <c r="L90" s="178">
        <v>15266.880200000003</v>
      </c>
    </row>
    <row r="91" spans="1:12" ht="15.6" x14ac:dyDescent="0.3">
      <c r="A91" s="185" t="s">
        <v>373</v>
      </c>
      <c r="B91" s="170"/>
      <c r="C91" s="170"/>
      <c r="D91" s="170"/>
      <c r="E91" s="170"/>
      <c r="F91" s="170"/>
      <c r="G91" s="170"/>
      <c r="H91" s="177">
        <v>3914.5846666666675</v>
      </c>
      <c r="I91" s="178">
        <v>3053.376040000001</v>
      </c>
      <c r="J91" s="170"/>
      <c r="K91" s="170"/>
      <c r="L91" s="178">
        <v>3053.376040000001</v>
      </c>
    </row>
    <row r="92" spans="1:12" ht="15.6" x14ac:dyDescent="0.3">
      <c r="A92" s="185" t="s">
        <v>372</v>
      </c>
      <c r="B92" s="170"/>
      <c r="C92" s="170"/>
      <c r="D92" s="170"/>
      <c r="E92" s="170"/>
      <c r="F92" s="170"/>
      <c r="G92" s="170"/>
      <c r="H92" s="177">
        <v>9786.461666666668</v>
      </c>
      <c r="I92" s="178">
        <v>7633.4401000000016</v>
      </c>
      <c r="J92" s="170"/>
      <c r="K92" s="170"/>
      <c r="L92" s="178">
        <v>7633.4401000000016</v>
      </c>
    </row>
    <row r="93" spans="1:12" ht="15.6" x14ac:dyDescent="0.3">
      <c r="A93" s="185" t="s">
        <v>371</v>
      </c>
      <c r="B93" s="170"/>
      <c r="C93" s="170"/>
      <c r="D93" s="170"/>
      <c r="E93" s="170"/>
      <c r="F93" s="170"/>
      <c r="G93" s="170"/>
      <c r="H93" s="177">
        <v>3914.5846666666675</v>
      </c>
      <c r="I93" s="178">
        <v>3053.376040000001</v>
      </c>
      <c r="J93" s="170"/>
      <c r="K93" s="170"/>
      <c r="L93" s="178">
        <v>3053.376040000001</v>
      </c>
    </row>
    <row r="94" spans="1:12" ht="15.6" x14ac:dyDescent="0.3">
      <c r="A94" s="185" t="s">
        <v>370</v>
      </c>
      <c r="B94" s="170"/>
      <c r="C94" s="170"/>
      <c r="D94" s="170"/>
      <c r="E94" s="170"/>
      <c r="F94" s="170"/>
      <c r="G94" s="170"/>
      <c r="H94" s="177">
        <v>3914.5846666666675</v>
      </c>
      <c r="I94" s="178">
        <v>3053.376040000001</v>
      </c>
      <c r="J94" s="170"/>
      <c r="K94" s="170"/>
      <c r="L94" s="178">
        <v>3053.376040000001</v>
      </c>
    </row>
    <row r="95" spans="1:12" ht="15.6" x14ac:dyDescent="0.3">
      <c r="A95" s="185" t="s">
        <v>436</v>
      </c>
      <c r="B95" s="170"/>
      <c r="C95" s="170"/>
      <c r="D95" s="170"/>
      <c r="E95" s="170"/>
      <c r="F95" s="170"/>
      <c r="G95" s="170"/>
      <c r="H95" s="177">
        <v>9786.461666666668</v>
      </c>
      <c r="I95" s="178">
        <v>7633.4401000000016</v>
      </c>
      <c r="J95" s="170"/>
      <c r="K95" s="170"/>
      <c r="L95" s="178">
        <v>7633.4401000000016</v>
      </c>
    </row>
    <row r="96" spans="1:12" ht="15.6" x14ac:dyDescent="0.3">
      <c r="A96" s="185" t="s">
        <v>368</v>
      </c>
      <c r="B96" s="170"/>
      <c r="C96" s="170"/>
      <c r="D96" s="170"/>
      <c r="E96" s="170"/>
      <c r="F96" s="170"/>
      <c r="G96" s="170"/>
      <c r="H96" s="177">
        <v>3914.5846666666675</v>
      </c>
      <c r="I96" s="178">
        <v>3053.376040000001</v>
      </c>
      <c r="J96" s="170"/>
      <c r="K96" s="170"/>
      <c r="L96" s="178">
        <v>3053.376040000001</v>
      </c>
    </row>
    <row r="97" spans="1:12" ht="15.6" x14ac:dyDescent="0.3">
      <c r="A97" s="185" t="s">
        <v>367</v>
      </c>
      <c r="B97" s="170"/>
      <c r="C97" s="170"/>
      <c r="D97" s="170"/>
      <c r="E97" s="170"/>
      <c r="F97" s="170"/>
      <c r="G97" s="170"/>
      <c r="H97" s="177">
        <v>9786.461666666668</v>
      </c>
      <c r="I97" s="178">
        <v>7633.4401000000016</v>
      </c>
      <c r="J97" s="170"/>
      <c r="K97" s="170"/>
      <c r="L97" s="178">
        <v>7633.4401000000016</v>
      </c>
    </row>
    <row r="98" spans="1:12" ht="15.6" x14ac:dyDescent="0.3">
      <c r="A98" s="185" t="s">
        <v>366</v>
      </c>
      <c r="B98" s="170"/>
      <c r="C98" s="170"/>
      <c r="D98" s="170"/>
      <c r="E98" s="170"/>
      <c r="F98" s="170"/>
      <c r="G98" s="170"/>
      <c r="H98" s="177">
        <v>9786.461666666668</v>
      </c>
      <c r="I98" s="178">
        <v>7633.4401000000016</v>
      </c>
      <c r="J98" s="170"/>
      <c r="K98" s="170"/>
      <c r="L98" s="178">
        <v>7633.4401000000016</v>
      </c>
    </row>
    <row r="99" spans="1:12" ht="15.6" x14ac:dyDescent="0.3">
      <c r="A99" s="185" t="s">
        <v>365</v>
      </c>
      <c r="B99" s="170"/>
      <c r="C99" s="170"/>
      <c r="D99" s="170"/>
      <c r="E99" s="170"/>
      <c r="F99" s="170"/>
      <c r="G99" s="170"/>
      <c r="H99" s="177">
        <v>9786.461666666668</v>
      </c>
      <c r="I99" s="178">
        <v>7633.4401000000016</v>
      </c>
      <c r="J99" s="170"/>
      <c r="K99" s="170"/>
      <c r="L99" s="178">
        <v>7633.4401000000016</v>
      </c>
    </row>
    <row r="100" spans="1:12" ht="15.6" x14ac:dyDescent="0.3">
      <c r="A100" s="185" t="s">
        <v>257</v>
      </c>
      <c r="B100" s="170"/>
      <c r="C100" s="170"/>
      <c r="D100" s="170"/>
      <c r="E100" s="170"/>
      <c r="F100" s="170"/>
      <c r="G100" s="170"/>
      <c r="H100" s="177">
        <v>10567.504171380569</v>
      </c>
      <c r="I100" s="178">
        <v>8242.6532536768445</v>
      </c>
      <c r="J100" s="170"/>
      <c r="K100" s="170"/>
      <c r="L100" s="178">
        <v>8242.6532536768445</v>
      </c>
    </row>
    <row r="101" spans="1:12" ht="15.6" x14ac:dyDescent="0.3">
      <c r="A101" s="185" t="s">
        <v>258</v>
      </c>
      <c r="B101" s="170"/>
      <c r="C101" s="170"/>
      <c r="D101" s="170"/>
      <c r="E101" s="170"/>
      <c r="F101" s="170"/>
      <c r="G101" s="170"/>
      <c r="H101" s="177">
        <v>9786.461666666668</v>
      </c>
      <c r="I101" s="178">
        <v>7633.4401000000016</v>
      </c>
      <c r="J101" s="170"/>
      <c r="K101" s="170"/>
      <c r="L101" s="178">
        <v>7633.4401000000016</v>
      </c>
    </row>
    <row r="102" spans="1:12" ht="15.6" x14ac:dyDescent="0.3">
      <c r="A102" s="185" t="s">
        <v>260</v>
      </c>
      <c r="B102" s="170"/>
      <c r="C102" s="170"/>
      <c r="D102" s="170"/>
      <c r="E102" s="170"/>
      <c r="F102" s="170"/>
      <c r="G102" s="170"/>
      <c r="H102" s="177">
        <v>14663.287885785454</v>
      </c>
      <c r="I102" s="178">
        <v>11437.364550912655</v>
      </c>
      <c r="J102" s="170"/>
      <c r="K102" s="170"/>
      <c r="L102" s="178">
        <v>11437.364550912655</v>
      </c>
    </row>
    <row r="103" spans="1:12" ht="15.6" x14ac:dyDescent="0.3">
      <c r="A103" s="185" t="s">
        <v>261</v>
      </c>
      <c r="B103" s="170"/>
      <c r="C103" s="170"/>
      <c r="D103" s="170"/>
      <c r="E103" s="170"/>
      <c r="F103" s="170"/>
      <c r="G103" s="170"/>
      <c r="H103" s="177">
        <v>3914.5846666666675</v>
      </c>
      <c r="I103" s="178">
        <v>3053.376040000001</v>
      </c>
      <c r="J103" s="170"/>
      <c r="K103" s="170"/>
      <c r="L103" s="178">
        <v>3053.376040000001</v>
      </c>
    </row>
    <row r="104" spans="1:12" ht="15.6" x14ac:dyDescent="0.3">
      <c r="A104" s="185" t="s">
        <v>262</v>
      </c>
      <c r="B104" s="170"/>
      <c r="C104" s="170"/>
      <c r="D104" s="170"/>
      <c r="E104" s="170"/>
      <c r="F104" s="170"/>
      <c r="G104" s="170"/>
      <c r="H104" s="177">
        <v>9786.461666666668</v>
      </c>
      <c r="I104" s="178">
        <v>7633.4401000000016</v>
      </c>
      <c r="J104" s="170"/>
      <c r="K104" s="170"/>
      <c r="L104" s="178">
        <v>7633.4401000000016</v>
      </c>
    </row>
    <row r="105" spans="1:12" ht="15.6" x14ac:dyDescent="0.3">
      <c r="A105" s="185" t="s">
        <v>264</v>
      </c>
      <c r="B105" s="170"/>
      <c r="C105" s="170"/>
      <c r="D105" s="170"/>
      <c r="E105" s="170"/>
      <c r="F105" s="170"/>
      <c r="G105" s="170"/>
      <c r="H105" s="177">
        <v>9786.461666666668</v>
      </c>
      <c r="I105" s="178">
        <v>7633.4401000000016</v>
      </c>
      <c r="J105" s="170"/>
      <c r="K105" s="170"/>
      <c r="L105" s="178">
        <v>7633.4401000000016</v>
      </c>
    </row>
    <row r="106" spans="1:12" ht="15.6" x14ac:dyDescent="0.3">
      <c r="A106" s="185" t="s">
        <v>265</v>
      </c>
      <c r="B106" s="170"/>
      <c r="C106" s="170"/>
      <c r="D106" s="170"/>
      <c r="E106" s="170"/>
      <c r="F106" s="170"/>
      <c r="G106" s="170"/>
      <c r="H106" s="177">
        <v>11385.386953541667</v>
      </c>
      <c r="I106" s="178">
        <v>8880.6018237625012</v>
      </c>
      <c r="J106" s="170"/>
      <c r="K106" s="170"/>
      <c r="L106" s="178">
        <v>8880.6018237625012</v>
      </c>
    </row>
    <row r="107" spans="1:12" ht="15.6" x14ac:dyDescent="0.3">
      <c r="A107" s="185" t="s">
        <v>266</v>
      </c>
      <c r="B107" s="170"/>
      <c r="C107" s="170"/>
      <c r="D107" s="170"/>
      <c r="E107" s="170"/>
      <c r="F107" s="170"/>
      <c r="G107" s="170"/>
      <c r="H107" s="177">
        <v>96493.288315471422</v>
      </c>
      <c r="I107" s="178">
        <v>75264.764886067715</v>
      </c>
      <c r="J107" s="170"/>
      <c r="K107" s="170"/>
      <c r="L107" s="178">
        <v>75264.764886067715</v>
      </c>
    </row>
    <row r="108" spans="1:12" ht="15.6" x14ac:dyDescent="0.3">
      <c r="A108" s="185" t="s">
        <v>267</v>
      </c>
      <c r="B108" s="170"/>
      <c r="C108" s="170"/>
      <c r="D108" s="170"/>
      <c r="E108" s="170"/>
      <c r="F108" s="170"/>
      <c r="G108" s="170"/>
      <c r="H108" s="177">
        <v>3914.5846666666675</v>
      </c>
      <c r="I108" s="178">
        <v>3053.376040000001</v>
      </c>
      <c r="J108" s="170"/>
      <c r="K108" s="170"/>
      <c r="L108" s="178">
        <v>3053.376040000001</v>
      </c>
    </row>
    <row r="109" spans="1:12" ht="15.6" x14ac:dyDescent="0.3">
      <c r="A109" s="185" t="s">
        <v>269</v>
      </c>
      <c r="B109" s="170"/>
      <c r="C109" s="170"/>
      <c r="D109" s="170"/>
      <c r="E109" s="170"/>
      <c r="F109" s="170"/>
      <c r="G109" s="170"/>
      <c r="H109" s="177">
        <v>3914.5846666666675</v>
      </c>
      <c r="I109" s="178">
        <v>3053.376040000001</v>
      </c>
      <c r="J109" s="170"/>
      <c r="K109" s="170"/>
      <c r="L109" s="178">
        <v>3053.376040000001</v>
      </c>
    </row>
    <row r="110" spans="1:12" ht="15.6" x14ac:dyDescent="0.3">
      <c r="A110" s="185" t="s">
        <v>272</v>
      </c>
      <c r="B110" s="170"/>
      <c r="C110" s="170"/>
      <c r="D110" s="170"/>
      <c r="E110" s="170"/>
      <c r="F110" s="170"/>
      <c r="G110" s="170"/>
      <c r="H110" s="177">
        <v>10702.225517507572</v>
      </c>
      <c r="I110" s="178">
        <v>8347.7359036559064</v>
      </c>
      <c r="J110" s="170"/>
      <c r="K110" s="170"/>
      <c r="L110" s="178">
        <v>8347.7359036559064</v>
      </c>
    </row>
    <row r="111" spans="1:12" ht="15.6" x14ac:dyDescent="0.3">
      <c r="A111" s="185" t="s">
        <v>273</v>
      </c>
      <c r="B111" s="170"/>
      <c r="C111" s="170"/>
      <c r="D111" s="170"/>
      <c r="E111" s="170"/>
      <c r="F111" s="170"/>
      <c r="G111" s="170"/>
      <c r="H111" s="177">
        <v>9786.461666666668</v>
      </c>
      <c r="I111" s="178">
        <v>7633.4401000000016</v>
      </c>
      <c r="J111" s="170"/>
      <c r="K111" s="170"/>
      <c r="L111" s="178">
        <v>7633.4401000000016</v>
      </c>
    </row>
    <row r="112" spans="1:12" ht="15.6" x14ac:dyDescent="0.3">
      <c r="A112" s="185" t="s">
        <v>274</v>
      </c>
      <c r="B112" s="170"/>
      <c r="C112" s="170"/>
      <c r="D112" s="170"/>
      <c r="E112" s="170"/>
      <c r="F112" s="170"/>
      <c r="G112" s="170"/>
      <c r="H112" s="177">
        <v>9786.461666666668</v>
      </c>
      <c r="I112" s="178">
        <v>7633.4401000000016</v>
      </c>
      <c r="J112" s="170"/>
      <c r="K112" s="170"/>
      <c r="L112" s="178">
        <v>7633.4401000000016</v>
      </c>
    </row>
    <row r="113" spans="1:12" ht="15.6" x14ac:dyDescent="0.3">
      <c r="A113" s="185" t="s">
        <v>275</v>
      </c>
      <c r="B113" s="170"/>
      <c r="C113" s="170"/>
      <c r="D113" s="170"/>
      <c r="E113" s="170"/>
      <c r="F113" s="170"/>
      <c r="G113" s="170"/>
      <c r="H113" s="177">
        <v>3914.5846666666675</v>
      </c>
      <c r="I113" s="178">
        <v>3053.376040000001</v>
      </c>
      <c r="J113" s="170"/>
      <c r="K113" s="170"/>
      <c r="L113" s="178">
        <v>3053.376040000001</v>
      </c>
    </row>
    <row r="114" spans="1:12" ht="15.6" x14ac:dyDescent="0.3">
      <c r="A114" s="185" t="s">
        <v>364</v>
      </c>
      <c r="B114" s="170"/>
      <c r="C114" s="170"/>
      <c r="D114" s="170"/>
      <c r="E114" s="170"/>
      <c r="F114" s="170"/>
      <c r="G114" s="170"/>
      <c r="H114" s="177">
        <v>14118.032697678056</v>
      </c>
      <c r="I114" s="178">
        <v>11012.065504188884</v>
      </c>
      <c r="J114" s="170"/>
      <c r="K114" s="170"/>
      <c r="L114" s="178">
        <v>11012.065504188884</v>
      </c>
    </row>
    <row r="115" spans="1:12" ht="15.6" x14ac:dyDescent="0.3">
      <c r="A115" s="185" t="s">
        <v>363</v>
      </c>
      <c r="B115" s="170"/>
      <c r="C115" s="170"/>
      <c r="D115" s="170"/>
      <c r="E115" s="170"/>
      <c r="F115" s="170"/>
      <c r="G115" s="170"/>
      <c r="H115" s="177">
        <v>3914.5846666666675</v>
      </c>
      <c r="I115" s="178">
        <v>3053.376040000001</v>
      </c>
      <c r="J115" s="170"/>
      <c r="K115" s="170"/>
      <c r="L115" s="178">
        <v>3053.376040000001</v>
      </c>
    </row>
    <row r="116" spans="1:12" ht="15.6" x14ac:dyDescent="0.3">
      <c r="A116" s="185" t="s">
        <v>276</v>
      </c>
      <c r="B116" s="170"/>
      <c r="C116" s="170"/>
      <c r="D116" s="170"/>
      <c r="E116" s="170"/>
      <c r="F116" s="170"/>
      <c r="G116" s="170"/>
      <c r="H116" s="177">
        <v>3914.5846666666675</v>
      </c>
      <c r="I116" s="178">
        <v>3053.376040000001</v>
      </c>
      <c r="J116" s="170"/>
      <c r="K116" s="170"/>
      <c r="L116" s="178">
        <v>3053.376040000001</v>
      </c>
    </row>
    <row r="117" spans="1:12" ht="17.399999999999999" x14ac:dyDescent="0.45">
      <c r="A117" s="185" t="s">
        <v>277</v>
      </c>
      <c r="B117" s="170"/>
      <c r="C117" s="170"/>
      <c r="D117" s="170"/>
      <c r="E117" s="170"/>
      <c r="F117" s="170"/>
      <c r="G117" s="170"/>
      <c r="H117" s="182">
        <v>3914.5846666666675</v>
      </c>
      <c r="I117" s="183">
        <v>3053.376040000001</v>
      </c>
      <c r="J117" s="170"/>
      <c r="K117" s="170"/>
      <c r="L117" s="183">
        <v>3053.376040000001</v>
      </c>
    </row>
    <row r="118" spans="1:12" ht="15.6" x14ac:dyDescent="0.3">
      <c r="A118" s="185"/>
      <c r="B118" s="170"/>
      <c r="C118" s="170"/>
      <c r="D118" s="170"/>
      <c r="E118" s="170"/>
      <c r="F118" s="178"/>
      <c r="G118" s="170"/>
      <c r="H118" s="177"/>
      <c r="I118" s="170"/>
      <c r="J118" s="170"/>
      <c r="K118" s="170"/>
      <c r="L118" s="178"/>
    </row>
    <row r="119" spans="1:12" x14ac:dyDescent="0.3">
      <c r="A119" s="170"/>
      <c r="B119" s="170"/>
      <c r="C119" s="170"/>
      <c r="D119" s="177"/>
      <c r="E119" s="170"/>
      <c r="F119" s="178"/>
      <c r="G119" s="170"/>
      <c r="H119" s="177">
        <v>1448610.1653770099</v>
      </c>
      <c r="I119" s="178">
        <v>1129915.9289940686</v>
      </c>
      <c r="J119" s="170"/>
      <c r="K119" s="170"/>
      <c r="L119" s="178">
        <v>1129915.9289940686</v>
      </c>
    </row>
    <row r="120" spans="1:12" ht="15.6" x14ac:dyDescent="0.3">
      <c r="A120" s="185"/>
      <c r="B120" s="170"/>
      <c r="C120" s="170"/>
      <c r="D120" s="177"/>
      <c r="E120" s="170"/>
      <c r="F120" s="178"/>
      <c r="G120" s="170"/>
      <c r="H120" s="170"/>
      <c r="I120" s="170"/>
      <c r="J120" s="170"/>
      <c r="K120" s="170"/>
      <c r="L120" s="178"/>
    </row>
    <row r="121" spans="1:12" ht="15.6" x14ac:dyDescent="0.3">
      <c r="A121" s="185"/>
      <c r="B121" s="170"/>
      <c r="C121" s="170"/>
      <c r="D121" s="177"/>
      <c r="E121" s="170"/>
      <c r="F121" s="170"/>
      <c r="G121" s="170"/>
      <c r="H121" s="170"/>
      <c r="I121" s="170"/>
      <c r="J121" s="170"/>
      <c r="K121" s="170"/>
      <c r="L121" s="178"/>
    </row>
    <row r="122" spans="1:12" x14ac:dyDescent="0.3">
      <c r="A122" s="170" t="s">
        <v>278</v>
      </c>
      <c r="B122" s="170"/>
      <c r="C122" s="186"/>
      <c r="D122" s="177"/>
      <c r="E122" s="170"/>
      <c r="F122" s="177"/>
      <c r="G122" s="170"/>
      <c r="H122" s="177">
        <v>9348591.0700000003</v>
      </c>
      <c r="I122" s="177">
        <v>7291901.0346000008</v>
      </c>
      <c r="J122" s="170"/>
      <c r="K122" s="170"/>
      <c r="L122" s="178">
        <v>7291901.0346000008</v>
      </c>
    </row>
    <row r="123" spans="1:12" x14ac:dyDescent="0.3">
      <c r="A123" s="170" t="s">
        <v>502</v>
      </c>
      <c r="B123" s="170"/>
      <c r="C123" s="177"/>
      <c r="D123" s="177"/>
      <c r="E123" s="170"/>
      <c r="F123" s="177"/>
      <c r="G123" s="170"/>
      <c r="H123" s="177"/>
      <c r="I123" s="187">
        <v>4505067.62</v>
      </c>
      <c r="J123" s="170"/>
      <c r="K123" s="170"/>
      <c r="L123" s="177">
        <v>4505067.62</v>
      </c>
    </row>
    <row r="124" spans="1:12" x14ac:dyDescent="0.3">
      <c r="A124" s="170"/>
      <c r="B124" s="170"/>
      <c r="C124" s="170"/>
      <c r="D124" s="170"/>
      <c r="E124" s="170"/>
      <c r="F124" s="170"/>
      <c r="G124" s="170"/>
      <c r="H124" s="170"/>
      <c r="I124" s="170"/>
      <c r="J124" s="170"/>
      <c r="K124" s="170"/>
      <c r="L124" s="170"/>
    </row>
    <row r="125" spans="1:12" x14ac:dyDescent="0.3">
      <c r="A125" s="170" t="s">
        <v>503</v>
      </c>
      <c r="B125" s="170"/>
      <c r="C125" s="170"/>
      <c r="D125" s="170"/>
      <c r="E125" s="170"/>
      <c r="F125" s="178"/>
      <c r="G125" s="170"/>
      <c r="H125" s="170"/>
      <c r="I125" s="170"/>
      <c r="J125" s="170"/>
      <c r="K125" s="170"/>
      <c r="L125" s="170"/>
    </row>
    <row r="126" spans="1:12" x14ac:dyDescent="0.3">
      <c r="A126" s="170"/>
      <c r="B126" s="170"/>
      <c r="C126" s="170"/>
      <c r="D126" s="170"/>
      <c r="E126" s="170"/>
      <c r="F126" s="170"/>
      <c r="G126" s="170"/>
      <c r="H126" s="170"/>
      <c r="I126" s="170"/>
      <c r="J126" s="170"/>
      <c r="K126" s="170"/>
      <c r="L126" s="170"/>
    </row>
    <row r="127" spans="1:12" x14ac:dyDescent="0.3">
      <c r="A127" s="170"/>
      <c r="B127" s="170"/>
      <c r="C127" s="170"/>
      <c r="D127" s="170"/>
      <c r="E127" s="170"/>
      <c r="F127" s="170"/>
      <c r="G127" s="170"/>
      <c r="H127" s="170"/>
      <c r="I127" s="170"/>
      <c r="J127" s="170"/>
      <c r="K127" s="170"/>
      <c r="L127" s="170"/>
    </row>
    <row r="128" spans="1:12" x14ac:dyDescent="0.3">
      <c r="A128" s="170"/>
      <c r="B128" s="170"/>
      <c r="C128" s="170"/>
      <c r="D128" s="170"/>
      <c r="E128" s="170"/>
      <c r="F128" s="170"/>
      <c r="G128" s="170"/>
      <c r="H128" s="170"/>
      <c r="I128" s="170"/>
      <c r="J128" s="170"/>
      <c r="K128" s="170"/>
      <c r="L128" s="170"/>
    </row>
    <row r="129" spans="1:12" x14ac:dyDescent="0.3">
      <c r="A129" s="170" t="s">
        <v>504</v>
      </c>
      <c r="B129" s="170"/>
      <c r="C129" s="170"/>
      <c r="D129" s="177">
        <v>47835145.780000001</v>
      </c>
      <c r="E129" s="170"/>
      <c r="F129" s="170"/>
      <c r="G129" s="170"/>
      <c r="H129" s="170"/>
      <c r="I129" s="170"/>
      <c r="J129" s="170"/>
      <c r="K129" s="170"/>
      <c r="L129" s="170"/>
    </row>
    <row r="130" spans="1:12" x14ac:dyDescent="0.3">
      <c r="A130" s="170" t="s">
        <v>505</v>
      </c>
      <c r="B130" s="170"/>
      <c r="C130" s="170"/>
      <c r="D130" s="178">
        <v>10506460.59</v>
      </c>
      <c r="E130" s="170"/>
      <c r="F130" s="170"/>
      <c r="G130" s="170"/>
      <c r="H130" s="170"/>
      <c r="I130" s="170"/>
      <c r="J130" s="170"/>
      <c r="K130" s="170"/>
      <c r="L130" s="170"/>
    </row>
    <row r="131" spans="1:12" x14ac:dyDescent="0.3">
      <c r="A131" s="170" t="s">
        <v>506</v>
      </c>
      <c r="B131" s="170"/>
      <c r="C131" s="170"/>
      <c r="D131" s="178">
        <v>37328685.189999998</v>
      </c>
      <c r="E131" s="170"/>
      <c r="F131" s="170"/>
      <c r="G131" s="170"/>
      <c r="H131" s="170"/>
      <c r="I131" s="170"/>
      <c r="J131" s="170"/>
      <c r="K131" s="170"/>
      <c r="L131" s="170"/>
    </row>
    <row r="132" spans="1:12" x14ac:dyDescent="0.3">
      <c r="A132" s="170"/>
      <c r="B132" s="170"/>
      <c r="C132" s="170"/>
      <c r="D132" s="177"/>
      <c r="E132" s="170"/>
      <c r="F132" s="178"/>
      <c r="G132" s="178"/>
      <c r="H132" s="170"/>
      <c r="I132" s="170"/>
      <c r="J132" s="170"/>
      <c r="K132" s="170"/>
      <c r="L132" s="170"/>
    </row>
    <row r="133" spans="1:12" x14ac:dyDescent="0.3">
      <c r="A133" s="170" t="s">
        <v>507</v>
      </c>
      <c r="B133" s="170"/>
      <c r="C133" s="170"/>
      <c r="D133" s="186">
        <v>0.78036106258940718</v>
      </c>
      <c r="E133" s="170"/>
      <c r="F133" s="170"/>
      <c r="G133" s="170"/>
      <c r="H133" s="170"/>
      <c r="I133" s="170"/>
      <c r="J133" s="170"/>
      <c r="K133" s="170"/>
      <c r="L133" s="1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736E-82E7-4760-AE78-9CCBAA2ADC3D}">
  <dimension ref="B1:AR143"/>
  <sheetViews>
    <sheetView topLeftCell="U1" workbookViewId="0">
      <selection activeCell="AA129" sqref="AA129"/>
    </sheetView>
  </sheetViews>
  <sheetFormatPr defaultRowHeight="14.4" x14ac:dyDescent="0.3"/>
  <cols>
    <col min="4" max="4" width="15.6640625" customWidth="1"/>
    <col min="5" max="5" width="4" customWidth="1"/>
    <col min="8" max="8" width="16.21875" customWidth="1"/>
    <col min="9" max="9" width="3.6640625" customWidth="1"/>
    <col min="10" max="10" width="5.6640625" customWidth="1"/>
    <col min="11" max="11" width="45.21875" bestFit="1" customWidth="1"/>
    <col min="12" max="12" width="15.44140625" customWidth="1"/>
    <col min="13" max="13" width="4" customWidth="1"/>
    <col min="14" max="14" width="5.109375" customWidth="1"/>
    <col min="15" max="15" width="45.21875" bestFit="1" customWidth="1"/>
    <col min="16" max="16" width="16.88671875" customWidth="1"/>
    <col min="17" max="17" width="2.6640625" customWidth="1"/>
    <col min="18" max="18" width="7" customWidth="1"/>
    <col min="19" max="19" width="35.88671875" bestFit="1" customWidth="1"/>
    <col min="20" max="20" width="16.5546875" customWidth="1"/>
    <col min="21" max="21" width="2.33203125" customWidth="1"/>
    <col min="22" max="22" width="6.44140625" customWidth="1"/>
    <col min="23" max="23" width="37" bestFit="1" customWidth="1"/>
    <col min="24" max="24" width="19.77734375" customWidth="1"/>
    <col min="25" max="25" width="2.21875" customWidth="1"/>
    <col min="26" max="26" width="1.77734375" customWidth="1"/>
    <col min="27" max="27" width="2.109375" customWidth="1"/>
    <col min="28" max="28" width="9.88671875" customWidth="1"/>
    <col min="29" max="29" width="12.77734375" customWidth="1"/>
    <col min="30" max="30" width="3" customWidth="1"/>
    <col min="31" max="31" width="12.5546875" customWidth="1"/>
    <col min="32" max="32" width="1.5546875" customWidth="1"/>
    <col min="33" max="33" width="2.88671875" customWidth="1"/>
    <col min="34" max="34" width="7.88671875" customWidth="1"/>
    <col min="35" max="35" width="4.33203125" customWidth="1"/>
    <col min="36" max="36" width="50.6640625" bestFit="1" customWidth="1"/>
    <col min="37" max="37" width="8.33203125" hidden="1" customWidth="1"/>
    <col min="38" max="39" width="17.21875" customWidth="1"/>
    <col min="41" max="41" width="16.77734375" customWidth="1"/>
  </cols>
  <sheetData>
    <row r="1" spans="2:44" x14ac:dyDescent="0.3">
      <c r="B1" s="16" t="s">
        <v>247</v>
      </c>
      <c r="C1" s="16"/>
      <c r="D1" s="16"/>
      <c r="E1" s="16"/>
      <c r="F1" s="16"/>
      <c r="Z1" s="16"/>
      <c r="AM1" s="16"/>
    </row>
    <row r="2" spans="2:44" x14ac:dyDescent="0.3">
      <c r="C2" s="54"/>
      <c r="D2" s="46" t="s">
        <v>243</v>
      </c>
      <c r="E2" s="46"/>
      <c r="F2" s="46"/>
      <c r="G2" s="46"/>
      <c r="H2" s="46" t="s">
        <v>245</v>
      </c>
      <c r="I2" s="54"/>
      <c r="J2" s="54"/>
      <c r="K2" s="54"/>
      <c r="L2" s="46"/>
      <c r="M2" s="54"/>
      <c r="N2" s="54"/>
      <c r="O2" s="54"/>
      <c r="P2" s="46"/>
      <c r="Q2" s="46"/>
      <c r="R2" s="46"/>
      <c r="S2" s="46"/>
      <c r="T2" s="46" t="s">
        <v>279</v>
      </c>
      <c r="U2" s="46"/>
      <c r="V2" s="46"/>
      <c r="W2" s="54"/>
      <c r="X2" s="54"/>
      <c r="Y2" s="54"/>
      <c r="Z2" s="55"/>
      <c r="AA2" s="54"/>
      <c r="AB2" s="54"/>
      <c r="AC2" s="54"/>
      <c r="AD2" s="54"/>
      <c r="AE2" s="54"/>
      <c r="AF2" s="54"/>
      <c r="AG2" s="54"/>
      <c r="AH2" s="54"/>
      <c r="AI2" s="54"/>
      <c r="AJ2" s="54"/>
      <c r="AK2" s="54"/>
      <c r="AL2" s="54"/>
      <c r="AN2" s="54"/>
      <c r="AO2" s="54"/>
      <c r="AP2" s="54"/>
      <c r="AQ2" s="54"/>
      <c r="AR2" s="54"/>
    </row>
    <row r="3" spans="2:44" x14ac:dyDescent="0.3">
      <c r="C3" s="56"/>
      <c r="D3" s="44" t="s">
        <v>244</v>
      </c>
      <c r="E3" s="44"/>
      <c r="F3" s="46"/>
      <c r="G3" s="44"/>
      <c r="H3" s="44" t="s">
        <v>246</v>
      </c>
      <c r="I3" s="56"/>
      <c r="J3" s="54"/>
      <c r="K3" s="56"/>
      <c r="L3" s="44" t="s">
        <v>280</v>
      </c>
      <c r="M3" s="56"/>
      <c r="N3" s="54"/>
      <c r="O3" s="56"/>
      <c r="P3" s="46" t="s">
        <v>281</v>
      </c>
      <c r="Q3" s="46"/>
      <c r="R3" s="46"/>
      <c r="S3" s="44"/>
      <c r="T3" s="44" t="s">
        <v>282</v>
      </c>
      <c r="U3" s="44"/>
      <c r="V3" s="46"/>
      <c r="W3" s="56"/>
      <c r="X3" s="44" t="s">
        <v>283</v>
      </c>
      <c r="Y3" s="46"/>
      <c r="Z3" s="52"/>
      <c r="AA3" s="46"/>
      <c r="AB3" s="57"/>
      <c r="AC3" s="44" t="s">
        <v>242</v>
      </c>
      <c r="AD3" s="44"/>
      <c r="AE3" s="44" t="s">
        <v>286</v>
      </c>
      <c r="AF3" s="44"/>
      <c r="AG3" s="46"/>
      <c r="AH3" s="46"/>
      <c r="AI3" s="46"/>
      <c r="AJ3" s="54"/>
      <c r="AK3" s="54"/>
      <c r="AL3" s="54"/>
      <c r="AN3" s="54"/>
      <c r="AP3" s="54"/>
      <c r="AQ3" s="54"/>
      <c r="AR3" s="54"/>
    </row>
    <row r="4" spans="2:44" x14ac:dyDescent="0.3">
      <c r="C4" s="44" t="s">
        <v>4</v>
      </c>
      <c r="D4" s="130" t="s">
        <v>224</v>
      </c>
      <c r="E4" s="47"/>
      <c r="F4" s="54"/>
      <c r="G4" s="44" t="s">
        <v>4</v>
      </c>
      <c r="H4" s="43" t="s">
        <v>491</v>
      </c>
      <c r="I4" s="44"/>
      <c r="J4" s="54"/>
      <c r="K4" s="44" t="s">
        <v>117</v>
      </c>
      <c r="L4" s="47" t="s">
        <v>224</v>
      </c>
      <c r="M4" s="47"/>
      <c r="N4" s="54"/>
      <c r="O4" s="44" t="s">
        <v>117</v>
      </c>
      <c r="P4" s="47" t="s">
        <v>224</v>
      </c>
      <c r="Q4" s="47"/>
      <c r="R4" s="54"/>
      <c r="S4" s="44" t="s">
        <v>117</v>
      </c>
      <c r="T4" s="44" t="s">
        <v>224</v>
      </c>
      <c r="U4" s="44"/>
      <c r="V4" s="54"/>
      <c r="W4" s="47" t="s">
        <v>117</v>
      </c>
      <c r="X4" s="47" t="s">
        <v>224</v>
      </c>
      <c r="Y4" s="44"/>
      <c r="Z4" s="44"/>
      <c r="AA4" s="44"/>
      <c r="AB4" s="48" t="s">
        <v>285</v>
      </c>
      <c r="AC4" s="44" t="s">
        <v>490</v>
      </c>
      <c r="AD4" s="44"/>
      <c r="AE4" s="44" t="s">
        <v>224</v>
      </c>
      <c r="AF4" s="44"/>
      <c r="AG4" s="46"/>
      <c r="AH4" s="46"/>
      <c r="AI4" s="46"/>
      <c r="AJ4" s="44" t="s">
        <v>284</v>
      </c>
      <c r="AK4" s="54"/>
      <c r="AL4" s="44" t="s">
        <v>224</v>
      </c>
      <c r="AM4" s="46"/>
      <c r="AN4" s="54"/>
      <c r="AO4" s="46"/>
      <c r="AP4" s="54"/>
      <c r="AQ4" s="54"/>
      <c r="AR4" s="54"/>
    </row>
    <row r="5" spans="2:44" x14ac:dyDescent="0.3">
      <c r="C5" t="s">
        <v>26</v>
      </c>
      <c r="D5" s="148">
        <v>51790.499733514465</v>
      </c>
      <c r="E5" s="49"/>
      <c r="F5" s="49"/>
      <c r="G5" s="49" t="s">
        <v>26</v>
      </c>
      <c r="H5" s="7">
        <v>103713.52148849593</v>
      </c>
      <c r="I5" s="50"/>
      <c r="J5" s="49"/>
      <c r="K5" s="49" t="s">
        <v>119</v>
      </c>
      <c r="L5" s="49">
        <v>9149.9655967038161</v>
      </c>
      <c r="M5" s="49"/>
      <c r="N5" s="49"/>
      <c r="O5" s="49" t="s">
        <v>119</v>
      </c>
      <c r="P5" s="49">
        <v>10646.721810136281</v>
      </c>
      <c r="Q5" s="49"/>
      <c r="S5" t="s">
        <v>119</v>
      </c>
      <c r="T5" s="66">
        <v>41016.773232484229</v>
      </c>
      <c r="U5" s="66"/>
      <c r="V5" s="49"/>
      <c r="W5" s="49" t="s">
        <v>119</v>
      </c>
      <c r="X5" s="58">
        <v>727.43173307809639</v>
      </c>
      <c r="Y5" s="58"/>
      <c r="Z5" s="58"/>
      <c r="AA5" s="58"/>
      <c r="AC5" s="49"/>
      <c r="AD5" s="49"/>
      <c r="AE5" s="49"/>
      <c r="AF5" s="58"/>
      <c r="AG5" s="58"/>
      <c r="AH5" s="58"/>
      <c r="AI5" s="58"/>
      <c r="AJ5" t="s">
        <v>26</v>
      </c>
      <c r="AL5" s="7">
        <f>+D5+H5+L5+P5+T5+X5+AC5+AE5</f>
        <v>217044.91359441282</v>
      </c>
      <c r="AM5" s="45"/>
      <c r="AO5" s="7"/>
    </row>
    <row r="6" spans="2:44" x14ac:dyDescent="0.3">
      <c r="C6" t="s">
        <v>27</v>
      </c>
      <c r="D6" s="148">
        <v>1734981.8601073241</v>
      </c>
      <c r="E6" s="49"/>
      <c r="F6" s="49"/>
      <c r="G6" s="49" t="s">
        <v>27</v>
      </c>
      <c r="H6" s="7">
        <v>1224362.0386420412</v>
      </c>
      <c r="I6" s="50"/>
      <c r="J6" s="49"/>
      <c r="K6" s="49" t="s">
        <v>121</v>
      </c>
      <c r="L6" s="49">
        <v>91967.579407959784</v>
      </c>
      <c r="M6" s="49"/>
      <c r="N6" s="49"/>
      <c r="O6" s="49"/>
      <c r="P6" s="49"/>
      <c r="Q6" s="49"/>
      <c r="S6" t="s">
        <v>121</v>
      </c>
      <c r="T6" s="40">
        <v>218414.62403740056</v>
      </c>
      <c r="U6" s="40"/>
      <c r="V6" s="49"/>
      <c r="W6" s="49" t="s">
        <v>121</v>
      </c>
      <c r="X6" s="58">
        <v>8408.5459929256758</v>
      </c>
      <c r="Y6" s="58"/>
      <c r="Z6" s="58"/>
      <c r="AA6" s="58"/>
      <c r="AC6" s="49"/>
      <c r="AD6" s="49"/>
      <c r="AE6" s="49"/>
      <c r="AF6" s="58"/>
      <c r="AG6" s="58"/>
      <c r="AH6" s="58"/>
      <c r="AI6" s="58"/>
      <c r="AJ6" t="s">
        <v>27</v>
      </c>
      <c r="AL6" s="7">
        <f t="shared" ref="AL6:AL69" si="0">+D6+H6+L6+P6+T6+X6+AC6+AE6</f>
        <v>3278134.6481876513</v>
      </c>
      <c r="AM6" s="45"/>
      <c r="AN6" s="7"/>
      <c r="AO6" s="7"/>
    </row>
    <row r="7" spans="2:44" x14ac:dyDescent="0.3">
      <c r="C7" t="s">
        <v>28</v>
      </c>
      <c r="D7" s="148">
        <v>91235.597574081374</v>
      </c>
      <c r="E7" s="49"/>
      <c r="F7" s="49"/>
      <c r="G7" s="49" t="s">
        <v>28</v>
      </c>
      <c r="H7" s="7">
        <v>65177.749648649959</v>
      </c>
      <c r="I7" s="50"/>
      <c r="J7" s="49"/>
      <c r="K7" s="49" t="s">
        <v>123</v>
      </c>
      <c r="L7" s="49">
        <v>4821.1391619131537</v>
      </c>
      <c r="M7" s="49"/>
      <c r="N7" s="49"/>
      <c r="O7" s="49" t="s">
        <v>123</v>
      </c>
      <c r="P7" s="49">
        <v>6720.8892311069039</v>
      </c>
      <c r="Q7" s="49"/>
      <c r="S7" t="s">
        <v>123</v>
      </c>
      <c r="T7" s="49">
        <v>20508.386616242115</v>
      </c>
      <c r="U7" s="49"/>
      <c r="V7" s="49"/>
      <c r="W7" s="49" t="s">
        <v>123</v>
      </c>
      <c r="X7" s="58">
        <v>440.79414335149141</v>
      </c>
      <c r="Y7" s="58"/>
      <c r="Z7" s="58"/>
      <c r="AA7" s="58"/>
      <c r="AC7" s="49"/>
      <c r="AD7" s="49"/>
      <c r="AE7" s="49"/>
      <c r="AF7" s="58"/>
      <c r="AG7" s="58"/>
      <c r="AH7" s="58"/>
      <c r="AI7" s="58"/>
      <c r="AJ7" t="s">
        <v>28</v>
      </c>
      <c r="AL7" s="7">
        <f t="shared" si="0"/>
        <v>188904.55637534501</v>
      </c>
      <c r="AM7" s="45"/>
      <c r="AO7" s="7"/>
    </row>
    <row r="8" spans="2:44" x14ac:dyDescent="0.3">
      <c r="C8" t="s">
        <v>29</v>
      </c>
      <c r="D8" s="148">
        <v>191805.51971359705</v>
      </c>
      <c r="E8" s="49"/>
      <c r="F8" s="49"/>
      <c r="G8" s="49" t="s">
        <v>29</v>
      </c>
      <c r="H8" s="7">
        <v>165050.17876193</v>
      </c>
      <c r="I8" s="50"/>
      <c r="J8" s="49"/>
      <c r="K8" s="49" t="s">
        <v>124</v>
      </c>
      <c r="L8" s="49">
        <v>12370.540957949006</v>
      </c>
      <c r="M8" s="49"/>
      <c r="N8" s="49"/>
      <c r="O8" s="49" t="s">
        <v>124</v>
      </c>
      <c r="P8" s="49">
        <v>17245.1017726387</v>
      </c>
      <c r="Q8" s="49"/>
      <c r="S8" t="s">
        <v>124</v>
      </c>
      <c r="T8" s="49">
        <v>41016.773232484229</v>
      </c>
      <c r="U8" s="49"/>
      <c r="V8" s="49"/>
      <c r="W8" s="49" t="s">
        <v>124</v>
      </c>
      <c r="X8" s="58">
        <v>1131.0318622269003</v>
      </c>
      <c r="Y8" s="58"/>
      <c r="Z8" s="58"/>
      <c r="AA8" s="58"/>
      <c r="AC8" s="49"/>
      <c r="AD8" s="49"/>
      <c r="AE8" s="49"/>
      <c r="AF8" s="49"/>
      <c r="AG8" s="49"/>
      <c r="AH8" s="58"/>
      <c r="AI8" s="58"/>
      <c r="AJ8" t="s">
        <v>29</v>
      </c>
      <c r="AL8" s="7">
        <f t="shared" si="0"/>
        <v>428619.14630082587</v>
      </c>
      <c r="AM8" s="45"/>
      <c r="AO8" s="7"/>
    </row>
    <row r="9" spans="2:44" x14ac:dyDescent="0.3">
      <c r="C9" t="s">
        <v>30</v>
      </c>
      <c r="D9" s="148">
        <v>28906.338015596793</v>
      </c>
      <c r="E9" s="49"/>
      <c r="F9" s="49"/>
      <c r="G9" s="49" t="s">
        <v>30</v>
      </c>
      <c r="H9" s="7">
        <v>48215.525993273339</v>
      </c>
      <c r="I9" s="50"/>
      <c r="J9" s="49"/>
      <c r="K9" s="49" t="s">
        <v>125</v>
      </c>
      <c r="L9" s="49">
        <v>3498.8153681677618</v>
      </c>
      <c r="M9" s="49"/>
      <c r="N9" s="49"/>
      <c r="O9" s="49" t="s">
        <v>125</v>
      </c>
      <c r="P9" s="49">
        <v>4877.5091819209429</v>
      </c>
      <c r="Q9" s="49"/>
      <c r="S9" t="s">
        <v>125</v>
      </c>
      <c r="T9" s="49">
        <v>10286.386642858055</v>
      </c>
      <c r="U9" s="49"/>
      <c r="V9" s="49"/>
      <c r="W9" s="49" t="s">
        <v>125</v>
      </c>
      <c r="X9" s="58">
        <v>319.89479481121919</v>
      </c>
      <c r="Y9" s="58"/>
      <c r="Z9" s="58"/>
      <c r="AA9" s="58"/>
      <c r="AC9" s="49"/>
      <c r="AD9" s="49"/>
      <c r="AE9" s="49"/>
      <c r="AF9" s="49"/>
      <c r="AG9" s="49"/>
      <c r="AH9" s="58"/>
      <c r="AI9" s="58"/>
      <c r="AJ9" t="s">
        <v>30</v>
      </c>
      <c r="AL9" s="7">
        <f t="shared" si="0"/>
        <v>96104.469996628119</v>
      </c>
      <c r="AM9" s="45"/>
      <c r="AO9" s="7"/>
    </row>
    <row r="10" spans="2:44" x14ac:dyDescent="0.3">
      <c r="C10" t="s">
        <v>31</v>
      </c>
      <c r="D10" s="148">
        <v>284697.21306420863</v>
      </c>
      <c r="E10" s="49"/>
      <c r="F10" s="49"/>
      <c r="G10" s="49" t="s">
        <v>31</v>
      </c>
      <c r="H10" s="7">
        <v>424044.51615083049</v>
      </c>
      <c r="I10" s="50"/>
      <c r="J10" s="49"/>
      <c r="K10" s="49"/>
      <c r="L10" s="49"/>
      <c r="M10" s="49"/>
      <c r="N10" s="49"/>
      <c r="O10" s="49"/>
      <c r="Q10" s="49"/>
      <c r="V10" s="49"/>
      <c r="W10" s="49"/>
      <c r="Y10" s="58"/>
      <c r="Z10" s="58"/>
      <c r="AA10" s="58"/>
      <c r="AC10" s="49"/>
      <c r="AD10" s="58"/>
      <c r="AE10" s="49"/>
      <c r="AF10" s="49"/>
      <c r="AG10" s="49"/>
      <c r="AH10" s="58"/>
      <c r="AI10" s="58"/>
      <c r="AJ10" t="s">
        <v>31</v>
      </c>
      <c r="AL10" s="7">
        <f t="shared" si="0"/>
        <v>708741.72921503917</v>
      </c>
      <c r="AM10" s="45"/>
      <c r="AO10" s="7"/>
    </row>
    <row r="11" spans="2:44" x14ac:dyDescent="0.3">
      <c r="C11" t="s">
        <v>32</v>
      </c>
      <c r="D11" s="148">
        <v>121496.91714066126</v>
      </c>
      <c r="E11" s="49"/>
      <c r="F11" s="49"/>
      <c r="G11" s="49" t="s">
        <v>32</v>
      </c>
      <c r="H11" s="7">
        <v>122662.23931328302</v>
      </c>
      <c r="I11" s="50"/>
      <c r="J11" s="49"/>
      <c r="K11" s="49"/>
      <c r="L11" s="49"/>
      <c r="M11" s="49"/>
      <c r="N11" s="49"/>
      <c r="O11" s="49"/>
      <c r="P11" s="49"/>
      <c r="Q11" s="49"/>
      <c r="V11" s="49"/>
      <c r="W11" s="49"/>
      <c r="Y11" s="58"/>
      <c r="Z11" s="58"/>
      <c r="AA11" s="58"/>
      <c r="AC11" s="49"/>
      <c r="AD11" s="58"/>
      <c r="AE11" s="49"/>
      <c r="AF11" s="49"/>
      <c r="AG11" s="49"/>
      <c r="AH11" s="58"/>
      <c r="AI11" s="58"/>
      <c r="AJ11" t="s">
        <v>32</v>
      </c>
      <c r="AL11" s="7">
        <f t="shared" si="0"/>
        <v>244159.15645394428</v>
      </c>
      <c r="AM11" s="45"/>
      <c r="AO11" s="7"/>
    </row>
    <row r="12" spans="2:44" x14ac:dyDescent="0.3">
      <c r="C12" t="s">
        <v>33</v>
      </c>
      <c r="D12" s="148">
        <v>33874.603702534747</v>
      </c>
      <c r="E12" s="49"/>
      <c r="F12" s="49"/>
      <c r="G12" s="49" t="s">
        <v>33</v>
      </c>
      <c r="H12" s="7">
        <v>60735.574141585101</v>
      </c>
      <c r="I12" s="50"/>
      <c r="J12" s="49"/>
      <c r="K12" s="49" t="s">
        <v>127</v>
      </c>
      <c r="L12" s="49">
        <v>4574.9827983519081</v>
      </c>
      <c r="M12" s="49"/>
      <c r="N12" s="49"/>
      <c r="O12" s="49" t="s">
        <v>127</v>
      </c>
      <c r="P12" s="49">
        <v>6147.7098831841677</v>
      </c>
      <c r="Q12" s="49"/>
      <c r="S12" t="s">
        <v>127</v>
      </c>
      <c r="T12" s="49">
        <v>20508.386616242115</v>
      </c>
      <c r="U12" s="49"/>
      <c r="V12" s="49"/>
      <c r="W12" s="49" t="s">
        <v>127</v>
      </c>
      <c r="X12" s="49">
        <v>403.20178154243393</v>
      </c>
      <c r="Y12" s="58"/>
      <c r="Z12" s="58"/>
      <c r="AA12" s="58"/>
      <c r="AB12" s="58"/>
      <c r="AC12" s="58"/>
      <c r="AD12" s="58"/>
      <c r="AE12" s="58"/>
      <c r="AF12" s="58"/>
      <c r="AG12" s="58"/>
      <c r="AH12" s="58"/>
      <c r="AI12" s="58"/>
      <c r="AJ12" t="s">
        <v>33</v>
      </c>
      <c r="AL12" s="7">
        <f t="shared" si="0"/>
        <v>126244.45892344047</v>
      </c>
      <c r="AM12" s="45"/>
      <c r="AO12" s="7"/>
    </row>
    <row r="13" spans="2:44" x14ac:dyDescent="0.3">
      <c r="C13" t="s">
        <v>34</v>
      </c>
      <c r="D13" s="148">
        <v>873663.63100013568</v>
      </c>
      <c r="E13" s="49"/>
      <c r="F13" s="49"/>
      <c r="G13" s="49" t="s">
        <v>34</v>
      </c>
      <c r="H13" s="7">
        <v>632567.00041333609</v>
      </c>
      <c r="I13" s="50"/>
      <c r="J13" s="49"/>
      <c r="K13" s="49" t="s">
        <v>129</v>
      </c>
      <c r="L13" s="49">
        <v>47546.442409240764</v>
      </c>
      <c r="M13" s="49"/>
      <c r="N13" s="49"/>
      <c r="O13" s="49" t="s">
        <v>129</v>
      </c>
      <c r="P13" s="49">
        <v>66281.922598331177</v>
      </c>
      <c r="Q13" s="49"/>
      <c r="S13" t="s">
        <v>129</v>
      </c>
      <c r="T13" s="49">
        <v>112918.46985625275</v>
      </c>
      <c r="U13" s="49"/>
      <c r="V13" s="49"/>
      <c r="W13" s="49" t="s">
        <v>129</v>
      </c>
      <c r="X13" s="58">
        <v>4347.1454872660324</v>
      </c>
      <c r="Y13" s="58"/>
      <c r="Z13" s="58"/>
      <c r="AA13" s="58"/>
      <c r="AB13" s="58"/>
      <c r="AC13" s="58"/>
      <c r="AD13" s="58"/>
      <c r="AE13" s="58"/>
      <c r="AF13" s="58"/>
      <c r="AG13" s="58"/>
      <c r="AH13" s="58"/>
      <c r="AI13" s="58"/>
      <c r="AJ13" t="s">
        <v>34</v>
      </c>
      <c r="AL13" s="7">
        <f t="shared" si="0"/>
        <v>1737324.6117645628</v>
      </c>
      <c r="AM13" s="45"/>
      <c r="AO13" s="7"/>
    </row>
    <row r="14" spans="2:44" x14ac:dyDescent="0.3">
      <c r="C14" t="s">
        <v>35</v>
      </c>
      <c r="D14" s="148">
        <v>206108.13160862189</v>
      </c>
      <c r="E14" s="49"/>
      <c r="F14" s="49"/>
      <c r="G14" s="49" t="s">
        <v>35</v>
      </c>
      <c r="H14" s="7">
        <v>189137.80497023006</v>
      </c>
      <c r="I14" s="50"/>
      <c r="J14" s="49"/>
      <c r="K14" s="49"/>
      <c r="L14" s="49"/>
      <c r="M14" s="49"/>
      <c r="N14" s="49"/>
      <c r="O14" s="49"/>
      <c r="Q14" s="49"/>
      <c r="V14" s="49"/>
      <c r="Y14" s="58"/>
      <c r="Z14" s="58"/>
      <c r="AA14" s="58"/>
      <c r="AB14" s="58"/>
      <c r="AC14" s="58"/>
      <c r="AD14" s="58"/>
      <c r="AE14" s="58"/>
      <c r="AF14" s="58"/>
      <c r="AG14" s="58"/>
      <c r="AH14" s="58"/>
      <c r="AI14" s="58"/>
      <c r="AJ14" t="s">
        <v>35</v>
      </c>
      <c r="AL14" s="7">
        <f t="shared" si="0"/>
        <v>395245.93657885195</v>
      </c>
      <c r="AM14" s="45"/>
      <c r="AO14" s="7"/>
    </row>
    <row r="15" spans="2:44" x14ac:dyDescent="0.3">
      <c r="C15" t="s">
        <v>36</v>
      </c>
      <c r="D15" s="148">
        <v>238928.86798572069</v>
      </c>
      <c r="E15" s="49"/>
      <c r="F15" s="49"/>
      <c r="G15" s="49" t="s">
        <v>36</v>
      </c>
      <c r="H15" s="7">
        <v>131082.43735625298</v>
      </c>
      <c r="I15" s="50"/>
      <c r="J15" s="49"/>
      <c r="K15" s="49" t="s">
        <v>130</v>
      </c>
      <c r="L15" s="49">
        <v>9815.5387018956117</v>
      </c>
      <c r="M15" s="49"/>
      <c r="N15" s="49"/>
      <c r="O15" s="49" t="s">
        <v>130</v>
      </c>
      <c r="P15" s="49">
        <v>13683.311380064994</v>
      </c>
      <c r="Q15" s="49"/>
      <c r="S15" t="s">
        <v>130</v>
      </c>
      <c r="T15" s="49">
        <v>41016.773232484229</v>
      </c>
      <c r="U15" s="49"/>
      <c r="V15" s="49"/>
      <c r="W15" s="49" t="s">
        <v>130</v>
      </c>
      <c r="X15" s="49">
        <v>897.42938926462443</v>
      </c>
      <c r="AB15" s="58"/>
      <c r="AC15" s="58"/>
      <c r="AD15" s="58"/>
      <c r="AE15" s="58"/>
      <c r="AF15" s="58"/>
      <c r="AG15" s="58"/>
      <c r="AH15" s="58"/>
      <c r="AI15" s="58"/>
      <c r="AJ15" t="s">
        <v>36</v>
      </c>
      <c r="AL15" s="7">
        <f t="shared" si="0"/>
        <v>435424.35804568313</v>
      </c>
      <c r="AM15" s="45"/>
      <c r="AO15" s="7"/>
    </row>
    <row r="16" spans="2:44" x14ac:dyDescent="0.3">
      <c r="C16" t="s">
        <v>37</v>
      </c>
      <c r="D16" s="148">
        <v>21642.652594487496</v>
      </c>
      <c r="E16" s="49"/>
      <c r="F16" s="49"/>
      <c r="G16" s="49" t="s">
        <v>37</v>
      </c>
      <c r="H16" s="7">
        <v>16181.501537355991</v>
      </c>
      <c r="I16" s="50"/>
      <c r="J16" s="49"/>
      <c r="K16" s="49"/>
      <c r="M16" s="49"/>
      <c r="N16" s="49"/>
      <c r="V16" s="49"/>
      <c r="AH16" s="58"/>
      <c r="AI16" s="58"/>
      <c r="AJ16" t="s">
        <v>37</v>
      </c>
      <c r="AL16" s="7">
        <f t="shared" si="0"/>
        <v>37824.15413184349</v>
      </c>
      <c r="AM16" s="45"/>
      <c r="AO16" s="7"/>
    </row>
    <row r="17" spans="3:41" x14ac:dyDescent="0.3">
      <c r="C17" t="s">
        <v>38</v>
      </c>
      <c r="D17" s="148">
        <v>96956.638003560802</v>
      </c>
      <c r="E17" s="49"/>
      <c r="F17" s="49"/>
      <c r="G17" s="49" t="s">
        <v>38</v>
      </c>
      <c r="H17" s="7">
        <v>64620.967451141601</v>
      </c>
      <c r="I17" s="50"/>
      <c r="J17" s="49"/>
      <c r="K17" s="49" t="s">
        <v>131</v>
      </c>
      <c r="L17" s="49">
        <v>4761.6452545031079</v>
      </c>
      <c r="M17" s="49"/>
      <c r="N17" s="49"/>
      <c r="O17" s="49" t="s">
        <v>131</v>
      </c>
      <c r="P17" s="18">
        <v>6637.9519940349146</v>
      </c>
      <c r="Q17" s="49"/>
      <c r="S17" t="s">
        <v>131</v>
      </c>
      <c r="T17" s="49">
        <v>20508.386616242115</v>
      </c>
      <c r="U17" s="49"/>
      <c r="V17" s="49"/>
      <c r="W17" s="49" t="s">
        <v>131</v>
      </c>
      <c r="X17" s="58">
        <v>435.35464760770196</v>
      </c>
      <c r="Y17" s="58"/>
      <c r="Z17" s="58"/>
      <c r="AA17" s="58"/>
      <c r="AB17" t="s">
        <v>38</v>
      </c>
      <c r="AC17" s="49">
        <v>18341.990000000002</v>
      </c>
      <c r="AD17" s="49"/>
      <c r="AE17" s="49">
        <v>21143.83</v>
      </c>
      <c r="AF17" s="49"/>
      <c r="AG17" s="49"/>
      <c r="AH17" s="58"/>
      <c r="AI17" s="58"/>
      <c r="AJ17" t="s">
        <v>38</v>
      </c>
      <c r="AL17" s="7">
        <f>+D17+H17+L17+P17+T17+X17+AC17+AE17</f>
        <v>233406.76396709023</v>
      </c>
      <c r="AM17" s="45"/>
      <c r="AO17" s="7"/>
    </row>
    <row r="18" spans="3:41" x14ac:dyDescent="0.3">
      <c r="C18" t="s">
        <v>39</v>
      </c>
      <c r="D18" s="148">
        <v>37638.45577258947</v>
      </c>
      <c r="E18" s="49"/>
      <c r="F18" s="49"/>
      <c r="G18" s="49" t="s">
        <v>39</v>
      </c>
      <c r="H18" s="7">
        <v>163495.61870234067</v>
      </c>
      <c r="I18" s="50"/>
      <c r="J18" s="49"/>
      <c r="K18" s="49"/>
      <c r="M18" s="49"/>
      <c r="N18" s="49"/>
      <c r="O18" s="49"/>
      <c r="Q18" s="49"/>
      <c r="V18" s="49"/>
      <c r="W18" s="49"/>
      <c r="Y18" s="58"/>
      <c r="Z18" s="58"/>
      <c r="AA18" s="58"/>
      <c r="AC18" s="49"/>
      <c r="AD18" s="58"/>
      <c r="AE18" s="58"/>
      <c r="AF18" s="58"/>
      <c r="AG18" s="58"/>
      <c r="AH18" s="58"/>
      <c r="AI18" s="58"/>
      <c r="AJ18" t="s">
        <v>39</v>
      </c>
      <c r="AL18" s="7">
        <f t="shared" si="0"/>
        <v>201134.07447493012</v>
      </c>
      <c r="AM18" s="45"/>
      <c r="AO18" s="7"/>
    </row>
    <row r="19" spans="3:41" x14ac:dyDescent="0.3">
      <c r="C19" t="s">
        <v>40</v>
      </c>
      <c r="D19" s="148">
        <v>335734.93805518158</v>
      </c>
      <c r="E19" s="49"/>
      <c r="F19" s="49"/>
      <c r="G19" s="49" t="s">
        <v>40</v>
      </c>
      <c r="H19" s="7">
        <v>528579.61860346165</v>
      </c>
      <c r="I19" s="50"/>
      <c r="J19" s="49"/>
      <c r="K19" s="49" t="s">
        <v>132</v>
      </c>
      <c r="L19" s="49">
        <v>39300.763338349156</v>
      </c>
      <c r="M19" s="49"/>
      <c r="N19" s="49"/>
      <c r="O19" s="49" t="s">
        <v>132</v>
      </c>
      <c r="P19" s="49">
        <v>54787.06758387282</v>
      </c>
      <c r="Q19" s="49"/>
      <c r="S19" t="s">
        <v>132</v>
      </c>
      <c r="T19" s="49">
        <v>0</v>
      </c>
      <c r="U19" s="49"/>
      <c r="V19" s="49"/>
      <c r="W19" s="49" t="s">
        <v>132</v>
      </c>
      <c r="X19" s="58">
        <v>0</v>
      </c>
      <c r="Y19" s="58"/>
      <c r="Z19" s="58"/>
      <c r="AA19" s="58"/>
      <c r="AC19" s="49"/>
      <c r="AD19" s="58"/>
      <c r="AE19" s="58"/>
      <c r="AF19" s="58"/>
      <c r="AG19" s="58"/>
      <c r="AH19" s="58"/>
      <c r="AI19" s="58"/>
      <c r="AJ19" t="s">
        <v>40</v>
      </c>
      <c r="AL19" s="7">
        <f t="shared" si="0"/>
        <v>958402.3875808653</v>
      </c>
      <c r="AM19" s="45"/>
      <c r="AO19" s="7"/>
    </row>
    <row r="20" spans="3:41" x14ac:dyDescent="0.3">
      <c r="C20" t="s">
        <v>41</v>
      </c>
      <c r="D20" s="148">
        <v>22131.408618028807</v>
      </c>
      <c r="E20" s="49"/>
      <c r="F20" s="49"/>
      <c r="G20" s="49" t="s">
        <v>41</v>
      </c>
      <c r="H20" s="7">
        <v>38700.893504206491</v>
      </c>
      <c r="I20" s="50"/>
      <c r="J20" s="49"/>
      <c r="K20" s="49" t="s">
        <v>133</v>
      </c>
      <c r="L20" s="49">
        <v>2738.7053224443662</v>
      </c>
      <c r="M20" s="49"/>
      <c r="N20" s="49"/>
      <c r="O20" s="49" t="s">
        <v>133</v>
      </c>
      <c r="P20" s="49">
        <v>3817.8808971544618</v>
      </c>
      <c r="Q20" s="49"/>
      <c r="S20" t="s">
        <v>133</v>
      </c>
      <c r="T20" s="49">
        <v>10254.193308121057</v>
      </c>
      <c r="U20" s="49"/>
      <c r="V20" s="49"/>
      <c r="W20" s="49" t="s">
        <v>133</v>
      </c>
      <c r="X20" s="49">
        <v>250.39834486337122</v>
      </c>
      <c r="Y20" s="58"/>
      <c r="Z20" s="58"/>
      <c r="AA20" s="58"/>
      <c r="AB20" s="58"/>
      <c r="AC20" s="58"/>
      <c r="AD20" s="58"/>
      <c r="AE20" s="58"/>
      <c r="AF20" s="58"/>
      <c r="AG20" s="58"/>
      <c r="AH20" s="58"/>
      <c r="AI20" s="58"/>
      <c r="AJ20" t="s">
        <v>41</v>
      </c>
      <c r="AL20" s="7">
        <f t="shared" si="0"/>
        <v>77893.479994818554</v>
      </c>
      <c r="AM20" s="45"/>
      <c r="AO20" s="7"/>
    </row>
    <row r="21" spans="3:41" x14ac:dyDescent="0.3">
      <c r="C21" t="s">
        <v>42</v>
      </c>
      <c r="D21" s="148">
        <v>45015.59197859907</v>
      </c>
      <c r="E21" s="49"/>
      <c r="F21" s="49"/>
      <c r="G21" s="49" t="s">
        <v>42</v>
      </c>
      <c r="H21" s="7">
        <v>79797.057981057427</v>
      </c>
      <c r="I21" s="50"/>
      <c r="J21" s="49"/>
      <c r="K21" s="49" t="s">
        <v>134</v>
      </c>
      <c r="L21" s="49">
        <v>5924.5342011966104</v>
      </c>
      <c r="M21" s="49"/>
      <c r="N21" s="49"/>
      <c r="O21" s="49"/>
      <c r="Q21" s="49"/>
      <c r="V21" s="49"/>
      <c r="W21" s="49"/>
      <c r="Y21" s="58"/>
      <c r="Z21" s="58"/>
      <c r="AA21" s="58"/>
      <c r="AC21" s="49"/>
      <c r="AD21" s="58"/>
      <c r="AE21" s="58"/>
      <c r="AF21" s="58"/>
      <c r="AG21" s="58"/>
      <c r="AH21" s="58"/>
      <c r="AI21" s="58"/>
      <c r="AJ21" t="s">
        <v>42</v>
      </c>
      <c r="AL21" s="7">
        <f t="shared" si="0"/>
        <v>130737.18416085311</v>
      </c>
      <c r="AM21" s="45"/>
      <c r="AO21" s="7"/>
    </row>
    <row r="22" spans="3:41" x14ac:dyDescent="0.3">
      <c r="C22" t="s">
        <v>43</v>
      </c>
      <c r="D22" s="148">
        <v>21642.652594487496</v>
      </c>
      <c r="E22" s="49"/>
      <c r="F22" s="49"/>
      <c r="G22" s="49" t="s">
        <v>43</v>
      </c>
      <c r="H22" s="7">
        <v>38896.220351071992</v>
      </c>
      <c r="I22" s="50"/>
      <c r="J22" s="49"/>
      <c r="K22" s="49" t="s">
        <v>135</v>
      </c>
      <c r="L22" s="49">
        <v>2754.0751946924488</v>
      </c>
      <c r="M22" s="49"/>
      <c r="N22" s="49"/>
      <c r="O22" s="49" t="s">
        <v>135</v>
      </c>
      <c r="P22" s="49">
        <v>3839.3072043831962</v>
      </c>
      <c r="Q22" s="49"/>
      <c r="S22" t="s">
        <v>135</v>
      </c>
      <c r="T22" s="49">
        <v>10254.193308121057</v>
      </c>
      <c r="U22" s="49"/>
      <c r="V22" s="49"/>
      <c r="W22" s="49" t="s">
        <v>135</v>
      </c>
      <c r="X22" s="58">
        <v>251.80360396158142</v>
      </c>
      <c r="Y22" s="58"/>
      <c r="Z22" s="58"/>
      <c r="AA22" s="58"/>
      <c r="AB22" s="58"/>
      <c r="AC22" s="58"/>
      <c r="AD22" s="58"/>
      <c r="AE22" s="58"/>
      <c r="AF22" s="58"/>
      <c r="AG22" s="58"/>
      <c r="AH22" s="58"/>
      <c r="AI22" s="58"/>
      <c r="AJ22" t="s">
        <v>43</v>
      </c>
      <c r="AL22" s="7">
        <f t="shared" si="0"/>
        <v>77638.25225671778</v>
      </c>
      <c r="AM22" s="45"/>
      <c r="AO22" s="7"/>
    </row>
    <row r="23" spans="3:41" x14ac:dyDescent="0.3">
      <c r="C23" t="s">
        <v>44</v>
      </c>
      <c r="D23" s="148">
        <v>49381.65085709541</v>
      </c>
      <c r="E23" s="49"/>
      <c r="F23" s="49"/>
      <c r="G23" s="49" t="s">
        <v>44</v>
      </c>
      <c r="H23" s="7">
        <v>65408.315875104599</v>
      </c>
      <c r="I23" s="50"/>
      <c r="J23" s="49"/>
      <c r="K23" s="49" t="s">
        <v>44</v>
      </c>
      <c r="L23" s="49">
        <v>4760.0273732138367</v>
      </c>
      <c r="M23" s="49"/>
      <c r="N23" s="49"/>
      <c r="O23" s="49" t="s">
        <v>137</v>
      </c>
      <c r="P23" s="49">
        <v>6635.6965932739959</v>
      </c>
      <c r="Q23" s="49"/>
      <c r="S23" t="s">
        <v>137</v>
      </c>
      <c r="T23" s="49">
        <v>20508.386616242115</v>
      </c>
      <c r="U23" s="49"/>
      <c r="V23" s="49"/>
      <c r="W23" s="49" t="s">
        <v>137</v>
      </c>
      <c r="X23" s="58">
        <v>435.20672559736397</v>
      </c>
      <c r="Y23" s="58"/>
      <c r="Z23" s="58"/>
      <c r="AA23" s="58"/>
      <c r="AB23" s="58"/>
      <c r="AC23" s="58"/>
      <c r="AD23" s="58"/>
      <c r="AE23" s="58"/>
      <c r="AF23" s="58"/>
      <c r="AG23" s="58"/>
      <c r="AH23" s="58"/>
      <c r="AI23" s="58"/>
      <c r="AJ23" t="s">
        <v>44</v>
      </c>
      <c r="AL23" s="7">
        <f t="shared" si="0"/>
        <v>147129.2840405273</v>
      </c>
      <c r="AM23" s="45"/>
      <c r="AO23" s="7"/>
    </row>
    <row r="24" spans="3:41" x14ac:dyDescent="0.3">
      <c r="C24" t="s">
        <v>45</v>
      </c>
      <c r="D24" s="148">
        <v>101021.58265651004</v>
      </c>
      <c r="E24" s="49"/>
      <c r="F24" s="49"/>
      <c r="G24" s="49" t="s">
        <v>45</v>
      </c>
      <c r="H24" s="7">
        <v>85207.813007115124</v>
      </c>
      <c r="I24" s="50"/>
      <c r="J24" s="49"/>
      <c r="K24" s="49"/>
      <c r="M24" s="49"/>
      <c r="N24" s="49"/>
      <c r="O24" s="49"/>
      <c r="P24" s="49"/>
      <c r="Q24" s="49"/>
      <c r="V24" s="49"/>
      <c r="W24" s="49"/>
      <c r="Y24" s="58"/>
      <c r="Z24" s="58"/>
      <c r="AA24" s="58"/>
      <c r="AC24" s="49"/>
      <c r="AD24" s="58"/>
      <c r="AE24" s="58"/>
      <c r="AF24" s="58"/>
      <c r="AG24" s="58"/>
      <c r="AH24" s="58"/>
      <c r="AI24" s="58"/>
      <c r="AJ24" t="s">
        <v>45</v>
      </c>
      <c r="AL24" s="7">
        <f t="shared" si="0"/>
        <v>186229.39566362515</v>
      </c>
      <c r="AM24" s="45"/>
      <c r="AO24" s="7"/>
    </row>
    <row r="25" spans="3:41" x14ac:dyDescent="0.3">
      <c r="C25" t="s">
        <v>46</v>
      </c>
      <c r="D25" s="148">
        <v>157780.36971961506</v>
      </c>
      <c r="E25" s="49"/>
      <c r="F25" s="49"/>
      <c r="G25" s="49" t="s">
        <v>46</v>
      </c>
      <c r="H25" s="7">
        <v>255102.90304284298</v>
      </c>
      <c r="I25" s="50"/>
      <c r="J25" s="49"/>
      <c r="K25" s="49" t="s">
        <v>138</v>
      </c>
      <c r="L25" s="49">
        <v>19081.365465731778</v>
      </c>
      <c r="M25" s="49"/>
      <c r="N25" s="49"/>
      <c r="O25" s="49" t="s">
        <v>138</v>
      </c>
      <c r="P25" s="49">
        <v>26600.299092499426</v>
      </c>
      <c r="Q25" s="49"/>
      <c r="V25" s="49"/>
      <c r="W25" s="49"/>
      <c r="Y25" s="58"/>
      <c r="Z25" s="58"/>
      <c r="AA25" s="58"/>
      <c r="AC25" s="49"/>
      <c r="AD25" s="58"/>
      <c r="AE25" s="58"/>
      <c r="AF25" s="58"/>
      <c r="AG25" s="58"/>
      <c r="AH25" s="58"/>
      <c r="AI25" s="58"/>
      <c r="AJ25" t="s">
        <v>46</v>
      </c>
      <c r="AL25" s="7">
        <f t="shared" si="0"/>
        <v>458564.93732068926</v>
      </c>
      <c r="AM25" s="45"/>
      <c r="AO25" s="7"/>
    </row>
    <row r="26" spans="3:41" x14ac:dyDescent="0.3">
      <c r="C26" t="s">
        <v>47</v>
      </c>
      <c r="D26" s="148">
        <v>242542.15212167558</v>
      </c>
      <c r="E26" s="49"/>
      <c r="F26" s="49"/>
      <c r="G26" s="49" t="s">
        <v>47</v>
      </c>
      <c r="H26" s="7">
        <v>280202.40286505962</v>
      </c>
      <c r="I26" s="50"/>
      <c r="J26" s="49"/>
      <c r="K26" s="49" t="s">
        <v>139</v>
      </c>
      <c r="L26" s="49">
        <v>21061.946324035041</v>
      </c>
      <c r="M26" s="49"/>
      <c r="N26" s="49"/>
      <c r="O26" s="49"/>
      <c r="Q26" s="49"/>
      <c r="S26" t="s">
        <v>139</v>
      </c>
      <c r="T26" s="49">
        <v>50020.20404879628</v>
      </c>
      <c r="U26" s="49"/>
      <c r="V26" s="49"/>
      <c r="W26" s="49" t="s">
        <v>139</v>
      </c>
      <c r="X26" s="58">
        <v>1925.6823492176466</v>
      </c>
      <c r="Y26" s="58"/>
      <c r="Z26" s="58"/>
      <c r="AA26" s="58"/>
      <c r="AB26" s="58"/>
      <c r="AC26" s="58"/>
      <c r="AD26" s="58"/>
      <c r="AE26" s="58"/>
      <c r="AF26" s="58"/>
      <c r="AG26" s="58"/>
      <c r="AH26" s="58"/>
      <c r="AI26" s="58"/>
      <c r="AJ26" t="s">
        <v>47</v>
      </c>
      <c r="AL26" s="7">
        <f t="shared" si="0"/>
        <v>595752.3877087842</v>
      </c>
      <c r="AM26" s="45"/>
      <c r="AO26" s="7"/>
    </row>
    <row r="27" spans="3:41" x14ac:dyDescent="0.3">
      <c r="C27" t="s">
        <v>48</v>
      </c>
      <c r="D27" s="148">
        <v>973781.91426530969</v>
      </c>
      <c r="E27" s="49"/>
      <c r="F27" s="49"/>
      <c r="G27" s="49" t="s">
        <v>48</v>
      </c>
      <c r="H27" s="7">
        <v>570623.21897155198</v>
      </c>
      <c r="I27" s="50"/>
      <c r="J27" s="49"/>
      <c r="K27" s="49" t="s">
        <v>140</v>
      </c>
      <c r="L27" s="49">
        <v>42420.11200412405</v>
      </c>
      <c r="M27" s="49"/>
      <c r="N27" s="49"/>
      <c r="O27" s="49" t="s">
        <v>140</v>
      </c>
      <c r="P27" s="18">
        <v>59135.582769141765</v>
      </c>
      <c r="Q27" s="49"/>
      <c r="S27" t="s">
        <v>140</v>
      </c>
      <c r="T27" s="49">
        <v>100743.9020864702</v>
      </c>
      <c r="U27" s="49"/>
      <c r="V27" s="49"/>
      <c r="W27" s="49" t="s">
        <v>140</v>
      </c>
      <c r="X27" s="58">
        <v>3878.4478737826171</v>
      </c>
      <c r="Y27" s="58"/>
      <c r="Z27" s="58"/>
      <c r="AA27" s="58"/>
      <c r="AB27" t="s">
        <v>48</v>
      </c>
      <c r="AC27" s="49">
        <v>91709.93</v>
      </c>
      <c r="AD27" s="49"/>
      <c r="AE27" s="49">
        <v>105719.15</v>
      </c>
      <c r="AF27" s="49"/>
      <c r="AG27" s="49"/>
      <c r="AH27" s="58"/>
      <c r="AI27" s="58"/>
      <c r="AJ27" t="s">
        <v>48</v>
      </c>
      <c r="AL27" s="7">
        <f t="shared" si="0"/>
        <v>1948012.2579703804</v>
      </c>
      <c r="AM27" s="45"/>
      <c r="AO27" s="7"/>
    </row>
    <row r="28" spans="3:41" x14ac:dyDescent="0.3">
      <c r="C28" t="s">
        <v>49</v>
      </c>
      <c r="D28" s="148">
        <v>25293.032236989322</v>
      </c>
      <c r="E28" s="49"/>
      <c r="F28" s="49"/>
      <c r="G28" s="49" t="s">
        <v>49</v>
      </c>
      <c r="H28" s="7">
        <v>30114.566957459185</v>
      </c>
      <c r="I28" s="50"/>
      <c r="J28" s="49"/>
      <c r="K28" s="49"/>
      <c r="M28" s="49"/>
      <c r="N28" s="49"/>
      <c r="O28" s="49"/>
      <c r="P28" s="49"/>
      <c r="Q28" s="49"/>
      <c r="V28" s="49"/>
      <c r="W28" s="49"/>
      <c r="Y28" s="58"/>
      <c r="Z28" s="58"/>
      <c r="AA28" s="58"/>
      <c r="AC28" s="49"/>
      <c r="AD28" s="58"/>
      <c r="AE28" s="58"/>
      <c r="AF28" s="58"/>
      <c r="AG28" s="58"/>
      <c r="AH28" s="58"/>
      <c r="AI28" s="58"/>
      <c r="AJ28" t="s">
        <v>49</v>
      </c>
      <c r="AL28" s="7">
        <f t="shared" si="0"/>
        <v>55407.599194448507</v>
      </c>
      <c r="AM28" s="45"/>
      <c r="AO28" s="7"/>
    </row>
    <row r="29" spans="3:41" x14ac:dyDescent="0.3">
      <c r="C29" t="s">
        <v>50</v>
      </c>
      <c r="D29" s="148">
        <v>308785.81004166213</v>
      </c>
      <c r="E29" s="49"/>
      <c r="F29" s="49"/>
      <c r="G29" s="49" t="s">
        <v>50</v>
      </c>
      <c r="H29" s="7">
        <v>271572.78222338849</v>
      </c>
      <c r="I29" s="50"/>
      <c r="J29" s="49"/>
      <c r="K29" s="49" t="s">
        <v>155</v>
      </c>
      <c r="L29" s="49">
        <v>19920.236914219277</v>
      </c>
      <c r="M29" s="49"/>
      <c r="N29" s="49"/>
      <c r="O29" s="49"/>
      <c r="P29" s="49"/>
      <c r="Q29" s="49"/>
      <c r="S29" t="s">
        <v>155</v>
      </c>
      <c r="T29" s="49">
        <v>47308.748195438347</v>
      </c>
      <c r="U29" s="49"/>
      <c r="V29" s="49"/>
      <c r="W29" s="49" t="s">
        <v>155</v>
      </c>
      <c r="X29" s="58">
        <v>1821.29647601328</v>
      </c>
      <c r="Y29" s="58"/>
      <c r="Z29" s="58"/>
      <c r="AA29" s="58"/>
      <c r="AB29" s="58"/>
      <c r="AC29" s="58"/>
      <c r="AD29" s="58"/>
      <c r="AE29" s="58"/>
      <c r="AF29" s="58"/>
      <c r="AG29" s="58"/>
      <c r="AH29" s="58"/>
      <c r="AI29" s="58"/>
      <c r="AJ29" t="s">
        <v>50</v>
      </c>
      <c r="AL29" s="7">
        <f t="shared" si="0"/>
        <v>649408.87385072152</v>
      </c>
      <c r="AM29" s="45"/>
      <c r="AO29" s="7"/>
    </row>
    <row r="30" spans="3:41" x14ac:dyDescent="0.3">
      <c r="C30" t="s">
        <v>51</v>
      </c>
      <c r="D30" s="148">
        <v>202946.50798966139</v>
      </c>
      <c r="E30" s="49"/>
      <c r="F30" s="49"/>
      <c r="G30" s="49" t="s">
        <v>51</v>
      </c>
      <c r="H30" s="7">
        <v>130158.15877160075</v>
      </c>
      <c r="I30" s="50"/>
      <c r="J30" s="49"/>
      <c r="K30" s="49" t="s">
        <v>158</v>
      </c>
      <c r="L30" s="49">
        <v>9472.2537083355473</v>
      </c>
      <c r="M30" s="49"/>
      <c r="N30" s="49"/>
      <c r="O30" s="49" t="s">
        <v>158</v>
      </c>
      <c r="P30" s="49">
        <v>13204.756345884465</v>
      </c>
      <c r="Q30" s="49"/>
      <c r="S30" t="s">
        <v>158</v>
      </c>
      <c r="T30" s="49">
        <v>41016.773232484229</v>
      </c>
      <c r="U30" s="49"/>
      <c r="V30" s="49"/>
      <c r="W30" s="49" t="s">
        <v>158</v>
      </c>
      <c r="X30" s="58">
        <v>866.04302816201675</v>
      </c>
      <c r="Y30" s="58"/>
      <c r="Z30" s="58"/>
      <c r="AA30" s="58"/>
      <c r="AB30" s="58"/>
      <c r="AC30" s="58"/>
      <c r="AD30" s="58"/>
      <c r="AE30" s="58"/>
      <c r="AF30" s="58"/>
      <c r="AG30" s="58"/>
      <c r="AH30" s="58"/>
      <c r="AI30" s="58"/>
      <c r="AJ30" t="s">
        <v>51</v>
      </c>
      <c r="AL30" s="7">
        <f t="shared" si="0"/>
        <v>397664.49307612842</v>
      </c>
      <c r="AM30" s="45"/>
      <c r="AO30" s="7"/>
    </row>
    <row r="31" spans="3:41" x14ac:dyDescent="0.3">
      <c r="C31" t="s">
        <v>52</v>
      </c>
      <c r="D31" s="148">
        <v>21642.652594487496</v>
      </c>
      <c r="E31" s="49"/>
      <c r="F31" s="49"/>
      <c r="G31" s="49" t="s">
        <v>52</v>
      </c>
      <c r="H31" s="7">
        <v>16181.501537355991</v>
      </c>
      <c r="I31" s="50"/>
      <c r="J31" s="49"/>
      <c r="K31" s="49"/>
      <c r="L31" s="49"/>
      <c r="M31" s="49"/>
      <c r="N31" s="49"/>
      <c r="O31" s="49"/>
      <c r="Q31" s="49"/>
      <c r="V31" s="49"/>
      <c r="W31" s="49"/>
      <c r="Y31" s="58"/>
      <c r="Z31" s="58"/>
      <c r="AA31" s="58"/>
      <c r="AC31" s="49"/>
      <c r="AD31" s="58"/>
      <c r="AE31" s="58"/>
      <c r="AF31" s="58"/>
      <c r="AG31" s="58"/>
      <c r="AH31" s="58"/>
      <c r="AI31" s="58"/>
      <c r="AJ31" t="s">
        <v>52</v>
      </c>
      <c r="AL31" s="7">
        <f t="shared" si="0"/>
        <v>37824.15413184349</v>
      </c>
      <c r="AM31" s="45"/>
      <c r="AO31" s="7"/>
    </row>
    <row r="32" spans="3:41" x14ac:dyDescent="0.3">
      <c r="C32" t="s">
        <v>53</v>
      </c>
      <c r="D32" s="148">
        <v>77384.64619605089</v>
      </c>
      <c r="E32" s="49"/>
      <c r="F32" s="49"/>
      <c r="G32" s="49" t="s">
        <v>53</v>
      </c>
      <c r="H32" s="7">
        <v>156087.29427328735</v>
      </c>
      <c r="I32" s="50"/>
      <c r="J32" s="49"/>
      <c r="K32" s="49" t="s">
        <v>160</v>
      </c>
      <c r="L32" s="49">
        <v>11467.248418125047</v>
      </c>
      <c r="M32" s="49"/>
      <c r="N32" s="49"/>
      <c r="O32" s="49" t="s">
        <v>160</v>
      </c>
      <c r="P32" s="49">
        <v>15985.870520530856</v>
      </c>
      <c r="Q32" s="49"/>
      <c r="S32" t="s">
        <v>160</v>
      </c>
      <c r="T32" s="49">
        <v>41016.773232484229</v>
      </c>
      <c r="U32" s="49"/>
      <c r="V32" s="49"/>
      <c r="W32" s="49" t="s">
        <v>160</v>
      </c>
      <c r="X32" s="58">
        <v>1048.4443143641472</v>
      </c>
      <c r="Y32" s="58"/>
      <c r="Z32" s="58"/>
      <c r="AA32" s="58"/>
      <c r="AB32" s="58"/>
      <c r="AC32" s="58"/>
      <c r="AD32" s="58"/>
      <c r="AE32" s="58"/>
      <c r="AF32" s="58"/>
      <c r="AG32" s="58"/>
      <c r="AH32" s="58"/>
      <c r="AI32" s="58"/>
      <c r="AJ32" t="s">
        <v>53</v>
      </c>
      <c r="AL32" s="7">
        <f t="shared" si="0"/>
        <v>302990.27695484256</v>
      </c>
      <c r="AM32" s="45"/>
      <c r="AO32" s="7"/>
    </row>
    <row r="33" spans="3:41" x14ac:dyDescent="0.3">
      <c r="C33" t="s">
        <v>54</v>
      </c>
      <c r="D33" s="148">
        <v>21642.652594487496</v>
      </c>
      <c r="E33" s="49"/>
      <c r="F33" s="49"/>
      <c r="G33" s="49" t="s">
        <v>54</v>
      </c>
      <c r="H33" s="7">
        <v>16181.501537355991</v>
      </c>
      <c r="I33" s="50"/>
      <c r="J33" s="49"/>
      <c r="K33" s="49"/>
      <c r="L33" s="49"/>
      <c r="M33" s="49"/>
      <c r="N33" s="49"/>
      <c r="O33" s="49"/>
      <c r="P33" s="49"/>
      <c r="Q33" s="49"/>
      <c r="V33" s="49"/>
      <c r="W33" s="49"/>
      <c r="Y33" s="58"/>
      <c r="Z33" s="58"/>
      <c r="AA33" s="58"/>
      <c r="AC33" s="49"/>
      <c r="AD33" s="58"/>
      <c r="AE33" s="58"/>
      <c r="AF33" s="58"/>
      <c r="AG33" s="58"/>
      <c r="AH33" s="58"/>
      <c r="AI33" s="58"/>
      <c r="AJ33" t="s">
        <v>54</v>
      </c>
      <c r="AL33" s="7">
        <f t="shared" si="0"/>
        <v>37824.15413184349</v>
      </c>
      <c r="AM33" s="45"/>
      <c r="AO33" s="7"/>
    </row>
    <row r="34" spans="3:41" x14ac:dyDescent="0.3">
      <c r="C34" t="s">
        <v>55</v>
      </c>
      <c r="D34" s="148">
        <v>30863.526375021487</v>
      </c>
      <c r="E34" s="49"/>
      <c r="F34" s="49"/>
      <c r="G34" s="49" t="s">
        <v>55</v>
      </c>
      <c r="H34" s="7">
        <v>36480.812590090893</v>
      </c>
      <c r="I34" s="50"/>
      <c r="J34" s="49"/>
      <c r="K34" s="49" t="s">
        <v>161</v>
      </c>
      <c r="L34" s="49">
        <v>2644.059267021958</v>
      </c>
      <c r="M34" s="49"/>
      <c r="N34" s="49"/>
      <c r="O34" s="49" t="s">
        <v>161</v>
      </c>
      <c r="P34" s="49">
        <v>3685.9399526406792</v>
      </c>
      <c r="Q34" s="49"/>
      <c r="S34" t="s">
        <v>161</v>
      </c>
      <c r="T34" s="49">
        <v>10254.193308121057</v>
      </c>
      <c r="U34" s="49"/>
      <c r="V34" s="49"/>
      <c r="W34" s="49" t="s">
        <v>161</v>
      </c>
      <c r="X34" s="58">
        <v>241.7449072586034</v>
      </c>
      <c r="Y34" s="58"/>
      <c r="Z34" s="58"/>
      <c r="AA34" s="58"/>
      <c r="AB34" s="58"/>
      <c r="AC34" s="58"/>
      <c r="AD34" s="58"/>
      <c r="AE34" s="58"/>
      <c r="AF34" s="58"/>
      <c r="AG34" s="58"/>
      <c r="AH34" s="58"/>
      <c r="AI34" s="58"/>
      <c r="AJ34" t="s">
        <v>55</v>
      </c>
      <c r="AL34" s="7">
        <f t="shared" si="0"/>
        <v>84170.276400154675</v>
      </c>
      <c r="AM34" s="45"/>
      <c r="AO34" s="7"/>
    </row>
    <row r="35" spans="3:41" x14ac:dyDescent="0.3">
      <c r="C35" t="s">
        <v>56</v>
      </c>
      <c r="D35" s="148">
        <v>26949.128013519505</v>
      </c>
      <c r="E35" s="49"/>
      <c r="F35" s="49"/>
      <c r="G35" s="49" t="s">
        <v>56</v>
      </c>
      <c r="H35" s="7">
        <v>45452.758633485035</v>
      </c>
      <c r="I35" s="50"/>
      <c r="J35" s="49"/>
      <c r="K35" s="49" t="s">
        <v>164</v>
      </c>
      <c r="L35" s="49">
        <v>3242.5282639353663</v>
      </c>
      <c r="M35" s="49"/>
      <c r="N35" s="49"/>
      <c r="O35" s="49" t="s">
        <v>164</v>
      </c>
      <c r="P35" s="49">
        <v>4520.2331977480335</v>
      </c>
      <c r="Q35" s="49"/>
      <c r="S35" t="s">
        <v>164</v>
      </c>
      <c r="T35" s="49">
        <v>10254.193308121057</v>
      </c>
      <c r="U35" s="49"/>
      <c r="V35" s="49"/>
      <c r="W35" s="49" t="s">
        <v>164</v>
      </c>
      <c r="X35" s="58">
        <v>296.46260362814542</v>
      </c>
      <c r="Y35" s="58"/>
      <c r="Z35" s="58"/>
      <c r="AA35" s="58"/>
      <c r="AB35" s="58"/>
      <c r="AC35" s="58"/>
      <c r="AD35" s="58"/>
      <c r="AE35" s="58"/>
      <c r="AF35" s="58"/>
      <c r="AG35" s="58"/>
      <c r="AH35" s="58"/>
      <c r="AI35" s="58"/>
      <c r="AJ35" t="s">
        <v>56</v>
      </c>
      <c r="AL35" s="7">
        <f t="shared" si="0"/>
        <v>90715.30402043715</v>
      </c>
      <c r="AM35" s="45"/>
      <c r="AO35" s="7"/>
    </row>
    <row r="36" spans="3:41" x14ac:dyDescent="0.3">
      <c r="C36" t="s">
        <v>57</v>
      </c>
      <c r="D36" s="148">
        <v>102828.24636714008</v>
      </c>
      <c r="E36" s="49"/>
      <c r="F36" s="49"/>
      <c r="G36" s="49" t="s">
        <v>57</v>
      </c>
      <c r="H36" s="7">
        <v>84648.010291356273</v>
      </c>
      <c r="I36" s="50"/>
      <c r="J36" s="49"/>
      <c r="K36" s="49" t="s">
        <v>165</v>
      </c>
      <c r="L36" s="49">
        <v>6121.9157184877859</v>
      </c>
      <c r="M36" s="49"/>
      <c r="N36" s="49"/>
      <c r="O36" s="49" t="s">
        <v>165</v>
      </c>
      <c r="P36" s="49">
        <v>8534.2314428860755</v>
      </c>
      <c r="Q36" s="49"/>
      <c r="S36" t="s">
        <v>165</v>
      </c>
      <c r="T36" s="49">
        <v>20508.386616242115</v>
      </c>
      <c r="U36" s="49"/>
      <c r="V36" s="49"/>
      <c r="W36" s="49" t="s">
        <v>165</v>
      </c>
      <c r="X36" s="58">
        <v>559.72343966317237</v>
      </c>
      <c r="Y36" s="58"/>
      <c r="Z36" s="58"/>
      <c r="AA36" s="58"/>
      <c r="AB36" s="58"/>
      <c r="AC36" s="58"/>
      <c r="AD36" s="58"/>
      <c r="AE36" s="58"/>
      <c r="AF36" s="58"/>
      <c r="AG36" s="58"/>
      <c r="AH36" s="58"/>
      <c r="AI36" s="58"/>
      <c r="AJ36" t="s">
        <v>57</v>
      </c>
      <c r="AL36" s="7">
        <f t="shared" si="0"/>
        <v>223200.5138757755</v>
      </c>
      <c r="AM36" s="45"/>
      <c r="AO36" s="7"/>
    </row>
    <row r="37" spans="3:41" x14ac:dyDescent="0.3">
      <c r="C37" t="s">
        <v>58</v>
      </c>
      <c r="D37" s="148">
        <v>28454.655855949841</v>
      </c>
      <c r="E37" s="49"/>
      <c r="F37" s="49"/>
      <c r="G37" s="49" t="s">
        <v>58</v>
      </c>
      <c r="H37" s="7">
        <v>43722.001675950014</v>
      </c>
      <c r="I37" s="50"/>
      <c r="J37" s="49"/>
      <c r="K37" s="49"/>
      <c r="L37" s="49"/>
      <c r="M37" s="49"/>
      <c r="N37" s="49"/>
      <c r="O37" s="49"/>
      <c r="P37" s="49"/>
      <c r="Q37" s="49"/>
      <c r="V37" s="49"/>
      <c r="W37" s="49"/>
      <c r="Y37" s="58"/>
      <c r="Z37" s="58"/>
      <c r="AA37" s="58"/>
      <c r="AC37" s="49"/>
      <c r="AD37" s="58"/>
      <c r="AE37" s="58"/>
      <c r="AF37" s="58"/>
      <c r="AG37" s="58"/>
      <c r="AH37" s="58"/>
      <c r="AI37" s="58"/>
      <c r="AJ37" t="s">
        <v>58</v>
      </c>
      <c r="AL37" s="7">
        <f t="shared" si="0"/>
        <v>72176.657531899851</v>
      </c>
      <c r="AM37" s="45"/>
      <c r="AO37" s="7"/>
    </row>
    <row r="38" spans="3:41" x14ac:dyDescent="0.3">
      <c r="C38" t="s">
        <v>59</v>
      </c>
      <c r="D38" s="148">
        <v>21642.652594487496</v>
      </c>
      <c r="E38" s="49"/>
      <c r="F38" s="49"/>
      <c r="G38" s="49" t="s">
        <v>59</v>
      </c>
      <c r="H38" s="7">
        <v>24932.364479022461</v>
      </c>
      <c r="I38" s="50"/>
      <c r="J38" s="49"/>
      <c r="K38" s="49"/>
      <c r="L38" s="49"/>
      <c r="M38" s="49"/>
      <c r="N38" s="49"/>
      <c r="O38" s="49"/>
      <c r="P38" s="49"/>
      <c r="Q38" s="49"/>
      <c r="V38" s="49"/>
      <c r="W38" s="49"/>
      <c r="Y38" s="58"/>
      <c r="Z38" s="58"/>
      <c r="AA38" s="58"/>
      <c r="AC38" s="49"/>
      <c r="AD38" s="58"/>
      <c r="AE38" s="58"/>
      <c r="AF38" s="58"/>
      <c r="AG38" s="58"/>
      <c r="AH38" s="58"/>
      <c r="AI38" s="58"/>
      <c r="AJ38" t="s">
        <v>59</v>
      </c>
      <c r="AL38" s="7">
        <f t="shared" si="0"/>
        <v>46575.017073509953</v>
      </c>
      <c r="AM38" s="45"/>
      <c r="AO38" s="7"/>
    </row>
    <row r="39" spans="3:41" x14ac:dyDescent="0.3">
      <c r="C39" t="s">
        <v>60</v>
      </c>
      <c r="D39" s="148">
        <v>209721.43738722935</v>
      </c>
      <c r="E39" s="49"/>
      <c r="F39" s="49"/>
      <c r="G39" s="49" t="s">
        <v>60</v>
      </c>
      <c r="H39" s="7">
        <v>211108.04788493132</v>
      </c>
      <c r="I39" s="50"/>
      <c r="J39" s="49"/>
      <c r="K39" s="49" t="s">
        <v>167</v>
      </c>
      <c r="L39" s="49">
        <v>15877.004492211508</v>
      </c>
      <c r="M39" s="49"/>
      <c r="N39" s="49"/>
      <c r="O39" s="49" t="s">
        <v>167</v>
      </c>
      <c r="P39" s="49">
        <v>22133.272849065808</v>
      </c>
      <c r="Q39" s="49"/>
      <c r="S39" t="s">
        <v>167</v>
      </c>
      <c r="T39" s="49">
        <v>37706.439479327659</v>
      </c>
      <c r="U39" s="49"/>
      <c r="V39" s="49"/>
      <c r="W39" s="49" t="s">
        <v>167</v>
      </c>
      <c r="X39" s="58">
        <v>1451.6259247233531</v>
      </c>
      <c r="Y39" s="58"/>
      <c r="Z39" s="58"/>
      <c r="AA39" s="58"/>
      <c r="AB39" s="58"/>
      <c r="AC39" s="58"/>
      <c r="AD39" s="58"/>
      <c r="AE39" s="58"/>
      <c r="AF39" s="58"/>
      <c r="AG39" s="58"/>
      <c r="AH39" s="58"/>
      <c r="AI39" s="58"/>
      <c r="AJ39" t="s">
        <v>60</v>
      </c>
      <c r="AL39" s="7">
        <f t="shared" si="0"/>
        <v>497997.828017489</v>
      </c>
      <c r="AM39" s="45"/>
      <c r="AO39" s="7"/>
    </row>
    <row r="40" spans="3:41" x14ac:dyDescent="0.3">
      <c r="C40" t="s">
        <v>61</v>
      </c>
      <c r="D40" s="148">
        <v>341154.88590176654</v>
      </c>
      <c r="E40" s="49"/>
      <c r="F40" s="49"/>
      <c r="G40" s="49" t="s">
        <v>61</v>
      </c>
      <c r="H40" s="7">
        <v>549456.43391148304</v>
      </c>
      <c r="I40" s="50"/>
      <c r="J40" s="49"/>
      <c r="K40" s="49"/>
      <c r="L40" s="49"/>
      <c r="M40" s="49"/>
      <c r="N40" s="49"/>
      <c r="O40" s="49"/>
      <c r="Q40" s="49"/>
      <c r="V40" s="49"/>
      <c r="W40" s="49"/>
      <c r="Y40" s="58"/>
      <c r="Z40" s="58"/>
      <c r="AA40" s="58"/>
      <c r="AC40" s="49"/>
      <c r="AD40" s="58"/>
      <c r="AE40" s="58"/>
      <c r="AF40" s="58"/>
      <c r="AG40" s="58"/>
      <c r="AH40" s="58"/>
      <c r="AI40" s="58"/>
      <c r="AJ40" t="s">
        <v>61</v>
      </c>
      <c r="AL40" s="7">
        <f t="shared" si="0"/>
        <v>890611.31981324963</v>
      </c>
      <c r="AM40" s="45"/>
      <c r="AO40" s="7"/>
    </row>
    <row r="41" spans="3:41" x14ac:dyDescent="0.3">
      <c r="C41" t="s">
        <v>62</v>
      </c>
      <c r="D41" s="148">
        <v>148897.70567117509</v>
      </c>
      <c r="E41" s="49"/>
      <c r="F41" s="49"/>
      <c r="G41" s="49" t="s">
        <v>62</v>
      </c>
      <c r="H41" s="7">
        <v>86096.852212178201</v>
      </c>
      <c r="I41" s="50"/>
      <c r="J41" s="49"/>
      <c r="K41" s="49" t="s">
        <v>168</v>
      </c>
      <c r="L41" s="49">
        <v>6329.5928439834215</v>
      </c>
      <c r="M41" s="49"/>
      <c r="N41" s="49"/>
      <c r="O41" s="49" t="s">
        <v>168</v>
      </c>
      <c r="P41" s="18">
        <v>8823.7428860149994</v>
      </c>
      <c r="Q41" s="49"/>
      <c r="S41" t="s">
        <v>168</v>
      </c>
      <c r="T41" s="49">
        <v>20508.386616242118</v>
      </c>
      <c r="U41" s="49"/>
      <c r="V41" s="49"/>
      <c r="W41" s="49" t="s">
        <v>168</v>
      </c>
      <c r="X41" s="58">
        <v>578.71124680836613</v>
      </c>
      <c r="Y41" s="58"/>
      <c r="Z41" s="58"/>
      <c r="AA41" s="58"/>
      <c r="AB41" s="58"/>
      <c r="AC41" s="58"/>
      <c r="AD41" s="58"/>
      <c r="AE41" s="58"/>
      <c r="AF41" s="58"/>
      <c r="AG41" s="58"/>
      <c r="AH41" s="58"/>
      <c r="AI41" s="58"/>
      <c r="AJ41" t="s">
        <v>62</v>
      </c>
      <c r="AL41" s="7">
        <f t="shared" si="0"/>
        <v>271234.99147640221</v>
      </c>
      <c r="AM41" s="45"/>
      <c r="AO41" s="7"/>
    </row>
    <row r="42" spans="3:41" x14ac:dyDescent="0.3">
      <c r="C42" t="s">
        <v>63</v>
      </c>
      <c r="D42" s="148">
        <v>90783.937057087023</v>
      </c>
      <c r="E42" s="49"/>
      <c r="F42" s="49"/>
      <c r="G42" s="49" t="s">
        <v>63</v>
      </c>
      <c r="H42" s="7">
        <v>142762.78143092646</v>
      </c>
      <c r="I42" s="50"/>
      <c r="J42" s="49"/>
      <c r="K42" s="49"/>
      <c r="L42" s="49"/>
      <c r="M42" s="49"/>
      <c r="N42" s="49"/>
      <c r="O42" s="49"/>
      <c r="Q42" s="49"/>
      <c r="V42" s="49"/>
      <c r="W42" s="49"/>
      <c r="Y42" s="58"/>
      <c r="Z42" s="58"/>
      <c r="AA42" s="58"/>
      <c r="AC42" s="49"/>
      <c r="AD42" s="58"/>
      <c r="AE42" s="58"/>
      <c r="AF42" s="58"/>
      <c r="AG42" s="58"/>
      <c r="AH42" s="58"/>
      <c r="AI42" s="58"/>
      <c r="AJ42" t="s">
        <v>63</v>
      </c>
      <c r="AL42" s="7">
        <f t="shared" si="0"/>
        <v>233546.71848801349</v>
      </c>
      <c r="AM42" s="45"/>
      <c r="AO42" s="7"/>
    </row>
    <row r="43" spans="3:41" x14ac:dyDescent="0.3">
      <c r="C43" t="s">
        <v>64</v>
      </c>
      <c r="D43" s="148">
        <v>317216.83521576034</v>
      </c>
      <c r="E43" s="49"/>
      <c r="F43" s="49"/>
      <c r="G43" s="49" t="s">
        <v>64</v>
      </c>
      <c r="H43" s="7">
        <v>371843.91974573425</v>
      </c>
      <c r="I43" s="50"/>
      <c r="J43" s="49"/>
      <c r="K43" s="49" t="s">
        <v>169</v>
      </c>
      <c r="L43" s="49">
        <v>27544.94373026488</v>
      </c>
      <c r="M43" s="49"/>
      <c r="N43" s="49"/>
      <c r="O43" s="49" t="s">
        <v>169</v>
      </c>
      <c r="P43" s="49">
        <v>38398.915582167072</v>
      </c>
      <c r="Q43" s="49"/>
      <c r="S43" t="s">
        <v>169</v>
      </c>
      <c r="T43" s="49">
        <v>65416.732371412771</v>
      </c>
      <c r="U43" s="49"/>
      <c r="V43" s="49"/>
      <c r="W43" s="49" t="s">
        <v>169</v>
      </c>
      <c r="X43" s="58">
        <v>2518.4192920971436</v>
      </c>
      <c r="Y43" s="58"/>
      <c r="Z43" s="58"/>
      <c r="AA43" s="58"/>
      <c r="AB43" s="58"/>
      <c r="AC43" s="58"/>
      <c r="AD43" s="58"/>
      <c r="AE43" s="58"/>
      <c r="AF43" s="58"/>
      <c r="AG43" s="58"/>
      <c r="AH43" s="58"/>
      <c r="AI43" s="58"/>
      <c r="AJ43" t="s">
        <v>64</v>
      </c>
      <c r="AL43" s="7">
        <f t="shared" si="0"/>
        <v>822939.76593743649</v>
      </c>
      <c r="AM43" s="45"/>
      <c r="AO43" s="7"/>
    </row>
    <row r="44" spans="3:41" x14ac:dyDescent="0.3">
      <c r="C44" t="s">
        <v>65</v>
      </c>
      <c r="D44" s="148">
        <v>494117.53622589092</v>
      </c>
      <c r="E44" s="49"/>
      <c r="F44" s="49"/>
      <c r="G44" s="49" t="s">
        <v>65</v>
      </c>
      <c r="H44" s="7">
        <v>319587.94717271219</v>
      </c>
      <c r="I44" s="50"/>
      <c r="J44" s="49"/>
      <c r="K44" s="49" t="s">
        <v>173</v>
      </c>
      <c r="L44" s="49">
        <v>23944.201840872985</v>
      </c>
      <c r="M44" s="49"/>
      <c r="N44" s="49"/>
      <c r="O44" s="49" t="s">
        <v>173</v>
      </c>
      <c r="P44" s="49">
        <v>33379.316152308209</v>
      </c>
      <c r="Q44" s="49"/>
      <c r="S44" t="s">
        <v>173</v>
      </c>
      <c r="T44" s="49">
        <v>56865.298365102695</v>
      </c>
      <c r="U44" s="49"/>
      <c r="V44" s="49"/>
      <c r="W44" s="49" t="s">
        <v>173</v>
      </c>
      <c r="X44" s="58">
        <v>2189.2054106346363</v>
      </c>
      <c r="Y44" s="58"/>
      <c r="Z44" s="58"/>
      <c r="AA44" s="58"/>
      <c r="AB44" s="58"/>
      <c r="AC44" s="58"/>
      <c r="AD44" s="58"/>
      <c r="AE44" s="58"/>
      <c r="AF44" s="58"/>
      <c r="AG44" s="58"/>
      <c r="AH44" s="58"/>
      <c r="AI44" s="58"/>
      <c r="AJ44" t="s">
        <v>65</v>
      </c>
      <c r="AL44" s="7">
        <f t="shared" si="0"/>
        <v>930083.50516752165</v>
      </c>
      <c r="AM44" s="45"/>
      <c r="AO44" s="7"/>
    </row>
    <row r="45" spans="3:41" x14ac:dyDescent="0.3">
      <c r="C45" t="s">
        <v>66</v>
      </c>
      <c r="D45" s="148">
        <v>96655.523778013681</v>
      </c>
      <c r="E45" s="49"/>
      <c r="F45" s="49"/>
      <c r="G45" s="49" t="s">
        <v>66</v>
      </c>
      <c r="H45" s="7">
        <v>114073.89908770204</v>
      </c>
      <c r="I45" s="50"/>
      <c r="J45" s="49"/>
      <c r="K45" s="49" t="s">
        <v>174</v>
      </c>
      <c r="L45" s="49">
        <v>9149.9655967038161</v>
      </c>
      <c r="M45" s="49"/>
      <c r="N45" s="49"/>
      <c r="O45" s="49" t="s">
        <v>174</v>
      </c>
      <c r="P45" s="49">
        <v>11706.35009490276</v>
      </c>
      <c r="Q45" s="49"/>
      <c r="S45" t="s">
        <v>174</v>
      </c>
      <c r="T45" s="49">
        <v>41016.773232484229</v>
      </c>
      <c r="U45" s="49"/>
      <c r="V45" s="49"/>
      <c r="W45" s="49" t="s">
        <v>174</v>
      </c>
      <c r="X45" s="58">
        <v>767.76902347570251</v>
      </c>
      <c r="Y45" s="58"/>
      <c r="Z45" s="58"/>
      <c r="AA45" s="58"/>
      <c r="AB45" s="58"/>
      <c r="AC45" s="58"/>
      <c r="AD45" s="58"/>
      <c r="AE45" s="58"/>
      <c r="AF45" s="58"/>
      <c r="AG45" s="58"/>
      <c r="AH45" s="58"/>
      <c r="AI45" s="58"/>
      <c r="AJ45" t="s">
        <v>66</v>
      </c>
      <c r="AL45" s="7">
        <f t="shared" si="0"/>
        <v>273370.28081328224</v>
      </c>
      <c r="AM45" s="45"/>
      <c r="AO45" s="7"/>
    </row>
    <row r="46" spans="3:41" x14ac:dyDescent="0.3">
      <c r="C46" t="s">
        <v>67</v>
      </c>
      <c r="D46" s="148">
        <v>27099.67430496676</v>
      </c>
      <c r="E46" s="49"/>
      <c r="F46" s="49"/>
      <c r="G46" s="49" t="s">
        <v>67</v>
      </c>
      <c r="H46" s="7">
        <v>40902.851308819103</v>
      </c>
      <c r="I46" s="50"/>
      <c r="J46" s="49"/>
      <c r="K46" s="49"/>
      <c r="L46" s="49"/>
      <c r="M46" s="49"/>
      <c r="N46" s="49"/>
      <c r="O46" s="49"/>
      <c r="P46" s="49"/>
      <c r="Q46" s="49"/>
      <c r="V46" s="49"/>
      <c r="W46" s="49"/>
      <c r="Y46" s="58"/>
      <c r="Z46" s="58"/>
      <c r="AA46" s="58"/>
      <c r="AC46" s="49"/>
      <c r="AD46" s="58"/>
      <c r="AE46" s="58"/>
      <c r="AF46" s="58"/>
      <c r="AG46" s="58"/>
      <c r="AH46" s="58"/>
      <c r="AI46" s="58"/>
      <c r="AJ46" t="s">
        <v>67</v>
      </c>
      <c r="AL46" s="7">
        <f t="shared" si="0"/>
        <v>68002.525613785867</v>
      </c>
      <c r="AM46" s="45"/>
      <c r="AO46" s="7"/>
    </row>
    <row r="47" spans="3:41" x14ac:dyDescent="0.3">
      <c r="C47" t="s">
        <v>68</v>
      </c>
      <c r="D47" s="148">
        <v>140165.58791418243</v>
      </c>
      <c r="E47" s="49"/>
      <c r="F47" s="49"/>
      <c r="G47" s="49" t="s">
        <v>68</v>
      </c>
      <c r="H47" s="7">
        <v>110172.39634747623</v>
      </c>
      <c r="I47" s="50"/>
      <c r="J47" s="49"/>
      <c r="K47" s="49" t="s">
        <v>176</v>
      </c>
      <c r="L47" s="49">
        <v>9149.9655967038161</v>
      </c>
      <c r="M47" s="49"/>
      <c r="N47" s="49"/>
      <c r="O47" s="49" t="s">
        <v>176</v>
      </c>
      <c r="P47" s="49">
        <v>11343.845681693174</v>
      </c>
      <c r="Q47" s="49"/>
      <c r="S47" t="s">
        <v>176</v>
      </c>
      <c r="T47" s="49">
        <v>41016.773232484229</v>
      </c>
      <c r="U47" s="49"/>
      <c r="V47" s="49"/>
      <c r="W47" s="49" t="s">
        <v>176</v>
      </c>
      <c r="X47" s="58">
        <v>743.9939221777546</v>
      </c>
      <c r="Y47" s="58"/>
      <c r="Z47" s="58"/>
      <c r="AA47" s="58"/>
      <c r="AB47" s="58"/>
      <c r="AC47" s="58"/>
      <c r="AD47" s="58"/>
      <c r="AE47" s="58"/>
      <c r="AF47" s="58"/>
      <c r="AG47" s="58"/>
      <c r="AH47" s="58"/>
      <c r="AI47" s="58"/>
      <c r="AJ47" t="s">
        <v>68</v>
      </c>
      <c r="AL47" s="7">
        <f t="shared" si="0"/>
        <v>312592.56269471766</v>
      </c>
      <c r="AM47" s="45"/>
      <c r="AO47" s="7"/>
    </row>
    <row r="48" spans="3:41" x14ac:dyDescent="0.3">
      <c r="C48" t="s">
        <v>69</v>
      </c>
      <c r="D48" s="148">
        <v>26045.806979530786</v>
      </c>
      <c r="E48" s="49"/>
      <c r="F48" s="49"/>
      <c r="G48" s="49" t="s">
        <v>69</v>
      </c>
      <c r="H48" s="7">
        <v>46453.557013816506</v>
      </c>
      <c r="I48" s="50"/>
      <c r="J48" s="49"/>
      <c r="K48" s="49"/>
      <c r="L48" s="49"/>
      <c r="M48" s="49"/>
      <c r="N48" s="49"/>
      <c r="O48" s="49"/>
      <c r="P48" s="49"/>
      <c r="Q48" s="49"/>
      <c r="V48" s="49"/>
      <c r="W48" s="49"/>
      <c r="Y48" s="58"/>
      <c r="Z48" s="58"/>
      <c r="AA48" s="58"/>
      <c r="AC48" s="49"/>
      <c r="AD48" s="58"/>
      <c r="AE48" s="58"/>
      <c r="AF48" s="58"/>
      <c r="AG48" s="58"/>
      <c r="AH48" s="58"/>
      <c r="AI48" s="58"/>
      <c r="AJ48" t="s">
        <v>69</v>
      </c>
      <c r="AL48" s="7">
        <f t="shared" si="0"/>
        <v>72499.363993347288</v>
      </c>
      <c r="AM48" s="45"/>
      <c r="AO48" s="7"/>
    </row>
    <row r="49" spans="3:41" x14ac:dyDescent="0.3">
      <c r="C49" t="s">
        <v>70</v>
      </c>
      <c r="D49" s="148">
        <v>124507.97282552191</v>
      </c>
      <c r="E49" s="49"/>
      <c r="F49" s="49"/>
      <c r="G49" s="49" t="s">
        <v>70</v>
      </c>
      <c r="H49" s="7">
        <v>171435.55434348155</v>
      </c>
      <c r="I49" s="50"/>
      <c r="J49" s="49"/>
      <c r="K49" s="49" t="s">
        <v>178</v>
      </c>
      <c r="L49" s="49">
        <v>12378.777444512576</v>
      </c>
      <c r="M49" s="49"/>
      <c r="N49" s="49"/>
      <c r="O49" s="49" t="s">
        <v>178</v>
      </c>
      <c r="P49" s="49">
        <v>17256.58381287611</v>
      </c>
      <c r="Q49" s="49"/>
      <c r="S49" t="s">
        <v>178</v>
      </c>
      <c r="T49" s="49">
        <v>41016.773232484229</v>
      </c>
      <c r="U49" s="49"/>
      <c r="V49" s="49"/>
      <c r="W49" s="49" t="s">
        <v>178</v>
      </c>
      <c r="X49" s="58">
        <v>1131.7849197340752</v>
      </c>
      <c r="Y49" s="58"/>
      <c r="Z49" s="58"/>
      <c r="AA49" s="58"/>
      <c r="AB49" s="58"/>
      <c r="AC49" s="58"/>
      <c r="AD49" s="58"/>
      <c r="AE49" s="58"/>
      <c r="AF49" s="58"/>
      <c r="AG49" s="58"/>
      <c r="AH49" s="58"/>
      <c r="AI49" s="58"/>
      <c r="AJ49" t="s">
        <v>70</v>
      </c>
      <c r="AL49" s="7">
        <f t="shared" si="0"/>
        <v>367727.4465786104</v>
      </c>
      <c r="AM49" s="45"/>
      <c r="AO49" s="7"/>
    </row>
    <row r="50" spans="3:41" x14ac:dyDescent="0.3">
      <c r="C50" t="s">
        <v>71</v>
      </c>
      <c r="D50" s="148">
        <v>759844.96429103124</v>
      </c>
      <c r="E50" s="49"/>
      <c r="F50" s="49"/>
      <c r="G50" s="49" t="s">
        <v>71</v>
      </c>
      <c r="H50" s="7">
        <v>836597.9740373519</v>
      </c>
      <c r="I50" s="50"/>
      <c r="J50" s="49"/>
      <c r="K50" s="49"/>
      <c r="L50" s="49"/>
      <c r="M50" s="49"/>
      <c r="N50" s="49"/>
      <c r="O50" s="49"/>
      <c r="P50" s="49"/>
      <c r="Q50" s="49"/>
      <c r="V50" s="49"/>
      <c r="W50" s="49"/>
      <c r="Y50" s="58"/>
      <c r="Z50" s="58"/>
      <c r="AA50" s="58"/>
      <c r="AC50" s="49"/>
      <c r="AD50" s="58"/>
      <c r="AE50" s="58"/>
      <c r="AF50" s="58"/>
      <c r="AG50" s="58"/>
      <c r="AH50" s="58"/>
      <c r="AI50" s="58"/>
      <c r="AJ50" t="s">
        <v>71</v>
      </c>
      <c r="AL50" s="7">
        <f t="shared" si="0"/>
        <v>1596442.938328383</v>
      </c>
      <c r="AM50" s="45"/>
      <c r="AO50" s="7"/>
    </row>
    <row r="51" spans="3:41" x14ac:dyDescent="0.3">
      <c r="C51" t="s">
        <v>72</v>
      </c>
      <c r="D51" s="148">
        <v>21642.652594487496</v>
      </c>
      <c r="E51" s="49"/>
      <c r="F51" s="49"/>
      <c r="G51" s="49" t="s">
        <v>72</v>
      </c>
      <c r="H51" s="7">
        <v>18354.682568855933</v>
      </c>
      <c r="I51" s="50"/>
      <c r="J51" s="49"/>
      <c r="K51" s="49"/>
      <c r="L51" s="49"/>
      <c r="M51" s="49"/>
      <c r="N51" s="49"/>
      <c r="O51" s="49"/>
      <c r="P51" s="49"/>
      <c r="Q51" s="49"/>
      <c r="V51" s="49"/>
      <c r="W51" s="49"/>
      <c r="Y51" s="58"/>
      <c r="Z51" s="58"/>
      <c r="AA51" s="58"/>
      <c r="AC51" s="49"/>
      <c r="AD51" s="58"/>
      <c r="AE51" s="58"/>
      <c r="AF51" s="58"/>
      <c r="AG51" s="58"/>
      <c r="AH51" s="58"/>
      <c r="AI51" s="58"/>
      <c r="AJ51" t="s">
        <v>72</v>
      </c>
      <c r="AL51" s="7">
        <f t="shared" si="0"/>
        <v>39997.335163343429</v>
      </c>
      <c r="AM51" s="45"/>
      <c r="AO51" s="7"/>
    </row>
    <row r="52" spans="3:41" x14ac:dyDescent="0.3">
      <c r="C52" t="s">
        <v>73</v>
      </c>
      <c r="D52" s="148">
        <v>253833.68668918713</v>
      </c>
      <c r="E52" s="49"/>
      <c r="F52" s="49"/>
      <c r="G52" s="49" t="s">
        <v>73</v>
      </c>
      <c r="H52" s="7">
        <v>307372.97136770067</v>
      </c>
      <c r="I52" s="50"/>
      <c r="J52" s="49"/>
      <c r="K52" s="49" t="s">
        <v>184</v>
      </c>
      <c r="L52" s="49">
        <v>23014.434879951852</v>
      </c>
      <c r="M52" s="49"/>
      <c r="N52" s="49"/>
      <c r="O52" s="49" t="s">
        <v>184</v>
      </c>
      <c r="P52" s="49">
        <v>32083.178342294406</v>
      </c>
      <c r="Q52" s="49"/>
      <c r="S52" t="s">
        <v>184</v>
      </c>
      <c r="T52" s="49">
        <v>54657.186522654745</v>
      </c>
      <c r="U52" s="49"/>
      <c r="V52" s="49"/>
      <c r="W52" s="49" t="s">
        <v>184</v>
      </c>
      <c r="X52" s="58">
        <v>2104.1973207845353</v>
      </c>
      <c r="Y52" s="58"/>
      <c r="Z52" s="58"/>
      <c r="AA52" s="58"/>
      <c r="AB52" s="58"/>
      <c r="AC52" s="58"/>
      <c r="AD52" s="58"/>
      <c r="AE52" s="58"/>
      <c r="AF52" s="58"/>
      <c r="AG52" s="58"/>
      <c r="AH52" s="58"/>
      <c r="AI52" s="58"/>
      <c r="AJ52" t="s">
        <v>73</v>
      </c>
      <c r="AL52" s="7">
        <f t="shared" si="0"/>
        <v>673065.65512257337</v>
      </c>
      <c r="AM52" s="45"/>
      <c r="AO52" s="7"/>
    </row>
    <row r="53" spans="3:41" x14ac:dyDescent="0.3">
      <c r="C53" t="s">
        <v>74</v>
      </c>
      <c r="D53" s="148">
        <v>87020.084987032285</v>
      </c>
      <c r="E53" s="49"/>
      <c r="F53" s="49"/>
      <c r="G53" s="49" t="s">
        <v>74</v>
      </c>
      <c r="H53" s="7">
        <v>91464.313143312102</v>
      </c>
      <c r="I53" s="50"/>
      <c r="J53" s="49"/>
      <c r="K53" s="49" t="s">
        <v>185</v>
      </c>
      <c r="L53" s="49">
        <v>6739.7257508138555</v>
      </c>
      <c r="M53" s="49"/>
      <c r="N53" s="49"/>
      <c r="O53" s="49" t="s">
        <v>185</v>
      </c>
      <c r="P53" s="49">
        <v>9395.4869789080585</v>
      </c>
      <c r="Q53" s="49"/>
      <c r="S53" t="s">
        <v>185</v>
      </c>
      <c r="T53" s="49">
        <v>20508.386616242118</v>
      </c>
      <c r="U53" s="49"/>
      <c r="V53" s="49"/>
      <c r="W53" s="49" t="s">
        <v>185</v>
      </c>
      <c r="X53" s="58">
        <v>616.20947642902672</v>
      </c>
      <c r="Y53" s="58"/>
      <c r="Z53" s="58"/>
      <c r="AA53" s="58"/>
      <c r="AB53" s="58"/>
      <c r="AC53" s="58"/>
      <c r="AD53" s="58"/>
      <c r="AE53" s="58"/>
      <c r="AF53" s="58"/>
      <c r="AG53" s="58"/>
      <c r="AH53" s="58"/>
      <c r="AI53" s="58"/>
      <c r="AJ53" t="s">
        <v>74</v>
      </c>
      <c r="AL53" s="7">
        <f t="shared" si="0"/>
        <v>215744.20695273747</v>
      </c>
      <c r="AM53" s="45"/>
      <c r="AO53" s="7"/>
    </row>
    <row r="54" spans="3:41" x14ac:dyDescent="0.3">
      <c r="C54" t="s">
        <v>75</v>
      </c>
      <c r="D54" s="148">
        <v>34777.92473652347</v>
      </c>
      <c r="E54" s="49"/>
      <c r="F54" s="49"/>
      <c r="G54" s="49" t="s">
        <v>75</v>
      </c>
      <c r="H54" s="7">
        <v>46588.473495672064</v>
      </c>
      <c r="I54" s="50"/>
      <c r="J54" s="49"/>
      <c r="K54" s="49"/>
      <c r="L54" s="49"/>
      <c r="M54" s="49"/>
      <c r="N54" s="49"/>
      <c r="O54" s="49"/>
      <c r="P54" s="49"/>
      <c r="Q54" s="49"/>
      <c r="V54" s="49"/>
      <c r="W54" s="49"/>
      <c r="Y54" s="58"/>
      <c r="Z54" s="58"/>
      <c r="AA54" s="58"/>
      <c r="AC54" s="49"/>
      <c r="AD54" s="58"/>
      <c r="AE54" s="58"/>
      <c r="AF54" s="58"/>
      <c r="AG54" s="58"/>
      <c r="AH54" s="58"/>
      <c r="AI54" s="58"/>
      <c r="AJ54" t="s">
        <v>75</v>
      </c>
      <c r="AL54" s="7">
        <f t="shared" si="0"/>
        <v>81366.398232195526</v>
      </c>
      <c r="AM54" s="45"/>
      <c r="AO54" s="7"/>
    </row>
    <row r="55" spans="3:41" x14ac:dyDescent="0.3">
      <c r="C55" t="s">
        <v>76</v>
      </c>
      <c r="D55" s="148">
        <v>3484717.992626667</v>
      </c>
      <c r="E55" s="49"/>
      <c r="F55" s="49"/>
      <c r="G55" s="49" t="s">
        <v>76</v>
      </c>
      <c r="H55" s="7">
        <v>0</v>
      </c>
      <c r="I55" s="50"/>
      <c r="J55" s="49"/>
      <c r="K55" s="49" t="s">
        <v>186</v>
      </c>
      <c r="L55" s="49">
        <v>117943.3253677481</v>
      </c>
      <c r="M55" s="49"/>
      <c r="N55" s="49"/>
      <c r="O55" s="49" t="s">
        <v>186</v>
      </c>
      <c r="P55" s="49">
        <v>164418.4079163727</v>
      </c>
      <c r="Q55" s="49"/>
      <c r="V55" s="49"/>
      <c r="W55" s="49" t="s">
        <v>222</v>
      </c>
      <c r="X55" s="58">
        <v>10783.494382450528</v>
      </c>
      <c r="Y55" s="58"/>
      <c r="Z55" s="58"/>
      <c r="AA55" s="58"/>
      <c r="AB55" t="s">
        <v>76</v>
      </c>
      <c r="AC55" s="49">
        <v>256787.8</v>
      </c>
      <c r="AD55" s="49"/>
      <c r="AE55" s="49">
        <v>296013.62</v>
      </c>
      <c r="AF55" s="49"/>
      <c r="AG55" s="49"/>
      <c r="AH55" s="58"/>
      <c r="AI55" s="58"/>
      <c r="AJ55" t="s">
        <v>76</v>
      </c>
      <c r="AL55" s="7">
        <f t="shared" si="0"/>
        <v>4330664.6402932378</v>
      </c>
      <c r="AM55" s="45"/>
      <c r="AO55" s="7"/>
    </row>
    <row r="56" spans="3:41" x14ac:dyDescent="0.3">
      <c r="C56" t="s">
        <v>77</v>
      </c>
      <c r="D56" s="148">
        <v>42606.721459527427</v>
      </c>
      <c r="E56" s="49"/>
      <c r="F56" s="49"/>
      <c r="G56" s="49" t="s">
        <v>77</v>
      </c>
      <c r="H56" s="7">
        <v>56190.701014003331</v>
      </c>
      <c r="I56" s="50"/>
      <c r="J56" s="49"/>
      <c r="K56" s="49" t="s">
        <v>187</v>
      </c>
      <c r="L56" s="49">
        <v>4574.9827983519081</v>
      </c>
      <c r="M56" s="49"/>
      <c r="N56" s="49"/>
      <c r="O56" s="49"/>
      <c r="P56" s="49"/>
      <c r="Q56" s="49"/>
      <c r="S56" t="s">
        <v>187</v>
      </c>
      <c r="T56" s="49">
        <v>20508.386616242118</v>
      </c>
      <c r="U56" s="49"/>
      <c r="V56" s="49"/>
      <c r="W56" s="49" t="s">
        <v>187</v>
      </c>
      <c r="X56" s="58">
        <v>393.57340341498445</v>
      </c>
      <c r="Y56" s="58"/>
      <c r="Z56" s="58"/>
      <c r="AA56" s="58"/>
      <c r="AB56" s="58"/>
      <c r="AC56" s="58"/>
      <c r="AD56" s="58"/>
      <c r="AE56" s="58"/>
      <c r="AF56" s="58"/>
      <c r="AG56" s="58"/>
      <c r="AH56" s="58"/>
      <c r="AI56" s="58"/>
      <c r="AJ56" t="s">
        <v>77</v>
      </c>
      <c r="AL56" s="7">
        <f t="shared" si="0"/>
        <v>124274.36529153975</v>
      </c>
      <c r="AM56" s="45"/>
      <c r="AO56" s="7"/>
    </row>
    <row r="57" spans="3:41" x14ac:dyDescent="0.3">
      <c r="C57" t="s">
        <v>78</v>
      </c>
      <c r="D57" s="148">
        <v>21642.652594487496</v>
      </c>
      <c r="E57" s="49"/>
      <c r="F57" s="49"/>
      <c r="G57" s="49" t="s">
        <v>78</v>
      </c>
      <c r="H57" s="7">
        <v>16686.556886889015</v>
      </c>
      <c r="I57" s="50"/>
      <c r="J57" s="49"/>
      <c r="K57" s="49"/>
      <c r="L57" s="49"/>
      <c r="M57" s="49"/>
      <c r="N57" s="49"/>
      <c r="O57" s="49"/>
      <c r="P57" s="49"/>
      <c r="Q57" s="49"/>
      <c r="V57" s="49"/>
      <c r="W57" s="49"/>
      <c r="Y57" s="58"/>
      <c r="Z57" s="58"/>
      <c r="AA57" s="58"/>
      <c r="AC57" s="49"/>
      <c r="AD57" s="58"/>
      <c r="AE57" s="58"/>
      <c r="AF57" s="58"/>
      <c r="AG57" s="58"/>
      <c r="AH57" s="58"/>
      <c r="AI57" s="58"/>
      <c r="AJ57" t="s">
        <v>78</v>
      </c>
      <c r="AL57" s="7">
        <f t="shared" si="0"/>
        <v>38329.209481376514</v>
      </c>
      <c r="AM57" s="45"/>
      <c r="AO57" s="7"/>
    </row>
    <row r="58" spans="3:41" x14ac:dyDescent="0.3">
      <c r="C58" t="s">
        <v>79</v>
      </c>
      <c r="D58" s="148">
        <v>148446.04515418076</v>
      </c>
      <c r="E58" s="49"/>
      <c r="F58" s="49"/>
      <c r="G58" s="49" t="s">
        <v>79</v>
      </c>
      <c r="H58" s="7">
        <v>142325.81312402117</v>
      </c>
      <c r="I58" s="50"/>
      <c r="J58" s="49"/>
      <c r="K58" s="49" t="s">
        <v>190</v>
      </c>
      <c r="L58" s="49">
        <v>10519.831843139124</v>
      </c>
      <c r="M58" s="49"/>
      <c r="N58" s="49"/>
      <c r="O58" s="49"/>
      <c r="P58" s="49"/>
      <c r="Q58" s="49"/>
      <c r="S58" t="s">
        <v>190</v>
      </c>
      <c r="T58" s="49">
        <v>41016.773232484229</v>
      </c>
      <c r="U58" s="49"/>
      <c r="V58" s="49"/>
      <c r="W58" s="49" t="s">
        <v>190</v>
      </c>
      <c r="X58" s="58">
        <v>961.82252985581454</v>
      </c>
      <c r="Y58" s="58"/>
      <c r="Z58" s="58"/>
      <c r="AA58" s="58"/>
      <c r="AB58" s="58"/>
      <c r="AC58" s="58"/>
      <c r="AD58" s="58"/>
      <c r="AE58" s="58"/>
      <c r="AF58" s="58"/>
      <c r="AG58" s="58"/>
      <c r="AH58" s="58"/>
      <c r="AI58" s="58"/>
      <c r="AJ58" t="s">
        <v>79</v>
      </c>
      <c r="AL58" s="7">
        <f t="shared" si="0"/>
        <v>343270.28588368109</v>
      </c>
      <c r="AM58" s="45"/>
      <c r="AO58" s="7"/>
    </row>
    <row r="59" spans="3:41" x14ac:dyDescent="0.3">
      <c r="C59" t="s">
        <v>80</v>
      </c>
      <c r="D59" s="148">
        <v>21642.652594487496</v>
      </c>
      <c r="E59" s="49"/>
      <c r="F59" s="49"/>
      <c r="G59" s="49" t="s">
        <v>80</v>
      </c>
      <c r="H59" s="7">
        <v>40648.120936360487</v>
      </c>
      <c r="I59" s="50"/>
      <c r="J59" s="49"/>
      <c r="K59" s="49"/>
      <c r="L59" s="49"/>
      <c r="M59" s="49"/>
      <c r="N59" s="49"/>
      <c r="O59" s="49"/>
      <c r="P59" s="49"/>
      <c r="Q59" s="49"/>
      <c r="V59" s="49"/>
      <c r="W59" s="49"/>
      <c r="Y59" s="58"/>
      <c r="Z59" s="58"/>
      <c r="AA59" s="58"/>
      <c r="AC59" s="49"/>
      <c r="AD59" s="58"/>
      <c r="AE59" s="58"/>
      <c r="AF59" s="58"/>
      <c r="AG59" s="58"/>
      <c r="AH59" s="58"/>
      <c r="AI59" s="58"/>
      <c r="AJ59" t="s">
        <v>80</v>
      </c>
      <c r="AL59" s="7">
        <f t="shared" si="0"/>
        <v>62290.773530847982</v>
      </c>
      <c r="AM59" s="45"/>
      <c r="AO59" s="7"/>
    </row>
    <row r="60" spans="3:41" x14ac:dyDescent="0.3">
      <c r="C60" t="s">
        <v>81</v>
      </c>
      <c r="D60" s="148">
        <v>63985.355335014763</v>
      </c>
      <c r="E60" s="49"/>
      <c r="F60" s="49"/>
      <c r="G60" s="49" t="s">
        <v>81</v>
      </c>
      <c r="H60" s="7">
        <v>73949.334648094446</v>
      </c>
      <c r="I60" s="50"/>
      <c r="J60" s="49"/>
      <c r="K60" s="49"/>
      <c r="L60" s="49"/>
      <c r="M60" s="49"/>
      <c r="N60" s="49"/>
      <c r="O60" s="49"/>
      <c r="P60" s="49"/>
      <c r="Q60" s="49"/>
      <c r="V60" s="49"/>
      <c r="W60" s="49"/>
      <c r="Y60" s="58"/>
      <c r="Z60" s="58"/>
      <c r="AA60" s="58"/>
      <c r="AC60" s="49"/>
      <c r="AD60" s="58"/>
      <c r="AE60" s="58"/>
      <c r="AF60" s="58"/>
      <c r="AG60" s="58"/>
      <c r="AH60" s="58"/>
      <c r="AI60" s="58"/>
      <c r="AJ60" t="s">
        <v>81</v>
      </c>
      <c r="AL60" s="7">
        <f t="shared" si="0"/>
        <v>137934.68998310922</v>
      </c>
      <c r="AM60" s="45"/>
      <c r="AO60" s="7"/>
    </row>
    <row r="61" spans="3:41" x14ac:dyDescent="0.3">
      <c r="C61" t="s">
        <v>82</v>
      </c>
      <c r="D61" s="148">
        <v>21642.652594487496</v>
      </c>
      <c r="E61" s="49"/>
      <c r="F61" s="49"/>
      <c r="G61" s="49" t="s">
        <v>82</v>
      </c>
      <c r="H61" s="7">
        <v>16181.501537355991</v>
      </c>
      <c r="I61" s="50"/>
      <c r="J61" s="49"/>
      <c r="K61" s="49"/>
      <c r="L61" s="49"/>
      <c r="M61" s="49"/>
      <c r="N61" s="49"/>
      <c r="O61" s="49"/>
      <c r="P61" s="49"/>
      <c r="Q61" s="49"/>
      <c r="V61" s="49"/>
      <c r="W61" s="49"/>
      <c r="Y61" s="58"/>
      <c r="Z61" s="58"/>
      <c r="AA61" s="58"/>
      <c r="AC61" s="49"/>
      <c r="AD61" s="58"/>
      <c r="AE61" s="58"/>
      <c r="AF61" s="58"/>
      <c r="AG61" s="58"/>
      <c r="AH61" s="58"/>
      <c r="AI61" s="58"/>
      <c r="AJ61" t="s">
        <v>82</v>
      </c>
      <c r="AL61" s="7">
        <f t="shared" si="0"/>
        <v>37824.15413184349</v>
      </c>
      <c r="AM61" s="45"/>
      <c r="AO61" s="7"/>
    </row>
    <row r="62" spans="3:41" x14ac:dyDescent="0.3">
      <c r="C62" t="s">
        <v>83</v>
      </c>
      <c r="D62" s="148">
        <v>24991.939654094811</v>
      </c>
      <c r="E62" s="49"/>
      <c r="F62" s="49"/>
      <c r="G62" s="49" t="s">
        <v>83</v>
      </c>
      <c r="H62" s="7">
        <v>40603.820002019856</v>
      </c>
      <c r="I62" s="50"/>
      <c r="J62" s="49"/>
      <c r="K62" s="49"/>
      <c r="L62" s="49"/>
      <c r="M62" s="49"/>
      <c r="N62" s="49"/>
      <c r="O62" s="49"/>
      <c r="P62" s="49"/>
      <c r="Q62" s="49"/>
      <c r="V62" s="49"/>
      <c r="W62" s="49"/>
      <c r="Y62" s="58"/>
      <c r="Z62" s="58"/>
      <c r="AA62" s="58"/>
      <c r="AC62" s="49"/>
      <c r="AD62" s="58"/>
      <c r="AE62" s="58"/>
      <c r="AF62" s="58"/>
      <c r="AG62" s="58"/>
      <c r="AH62" s="58"/>
      <c r="AI62" s="58"/>
      <c r="AJ62" t="s">
        <v>83</v>
      </c>
      <c r="AL62" s="7">
        <f t="shared" si="0"/>
        <v>65595.759656114664</v>
      </c>
      <c r="AM62" s="45"/>
      <c r="AO62" s="7"/>
    </row>
    <row r="63" spans="3:41" x14ac:dyDescent="0.3">
      <c r="C63" t="s">
        <v>84</v>
      </c>
      <c r="D63" s="148">
        <v>22432.522843575913</v>
      </c>
      <c r="E63" s="49"/>
      <c r="F63" s="49"/>
      <c r="G63" s="49" t="s">
        <v>84</v>
      </c>
      <c r="H63" s="7">
        <v>40868.618768646804</v>
      </c>
      <c r="I63" s="50"/>
      <c r="J63" s="49"/>
      <c r="K63" s="49" t="s">
        <v>193</v>
      </c>
      <c r="L63" s="49">
        <v>3018.4517053712038</v>
      </c>
      <c r="M63" s="49"/>
      <c r="N63" s="49"/>
      <c r="O63" s="49"/>
      <c r="P63" s="49"/>
      <c r="Q63" s="49"/>
      <c r="S63" t="s">
        <v>193</v>
      </c>
      <c r="T63" s="49">
        <v>10254.193308121057</v>
      </c>
      <c r="U63" s="49"/>
      <c r="V63" s="49"/>
      <c r="W63" s="49" t="s">
        <v>193</v>
      </c>
      <c r="X63" s="58">
        <v>275.9754051963447</v>
      </c>
      <c r="Y63" s="58"/>
      <c r="Z63" s="58"/>
      <c r="AA63" s="58"/>
      <c r="AB63" s="58"/>
      <c r="AC63" s="58"/>
      <c r="AD63" s="58"/>
      <c r="AE63" s="58"/>
      <c r="AF63" s="58"/>
      <c r="AG63" s="58"/>
      <c r="AH63" s="58"/>
      <c r="AI63" s="58"/>
      <c r="AJ63" t="s">
        <v>84</v>
      </c>
      <c r="AL63" s="7">
        <f t="shared" si="0"/>
        <v>76849.762030911312</v>
      </c>
      <c r="AM63" s="45"/>
      <c r="AO63" s="7"/>
    </row>
    <row r="64" spans="3:41" x14ac:dyDescent="0.3">
      <c r="C64" t="s">
        <v>85</v>
      </c>
      <c r="D64" s="148">
        <v>21642.652594487496</v>
      </c>
      <c r="E64" s="49"/>
      <c r="F64" s="49"/>
      <c r="G64" s="49" t="s">
        <v>85</v>
      </c>
      <c r="H64" s="7">
        <v>45230.247122365057</v>
      </c>
      <c r="I64" s="50"/>
      <c r="J64" s="49"/>
      <c r="K64" s="49"/>
      <c r="L64" s="49"/>
      <c r="M64" s="49"/>
      <c r="N64" s="49"/>
      <c r="O64" s="49"/>
      <c r="P64" s="49"/>
      <c r="Q64" s="49"/>
      <c r="V64" s="49"/>
      <c r="W64" s="49"/>
      <c r="Y64" s="58"/>
      <c r="Z64" s="58"/>
      <c r="AA64" s="58"/>
      <c r="AC64" s="49"/>
      <c r="AD64" s="58"/>
      <c r="AE64" s="58"/>
      <c r="AF64" s="58"/>
      <c r="AG64" s="58"/>
      <c r="AH64" s="58"/>
      <c r="AI64" s="58"/>
      <c r="AJ64" t="s">
        <v>85</v>
      </c>
      <c r="AL64" s="7">
        <f t="shared" si="0"/>
        <v>66872.899716852553</v>
      </c>
      <c r="AM64" s="45"/>
      <c r="AO64" s="7"/>
    </row>
    <row r="65" spans="3:41" x14ac:dyDescent="0.3">
      <c r="C65" t="s">
        <v>86</v>
      </c>
      <c r="D65" s="148">
        <v>50586.064473978644</v>
      </c>
      <c r="E65" s="49"/>
      <c r="F65" s="49"/>
      <c r="G65" s="49" t="s">
        <v>86</v>
      </c>
      <c r="H65" s="7">
        <v>51014.53957206761</v>
      </c>
      <c r="I65" s="50"/>
      <c r="J65" s="49"/>
      <c r="K65" s="49"/>
      <c r="L65" s="49"/>
      <c r="M65" s="49"/>
      <c r="N65" s="49"/>
      <c r="O65" s="49"/>
      <c r="P65" s="49"/>
      <c r="Q65" s="49"/>
      <c r="V65" s="49"/>
      <c r="W65" s="49"/>
      <c r="Y65" s="58"/>
      <c r="Z65" s="58"/>
      <c r="AA65" s="58"/>
      <c r="AC65" s="49"/>
      <c r="AD65" s="58"/>
      <c r="AE65" s="58"/>
      <c r="AF65" s="58"/>
      <c r="AG65" s="58"/>
      <c r="AH65" s="58"/>
      <c r="AI65" s="58"/>
      <c r="AJ65" t="s">
        <v>86</v>
      </c>
      <c r="AL65" s="7">
        <f t="shared" si="0"/>
        <v>101600.60404604625</v>
      </c>
      <c r="AM65" s="45"/>
      <c r="AO65" s="7"/>
    </row>
    <row r="66" spans="3:41" x14ac:dyDescent="0.3">
      <c r="C66" t="s">
        <v>87</v>
      </c>
      <c r="D66" s="148">
        <v>21642.652594487496</v>
      </c>
      <c r="E66" s="49"/>
      <c r="F66" s="49"/>
      <c r="G66" s="49" t="s">
        <v>87</v>
      </c>
      <c r="H66" s="7">
        <v>39459.043585081337</v>
      </c>
      <c r="I66" s="50"/>
      <c r="J66" s="49"/>
      <c r="K66" s="49"/>
      <c r="L66" s="49"/>
      <c r="M66" s="49"/>
      <c r="N66" s="49"/>
      <c r="O66" s="49"/>
      <c r="P66" s="49"/>
      <c r="Q66" s="49"/>
      <c r="V66" s="49"/>
      <c r="W66" s="49"/>
      <c r="Y66" s="58"/>
      <c r="Z66" s="58"/>
      <c r="AA66" s="58"/>
      <c r="AC66" s="49"/>
      <c r="AD66" s="58"/>
      <c r="AE66" s="58"/>
      <c r="AF66" s="58"/>
      <c r="AG66" s="58"/>
      <c r="AH66" s="58"/>
      <c r="AI66" s="58"/>
      <c r="AJ66" t="s">
        <v>87</v>
      </c>
      <c r="AL66" s="7">
        <f t="shared" si="0"/>
        <v>61101.696179568833</v>
      </c>
      <c r="AM66" s="45"/>
      <c r="AO66" s="7"/>
    </row>
    <row r="67" spans="3:41" x14ac:dyDescent="0.3">
      <c r="C67" t="s">
        <v>88</v>
      </c>
      <c r="D67" s="148">
        <v>247962.09996826047</v>
      </c>
      <c r="E67" s="49"/>
      <c r="F67" s="49"/>
      <c r="G67" s="49" t="s">
        <v>88</v>
      </c>
      <c r="H67" s="7">
        <v>208279.83596304897</v>
      </c>
      <c r="I67" s="50"/>
      <c r="J67" s="49"/>
      <c r="K67" s="49" t="s">
        <v>198</v>
      </c>
      <c r="L67" s="49">
        <v>15395.537728535903</v>
      </c>
      <c r="M67" s="49"/>
      <c r="N67" s="49"/>
      <c r="O67" s="49" t="s">
        <v>198</v>
      </c>
      <c r="P67" s="49">
        <v>21462.086086259485</v>
      </c>
      <c r="Q67" s="49"/>
      <c r="S67" t="s">
        <v>198</v>
      </c>
      <c r="T67" s="49">
        <v>36562.9997709905</v>
      </c>
      <c r="U67" s="49"/>
      <c r="V67" s="49"/>
      <c r="W67" s="49" t="s">
        <v>198</v>
      </c>
      <c r="X67" s="58">
        <v>1407.6056791923393</v>
      </c>
      <c r="Y67" s="58"/>
      <c r="Z67" s="58"/>
      <c r="AA67" s="58"/>
      <c r="AB67" s="58"/>
      <c r="AC67" s="58"/>
      <c r="AD67" s="58"/>
      <c r="AE67" s="58"/>
      <c r="AF67" s="58"/>
      <c r="AG67" s="58"/>
      <c r="AH67" s="58"/>
      <c r="AI67" s="58"/>
      <c r="AJ67" t="s">
        <v>88</v>
      </c>
      <c r="AL67" s="7">
        <f t="shared" si="0"/>
        <v>531070.16519628768</v>
      </c>
      <c r="AM67" s="45"/>
      <c r="AO67" s="7"/>
    </row>
    <row r="68" spans="3:41" x14ac:dyDescent="0.3">
      <c r="C68" t="s">
        <v>89</v>
      </c>
      <c r="D68" s="148">
        <v>47424.440855018125</v>
      </c>
      <c r="E68" s="49"/>
      <c r="F68" s="49"/>
      <c r="G68" s="49" t="s">
        <v>89</v>
      </c>
      <c r="H68" s="7">
        <v>51712.279287932499</v>
      </c>
      <c r="I68" s="50"/>
      <c r="J68" s="49"/>
      <c r="K68" s="49"/>
      <c r="L68" s="49"/>
      <c r="M68" s="49"/>
      <c r="N68" s="49"/>
      <c r="O68" s="49"/>
      <c r="P68" s="49"/>
      <c r="Q68" s="49"/>
      <c r="V68" s="49"/>
      <c r="W68" s="49"/>
      <c r="Y68" s="58"/>
      <c r="Z68" s="58"/>
      <c r="AA68" s="58"/>
      <c r="AC68" s="49"/>
      <c r="AD68" s="58"/>
      <c r="AE68" s="58"/>
      <c r="AF68" s="58"/>
      <c r="AG68" s="58"/>
      <c r="AH68" s="58"/>
      <c r="AI68" s="58"/>
      <c r="AJ68" t="s">
        <v>89</v>
      </c>
      <c r="AL68" s="7">
        <f t="shared" si="0"/>
        <v>99136.720142950624</v>
      </c>
      <c r="AM68" s="45"/>
      <c r="AO68" s="7"/>
    </row>
    <row r="69" spans="3:41" x14ac:dyDescent="0.3">
      <c r="C69" t="s">
        <v>90</v>
      </c>
      <c r="D69" s="148">
        <v>485837.07898589259</v>
      </c>
      <c r="E69" s="49"/>
      <c r="F69" s="49"/>
      <c r="G69" s="49" t="s">
        <v>90</v>
      </c>
      <c r="H69" s="7">
        <v>351285.26569343201</v>
      </c>
      <c r="I69" s="50"/>
      <c r="J69" s="49"/>
      <c r="K69" s="49" t="s">
        <v>201</v>
      </c>
      <c r="L69" s="49">
        <v>26081.937804411427</v>
      </c>
      <c r="M69" s="49"/>
      <c r="N69" s="49"/>
      <c r="O69" s="49" t="s">
        <v>201</v>
      </c>
      <c r="P69" s="49">
        <v>36359.418184997528</v>
      </c>
      <c r="Q69" s="49"/>
      <c r="S69" t="s">
        <v>201</v>
      </c>
      <c r="T69" s="49">
        <v>61942.226558420654</v>
      </c>
      <c r="U69" s="49"/>
      <c r="V69" s="49"/>
      <c r="W69" s="49" t="s">
        <v>201</v>
      </c>
      <c r="X69" s="58">
        <v>2384.6574523852159</v>
      </c>
      <c r="Y69" s="58"/>
      <c r="Z69" s="58"/>
      <c r="AA69" s="58"/>
      <c r="AB69" s="58"/>
      <c r="AC69" s="58"/>
      <c r="AD69" s="58"/>
      <c r="AE69" s="58"/>
      <c r="AF69" s="58"/>
      <c r="AG69" s="58"/>
      <c r="AH69" s="58"/>
      <c r="AI69" s="58"/>
      <c r="AJ69" t="s">
        <v>90</v>
      </c>
      <c r="AL69" s="7">
        <f t="shared" si="0"/>
        <v>963890.58467953943</v>
      </c>
      <c r="AM69" s="45"/>
      <c r="AO69" s="7"/>
    </row>
    <row r="70" spans="3:41" x14ac:dyDescent="0.3">
      <c r="C70" t="s">
        <v>91</v>
      </c>
      <c r="D70" s="148">
        <v>30712.980083574228</v>
      </c>
      <c r="E70" s="49"/>
      <c r="F70" s="49"/>
      <c r="G70" s="49" t="s">
        <v>91</v>
      </c>
      <c r="H70" s="7">
        <v>26977.255334609206</v>
      </c>
      <c r="I70" s="151"/>
      <c r="J70" s="49"/>
      <c r="K70" s="49" t="s">
        <v>206</v>
      </c>
      <c r="L70" s="49">
        <v>2287.491399175954</v>
      </c>
      <c r="M70" s="49"/>
      <c r="N70" s="49"/>
      <c r="O70" s="49" t="s">
        <v>206</v>
      </c>
      <c r="P70" s="49">
        <v>2672.5473834730456</v>
      </c>
      <c r="Q70" s="49"/>
      <c r="S70" t="s">
        <v>206</v>
      </c>
      <c r="T70" s="49">
        <v>10254.193308121057</v>
      </c>
      <c r="U70" s="49"/>
      <c r="V70" s="49"/>
      <c r="W70" s="49" t="s">
        <v>206</v>
      </c>
      <c r="X70" s="58">
        <v>181.85793326952447</v>
      </c>
      <c r="Y70" s="58"/>
      <c r="Z70" s="58"/>
      <c r="AA70" s="58"/>
      <c r="AB70" s="58"/>
      <c r="AC70" s="58"/>
      <c r="AD70" s="58"/>
      <c r="AE70" s="58"/>
      <c r="AF70" s="58"/>
      <c r="AG70" s="58"/>
      <c r="AH70" s="58"/>
      <c r="AI70" s="58"/>
      <c r="AJ70" t="s">
        <v>91</v>
      </c>
      <c r="AL70" s="7">
        <f t="shared" ref="AL70:AL71" si="1">+D70+H70+L70+P70+T70+X70+AC70+AE70</f>
        <v>73086.325442223009</v>
      </c>
      <c r="AM70" s="45"/>
      <c r="AO70" s="7"/>
    </row>
    <row r="71" spans="3:41" x14ac:dyDescent="0.3">
      <c r="C71" t="s">
        <v>92</v>
      </c>
      <c r="D71" s="148">
        <v>387073.79891435435</v>
      </c>
      <c r="E71" s="40"/>
      <c r="F71" s="49"/>
      <c r="G71" s="49" t="s">
        <v>92</v>
      </c>
      <c r="H71" s="7">
        <v>452129.29484395549</v>
      </c>
      <c r="I71" s="7"/>
      <c r="J71" s="49"/>
      <c r="K71" s="49" t="s">
        <v>207</v>
      </c>
      <c r="L71" s="49">
        <v>33566.477268759205</v>
      </c>
      <c r="M71" s="49"/>
      <c r="N71" s="49"/>
      <c r="O71" s="49" t="s">
        <v>207</v>
      </c>
      <c r="P71" s="49">
        <v>46793.209659659748</v>
      </c>
      <c r="Q71" s="49"/>
      <c r="V71" s="49"/>
      <c r="W71" s="49"/>
      <c r="X71" s="7"/>
      <c r="Y71" s="58"/>
      <c r="Z71" s="58"/>
      <c r="AA71" s="58"/>
      <c r="AC71" s="49"/>
      <c r="AD71" s="58"/>
      <c r="AE71" s="58"/>
      <c r="AF71" s="58"/>
      <c r="AG71" s="58"/>
      <c r="AH71" s="58"/>
      <c r="AI71" s="58"/>
      <c r="AJ71" t="s">
        <v>92</v>
      </c>
      <c r="AL71" s="7">
        <f t="shared" si="1"/>
        <v>919562.78068672877</v>
      </c>
      <c r="AM71" s="45"/>
      <c r="AO71" s="7"/>
    </row>
    <row r="72" spans="3:41" x14ac:dyDescent="0.3">
      <c r="D72" s="49"/>
      <c r="E72" s="49"/>
      <c r="F72" s="49"/>
      <c r="G72" s="49"/>
      <c r="I72" s="49"/>
      <c r="J72" s="49"/>
      <c r="K72" s="49"/>
      <c r="L72" s="49"/>
      <c r="M72" s="49"/>
      <c r="N72" s="49"/>
      <c r="O72" s="49"/>
      <c r="P72" s="49"/>
      <c r="Q72" s="49"/>
      <c r="V72" s="49"/>
      <c r="W72" s="49"/>
      <c r="X72" s="7"/>
      <c r="Y72" s="58"/>
      <c r="Z72" s="58"/>
      <c r="AA72" s="58"/>
      <c r="AC72" s="49"/>
      <c r="AD72" s="58"/>
      <c r="AE72" s="58"/>
      <c r="AF72" s="58"/>
      <c r="AG72" s="58"/>
      <c r="AH72" s="58"/>
      <c r="AI72" s="58"/>
      <c r="AL72" s="7"/>
      <c r="AM72" s="45"/>
      <c r="AO72" s="7"/>
    </row>
    <row r="73" spans="3:41" x14ac:dyDescent="0.3">
      <c r="D73" s="49"/>
      <c r="E73" s="49"/>
      <c r="F73" s="49"/>
      <c r="G73" s="49"/>
      <c r="H73" s="49"/>
      <c r="I73" s="49"/>
      <c r="J73" s="49"/>
      <c r="K73" s="49" t="s">
        <v>120</v>
      </c>
      <c r="L73" s="49">
        <v>914.99655967038166</v>
      </c>
      <c r="M73" s="49"/>
      <c r="N73" s="49"/>
      <c r="O73" s="49" t="s">
        <v>120</v>
      </c>
      <c r="P73" s="49">
        <v>1054.7675766480293</v>
      </c>
      <c r="Q73" s="49"/>
      <c r="V73" s="49"/>
      <c r="W73" s="49"/>
      <c r="Y73" s="58"/>
      <c r="Z73" s="58"/>
      <c r="AA73" s="58"/>
      <c r="AC73" s="49"/>
      <c r="AD73" s="58"/>
      <c r="AE73" s="58"/>
      <c r="AF73" s="58"/>
      <c r="AG73" s="58"/>
      <c r="AH73" s="74"/>
      <c r="AI73" s="58"/>
      <c r="AJ73" t="s">
        <v>120</v>
      </c>
      <c r="AL73" s="7">
        <f>+L73+P73+T73+X73+AC73+AE73</f>
        <v>1969.7641363184109</v>
      </c>
      <c r="AM73" s="49"/>
      <c r="AO73" s="7"/>
    </row>
    <row r="74" spans="3:41" x14ac:dyDescent="0.3">
      <c r="C74" s="16" t="s">
        <v>287</v>
      </c>
      <c r="D74" s="53">
        <f>SUM(D5:D73)</f>
        <v>15149669.217628559</v>
      </c>
      <c r="E74" s="53"/>
      <c r="F74" s="53"/>
      <c r="G74" s="53"/>
      <c r="H74" s="53">
        <f>SUM(H5:H73)</f>
        <v>11326911.755134605</v>
      </c>
      <c r="I74" s="53"/>
      <c r="J74" s="49"/>
      <c r="K74" s="49" t="s">
        <v>122</v>
      </c>
      <c r="L74" s="49">
        <v>9254.6486749284722</v>
      </c>
      <c r="M74" s="49"/>
      <c r="N74" s="49"/>
      <c r="O74" s="49" t="s">
        <v>122</v>
      </c>
      <c r="P74" s="49">
        <v>12901.404943540811</v>
      </c>
      <c r="Q74" s="49"/>
      <c r="V74" s="49"/>
      <c r="W74" s="49"/>
      <c r="Y74" s="58"/>
      <c r="Z74" s="58"/>
      <c r="AA74" s="58"/>
      <c r="AC74" s="49"/>
      <c r="AD74" s="58"/>
      <c r="AE74" s="58"/>
      <c r="AF74" s="58"/>
      <c r="AG74" s="58"/>
      <c r="AH74" s="74"/>
      <c r="AI74" s="58"/>
      <c r="AJ74" t="s">
        <v>122</v>
      </c>
      <c r="AL74" s="7">
        <f t="shared" ref="AL74:AL108" si="2">+L74+P74+T74+X74+AC74+AE74</f>
        <v>22156.053618469283</v>
      </c>
      <c r="AM74" s="49"/>
      <c r="AO74" s="7"/>
    </row>
    <row r="75" spans="3:41" x14ac:dyDescent="0.3">
      <c r="D75" s="60"/>
      <c r="E75" s="60"/>
      <c r="F75" s="60"/>
      <c r="G75" s="60"/>
      <c r="H75" s="60"/>
      <c r="I75" s="60"/>
      <c r="J75" s="49"/>
      <c r="K75" s="49" t="s">
        <v>126</v>
      </c>
      <c r="L75" s="49">
        <v>4574.7064255335972</v>
      </c>
      <c r="M75" s="49"/>
      <c r="N75" s="49"/>
      <c r="O75" s="49" t="s">
        <v>126</v>
      </c>
      <c r="P75" s="49">
        <v>6377.3506879323222</v>
      </c>
      <c r="Q75" s="49"/>
      <c r="S75" t="s">
        <v>126</v>
      </c>
      <c r="T75" s="49">
        <v>20508.386616242115</v>
      </c>
      <c r="U75" s="49"/>
      <c r="V75" s="49"/>
      <c r="W75" s="49" t="s">
        <v>126</v>
      </c>
      <c r="X75" s="58">
        <v>418.26293168593048</v>
      </c>
      <c r="Y75" s="58"/>
      <c r="Z75" s="58"/>
      <c r="AA75" s="58"/>
      <c r="AB75" s="58"/>
      <c r="AC75" s="58"/>
      <c r="AD75" s="58"/>
      <c r="AE75" s="58"/>
      <c r="AF75" s="58"/>
      <c r="AG75" s="58"/>
      <c r="AH75" s="58"/>
      <c r="AI75" s="58"/>
      <c r="AJ75" t="s">
        <v>126</v>
      </c>
      <c r="AL75" s="7">
        <f t="shared" si="2"/>
        <v>31878.706661393964</v>
      </c>
      <c r="AM75" s="49"/>
      <c r="AO75" s="7"/>
    </row>
    <row r="76" spans="3:41" x14ac:dyDescent="0.3">
      <c r="D76" s="53"/>
      <c r="E76" s="53"/>
      <c r="F76" s="53"/>
      <c r="G76" s="53"/>
      <c r="H76" s="53"/>
      <c r="I76" s="53"/>
      <c r="J76" s="49"/>
      <c r="K76" s="49" t="s">
        <v>128</v>
      </c>
      <c r="L76" s="49">
        <v>4574.9827983519081</v>
      </c>
      <c r="M76" s="49"/>
      <c r="N76" s="49"/>
      <c r="O76" s="49" t="s">
        <v>128</v>
      </c>
      <c r="P76" s="49">
        <v>5565.816486866971</v>
      </c>
      <c r="Q76" s="49"/>
      <c r="S76" t="s">
        <v>128</v>
      </c>
      <c r="T76" s="49">
        <v>20508.386616242118</v>
      </c>
      <c r="U76" s="49"/>
      <c r="V76" s="53"/>
      <c r="W76" s="49" t="s">
        <v>128</v>
      </c>
      <c r="X76" s="58">
        <v>370.22545153024095</v>
      </c>
      <c r="Y76" s="58"/>
      <c r="Z76" s="58"/>
      <c r="AA76" s="58"/>
      <c r="AB76" s="58"/>
      <c r="AC76" s="58"/>
      <c r="AD76" s="58"/>
      <c r="AE76" s="58"/>
      <c r="AF76" s="58"/>
      <c r="AG76" s="58"/>
      <c r="AH76" s="74"/>
      <c r="AI76" s="58"/>
      <c r="AJ76" t="s">
        <v>128</v>
      </c>
      <c r="AL76" s="7">
        <f t="shared" si="2"/>
        <v>31019.411352991239</v>
      </c>
      <c r="AM76" s="49"/>
      <c r="AO76" s="7"/>
    </row>
    <row r="77" spans="3:41" x14ac:dyDescent="0.3">
      <c r="D77" s="53"/>
      <c r="E77" s="53"/>
      <c r="F77" s="53"/>
      <c r="G77" s="53"/>
      <c r="H77" s="53"/>
      <c r="I77" s="53"/>
      <c r="J77" s="49"/>
      <c r="K77" s="49" t="s">
        <v>136</v>
      </c>
      <c r="L77" s="49">
        <v>2287.491399175954</v>
      </c>
      <c r="M77" s="49"/>
      <c r="N77" s="49"/>
      <c r="O77" s="49" t="s">
        <v>136</v>
      </c>
      <c r="P77" s="49">
        <v>2636.9189416200734</v>
      </c>
      <c r="Q77" s="49"/>
      <c r="S77" t="s">
        <v>136</v>
      </c>
      <c r="T77" s="49">
        <v>10254.193308121057</v>
      </c>
      <c r="U77" s="49"/>
      <c r="V77" s="49"/>
      <c r="W77" s="49" t="s">
        <v>136</v>
      </c>
      <c r="X77" s="58">
        <v>181.85793326952441</v>
      </c>
      <c r="Y77" s="58"/>
      <c r="Z77" s="58"/>
      <c r="AA77" s="58"/>
      <c r="AB77" s="58"/>
      <c r="AC77" s="58"/>
      <c r="AD77" s="58"/>
      <c r="AE77" s="58"/>
      <c r="AF77" s="58"/>
      <c r="AG77" s="58"/>
      <c r="AH77" s="74"/>
      <c r="AI77" s="58"/>
      <c r="AJ77" t="s">
        <v>136</v>
      </c>
      <c r="AL77" s="7">
        <f t="shared" si="2"/>
        <v>15360.461582186608</v>
      </c>
      <c r="AM77" s="49"/>
      <c r="AO77" s="7"/>
    </row>
    <row r="78" spans="3:41" x14ac:dyDescent="0.3">
      <c r="D78" s="49"/>
      <c r="E78" s="49"/>
      <c r="F78" s="49"/>
      <c r="G78" s="49"/>
      <c r="H78" s="49"/>
      <c r="I78" s="49"/>
      <c r="J78" s="49"/>
      <c r="K78" s="49" t="s">
        <v>154</v>
      </c>
      <c r="L78" s="49">
        <v>914.99655967038166</v>
      </c>
      <c r="M78" s="49"/>
      <c r="N78" s="49"/>
      <c r="O78" s="49" t="s">
        <v>154</v>
      </c>
      <c r="P78" s="49">
        <v>1054.7675766480293</v>
      </c>
      <c r="Q78" s="49"/>
      <c r="S78" t="s">
        <v>154</v>
      </c>
      <c r="T78" s="49">
        <v>4101.677323248422</v>
      </c>
      <c r="U78" s="49"/>
      <c r="V78" s="49"/>
      <c r="W78" s="49" t="s">
        <v>154</v>
      </c>
      <c r="X78" s="58">
        <v>72.743173307809769</v>
      </c>
      <c r="Y78" s="58"/>
      <c r="Z78" s="58"/>
      <c r="AA78" s="58"/>
      <c r="AB78" s="58"/>
      <c r="AC78" s="58"/>
      <c r="AD78" s="58"/>
      <c r="AE78" s="58"/>
      <c r="AF78" s="58"/>
      <c r="AG78" s="58"/>
      <c r="AH78" s="74"/>
      <c r="AI78" s="58"/>
      <c r="AJ78" t="s">
        <v>154</v>
      </c>
      <c r="AL78" s="7">
        <f t="shared" si="2"/>
        <v>6144.1846328746433</v>
      </c>
      <c r="AM78" s="49"/>
      <c r="AO78" s="7"/>
    </row>
    <row r="79" spans="3:41" x14ac:dyDescent="0.3">
      <c r="D79" s="49"/>
      <c r="E79" s="49"/>
      <c r="F79" s="49"/>
      <c r="G79" s="49"/>
      <c r="H79" s="49"/>
      <c r="I79" s="49"/>
      <c r="J79" s="49"/>
      <c r="K79" s="49" t="s">
        <v>156</v>
      </c>
      <c r="L79" s="49">
        <v>914.99655967038166</v>
      </c>
      <c r="M79" s="49"/>
      <c r="N79" s="49"/>
      <c r="O79" s="49" t="s">
        <v>156</v>
      </c>
      <c r="P79" s="49">
        <v>1054.7675766480293</v>
      </c>
      <c r="Q79" s="49"/>
      <c r="S79" t="s">
        <v>156</v>
      </c>
      <c r="T79" s="49">
        <v>4101.677323248422</v>
      </c>
      <c r="U79" s="49"/>
      <c r="V79" s="49"/>
      <c r="W79" s="49" t="s">
        <v>156</v>
      </c>
      <c r="X79" s="58">
        <v>72.743173307809769</v>
      </c>
      <c r="Y79" s="58"/>
      <c r="Z79" s="58"/>
      <c r="AA79" s="58"/>
      <c r="AB79" s="58"/>
      <c r="AC79" s="58"/>
      <c r="AD79" s="58"/>
      <c r="AE79" s="58"/>
      <c r="AF79" s="58"/>
      <c r="AG79" s="58"/>
      <c r="AH79" s="74"/>
      <c r="AI79" s="58"/>
      <c r="AJ79" t="s">
        <v>156</v>
      </c>
      <c r="AL79" s="7">
        <f t="shared" si="2"/>
        <v>6144.1846328746433</v>
      </c>
      <c r="AM79" s="49"/>
      <c r="AO79" s="7"/>
    </row>
    <row r="80" spans="3:41" x14ac:dyDescent="0.3">
      <c r="D80" s="49"/>
      <c r="E80" s="49"/>
      <c r="F80" s="49"/>
      <c r="G80" s="49"/>
      <c r="H80" s="49"/>
      <c r="I80" s="49"/>
      <c r="J80" s="49"/>
      <c r="K80" s="49" t="s">
        <v>157</v>
      </c>
      <c r="L80" s="49">
        <v>2287.491399175954</v>
      </c>
      <c r="M80" s="49"/>
      <c r="N80" s="49"/>
      <c r="O80" s="49" t="s">
        <v>157</v>
      </c>
      <c r="P80" s="49">
        <v>2636.9189416200734</v>
      </c>
      <c r="Q80" s="49"/>
      <c r="S80" t="s">
        <v>157</v>
      </c>
      <c r="T80" s="49">
        <v>10254.193308121057</v>
      </c>
      <c r="U80" s="49"/>
      <c r="V80" s="49"/>
      <c r="W80" s="49" t="s">
        <v>157</v>
      </c>
      <c r="X80" s="58">
        <v>181.85793326952441</v>
      </c>
      <c r="Y80" s="58"/>
      <c r="Z80" s="58"/>
      <c r="AA80" s="58"/>
      <c r="AB80" s="58"/>
      <c r="AC80" s="58"/>
      <c r="AD80" s="58"/>
      <c r="AE80" s="58"/>
      <c r="AF80" s="58"/>
      <c r="AG80" s="58"/>
      <c r="AH80" s="74"/>
      <c r="AI80" s="58"/>
      <c r="AJ80" t="s">
        <v>157</v>
      </c>
      <c r="AL80" s="7">
        <f t="shared" si="2"/>
        <v>15360.461582186608</v>
      </c>
      <c r="AM80" s="49"/>
      <c r="AO80" s="7"/>
    </row>
    <row r="81" spans="4:41" x14ac:dyDescent="0.3">
      <c r="D81" s="49"/>
      <c r="E81" s="49"/>
      <c r="F81" s="49"/>
      <c r="G81" s="49"/>
      <c r="H81" s="49"/>
      <c r="I81" s="49"/>
      <c r="J81" s="49"/>
      <c r="K81" s="49" t="s">
        <v>159</v>
      </c>
      <c r="L81" s="49">
        <v>914.99655967038166</v>
      </c>
      <c r="M81" s="49"/>
      <c r="N81" s="49"/>
      <c r="O81" s="49" t="s">
        <v>159</v>
      </c>
      <c r="P81" s="49">
        <v>1054.7675766480293</v>
      </c>
      <c r="Q81" s="49"/>
      <c r="S81" t="s">
        <v>159</v>
      </c>
      <c r="T81" s="49">
        <v>4101.677323248422</v>
      </c>
      <c r="U81" s="49"/>
      <c r="V81" s="49"/>
      <c r="W81" s="49" t="s">
        <v>159</v>
      </c>
      <c r="X81" s="58">
        <v>72.743173307809769</v>
      </c>
      <c r="Y81" s="58"/>
      <c r="Z81" s="58"/>
      <c r="AA81" s="58"/>
      <c r="AB81" s="58"/>
      <c r="AC81" s="58"/>
      <c r="AD81" s="58"/>
      <c r="AE81" s="58"/>
      <c r="AF81" s="58"/>
      <c r="AG81" s="58"/>
      <c r="AH81" s="74"/>
      <c r="AI81" s="58"/>
      <c r="AJ81" t="s">
        <v>159</v>
      </c>
      <c r="AL81" s="7">
        <f t="shared" si="2"/>
        <v>6144.1846328746433</v>
      </c>
      <c r="AM81" s="49"/>
      <c r="AO81" s="7"/>
    </row>
    <row r="82" spans="4:41" x14ac:dyDescent="0.3">
      <c r="D82" s="49"/>
      <c r="E82" s="49"/>
      <c r="F82" s="49"/>
      <c r="G82" s="49"/>
      <c r="H82" s="49"/>
      <c r="I82" s="49"/>
      <c r="J82" s="49"/>
      <c r="K82" s="49" t="s">
        <v>162</v>
      </c>
      <c r="L82" s="49">
        <v>2287.491399175954</v>
      </c>
      <c r="M82" s="49"/>
      <c r="N82" s="49"/>
      <c r="O82" s="49" t="s">
        <v>162</v>
      </c>
      <c r="P82" s="49">
        <v>2636.9189416200734</v>
      </c>
      <c r="Q82" s="49"/>
      <c r="S82" t="s">
        <v>162</v>
      </c>
      <c r="T82" s="49">
        <v>10254.193308121057</v>
      </c>
      <c r="U82" s="49"/>
      <c r="V82" s="49"/>
      <c r="W82" s="49" t="s">
        <v>162</v>
      </c>
      <c r="X82" s="58">
        <v>181.85793326952441</v>
      </c>
      <c r="Y82" s="58"/>
      <c r="Z82" s="58"/>
      <c r="AA82" s="58"/>
      <c r="AB82" s="58"/>
      <c r="AC82" s="58"/>
      <c r="AD82" s="58"/>
      <c r="AE82" s="58"/>
      <c r="AF82" s="58"/>
      <c r="AG82" s="58"/>
      <c r="AH82" s="74"/>
      <c r="AI82" s="58"/>
      <c r="AJ82" t="s">
        <v>162</v>
      </c>
      <c r="AL82" s="7">
        <f t="shared" si="2"/>
        <v>15360.461582186608</v>
      </c>
      <c r="AM82" s="49"/>
      <c r="AO82" s="7"/>
    </row>
    <row r="83" spans="4:41" x14ac:dyDescent="0.3">
      <c r="D83" s="49"/>
      <c r="E83" s="49"/>
      <c r="F83" s="49"/>
      <c r="G83" s="49"/>
      <c r="H83" s="49"/>
      <c r="I83" s="49"/>
      <c r="J83" s="49"/>
      <c r="K83" s="49" t="s">
        <v>163</v>
      </c>
      <c r="L83" s="49">
        <v>2287.491399175954</v>
      </c>
      <c r="M83" s="49"/>
      <c r="N83" s="49"/>
      <c r="O83" s="49" t="s">
        <v>163</v>
      </c>
      <c r="P83" s="49">
        <v>3071.7533181557733</v>
      </c>
      <c r="Q83" s="49"/>
      <c r="S83" t="s">
        <v>163</v>
      </c>
      <c r="T83" s="49">
        <v>10254.193308121057</v>
      </c>
      <c r="U83" s="49"/>
      <c r="V83" s="49"/>
      <c r="W83" s="49" t="s">
        <v>163</v>
      </c>
      <c r="X83" s="58">
        <v>201.463054352493</v>
      </c>
      <c r="Y83" s="58"/>
      <c r="Z83" s="58"/>
      <c r="AA83" s="58"/>
      <c r="AB83" s="58"/>
      <c r="AC83" s="58"/>
      <c r="AD83" s="58"/>
      <c r="AE83" s="58"/>
      <c r="AF83" s="58"/>
      <c r="AG83" s="58"/>
      <c r="AH83" s="74"/>
      <c r="AI83" s="58"/>
      <c r="AJ83" t="s">
        <v>163</v>
      </c>
      <c r="AL83" s="7">
        <f t="shared" si="2"/>
        <v>15814.901079805277</v>
      </c>
      <c r="AM83" s="49"/>
      <c r="AO83" s="7"/>
    </row>
    <row r="84" spans="4:41" x14ac:dyDescent="0.3">
      <c r="D84" s="49"/>
      <c r="E84" s="49"/>
      <c r="F84" s="49"/>
      <c r="G84" s="49"/>
      <c r="H84" s="49"/>
      <c r="I84" s="49"/>
      <c r="J84" s="49"/>
      <c r="K84" s="49" t="s">
        <v>166</v>
      </c>
      <c r="L84" s="49">
        <v>2287.491399175954</v>
      </c>
      <c r="M84" s="49"/>
      <c r="N84" s="49"/>
      <c r="O84" s="49" t="s">
        <v>166</v>
      </c>
      <c r="P84" s="49">
        <v>2636.9189416200734</v>
      </c>
      <c r="Q84" s="49"/>
      <c r="S84" t="s">
        <v>166</v>
      </c>
      <c r="T84" s="49">
        <v>10254.193308121057</v>
      </c>
      <c r="U84" s="49"/>
      <c r="V84" s="49"/>
      <c r="W84" s="49" t="s">
        <v>166</v>
      </c>
      <c r="X84" s="58">
        <v>181.85793326952441</v>
      </c>
      <c r="Y84" s="58"/>
      <c r="Z84" s="58"/>
      <c r="AA84" s="58"/>
      <c r="AB84" s="58"/>
      <c r="AC84" s="58"/>
      <c r="AD84" s="58"/>
      <c r="AE84" s="58"/>
      <c r="AF84" s="58"/>
      <c r="AG84" s="58"/>
      <c r="AH84" s="74"/>
      <c r="AI84" s="58"/>
      <c r="AJ84" t="s">
        <v>166</v>
      </c>
      <c r="AL84" s="7">
        <f t="shared" si="2"/>
        <v>15360.461582186608</v>
      </c>
      <c r="AM84" s="49"/>
      <c r="AO84" s="7"/>
    </row>
    <row r="85" spans="4:41" x14ac:dyDescent="0.3">
      <c r="D85" s="49"/>
      <c r="E85" s="49"/>
      <c r="F85" s="49"/>
      <c r="G85" s="49"/>
      <c r="H85" s="49"/>
      <c r="I85" s="49"/>
      <c r="J85" s="49"/>
      <c r="K85" s="49" t="s">
        <v>170</v>
      </c>
      <c r="L85" s="49">
        <v>914.99655967038245</v>
      </c>
      <c r="M85" s="49"/>
      <c r="N85" s="49"/>
      <c r="O85" s="49" t="s">
        <v>170</v>
      </c>
      <c r="P85" s="49">
        <v>1054.7675766480293</v>
      </c>
      <c r="Q85" s="49"/>
      <c r="S85" t="s">
        <v>170</v>
      </c>
      <c r="T85" s="49">
        <v>4101.677323248422</v>
      </c>
      <c r="U85" s="49"/>
      <c r="V85" s="49"/>
      <c r="W85" s="49" t="s">
        <v>170</v>
      </c>
      <c r="X85" s="58">
        <v>72.743173307809769</v>
      </c>
      <c r="Y85" s="58"/>
      <c r="Z85" s="58"/>
      <c r="AA85" s="58"/>
      <c r="AB85" s="58"/>
      <c r="AC85" s="58"/>
      <c r="AD85" s="58"/>
      <c r="AE85" s="58"/>
      <c r="AF85" s="58"/>
      <c r="AG85" s="58"/>
      <c r="AH85" s="74"/>
      <c r="AI85" s="58"/>
      <c r="AJ85" t="s">
        <v>170</v>
      </c>
      <c r="AL85" s="7">
        <f t="shared" si="2"/>
        <v>6144.1846328746433</v>
      </c>
      <c r="AM85" s="49"/>
      <c r="AO85" s="7"/>
    </row>
    <row r="86" spans="4:41" x14ac:dyDescent="0.3">
      <c r="D86" s="49"/>
      <c r="E86" s="49"/>
      <c r="F86" s="49"/>
      <c r="G86" s="49"/>
      <c r="H86" s="49"/>
      <c r="I86" s="49"/>
      <c r="J86" s="49"/>
      <c r="K86" s="49" t="s">
        <v>171</v>
      </c>
      <c r="L86" s="49">
        <v>2440.059144456488</v>
      </c>
      <c r="M86" s="49"/>
      <c r="N86" s="49"/>
      <c r="O86" s="49" t="s">
        <v>171</v>
      </c>
      <c r="P86" s="49">
        <v>3401.5544203320283</v>
      </c>
      <c r="Q86" s="49"/>
      <c r="S86" t="s">
        <v>171</v>
      </c>
      <c r="T86" s="49">
        <v>10254.193308121057</v>
      </c>
      <c r="U86" s="49"/>
      <c r="V86" s="49"/>
      <c r="W86" s="49" t="s">
        <v>171</v>
      </c>
      <c r="X86" s="58">
        <v>223.09328650054121</v>
      </c>
      <c r="Y86" s="58"/>
      <c r="Z86" s="58"/>
      <c r="AA86" s="58"/>
      <c r="AB86" s="58"/>
      <c r="AC86" s="58"/>
      <c r="AD86" s="58"/>
      <c r="AE86" s="58"/>
      <c r="AF86" s="58"/>
      <c r="AG86" s="58"/>
      <c r="AH86" s="58"/>
      <c r="AI86" s="37"/>
      <c r="AJ86" t="s">
        <v>257</v>
      </c>
      <c r="AL86" s="7">
        <f t="shared" si="2"/>
        <v>16318.900159410116</v>
      </c>
      <c r="AM86" s="49"/>
      <c r="AO86" s="7"/>
    </row>
    <row r="87" spans="4:41" x14ac:dyDescent="0.3">
      <c r="D87" s="49"/>
      <c r="E87" s="49"/>
      <c r="F87" s="49"/>
      <c r="G87" s="49"/>
      <c r="H87" s="49"/>
      <c r="I87" s="49"/>
      <c r="J87" s="49"/>
      <c r="K87" s="49" t="s">
        <v>172</v>
      </c>
      <c r="L87" s="49">
        <v>2287.491399175954</v>
      </c>
      <c r="M87" s="49"/>
      <c r="N87" s="49"/>
      <c r="O87" s="49" t="s">
        <v>172</v>
      </c>
      <c r="P87" s="49">
        <v>2636.9189416200734</v>
      </c>
      <c r="Q87" s="49"/>
      <c r="S87" t="s">
        <v>172</v>
      </c>
      <c r="T87" s="49">
        <v>10254.193308121057</v>
      </c>
      <c r="U87" s="49"/>
      <c r="V87" s="49"/>
      <c r="W87" s="49" t="s">
        <v>172</v>
      </c>
      <c r="X87" s="58">
        <v>181.85793326952441</v>
      </c>
      <c r="Y87" s="58"/>
      <c r="Z87" s="58"/>
      <c r="AA87" s="58"/>
      <c r="AB87" s="58"/>
      <c r="AC87" s="58"/>
      <c r="AD87" s="61"/>
      <c r="AE87" s="61"/>
      <c r="AF87" s="61"/>
      <c r="AG87" s="61"/>
      <c r="AH87" s="74"/>
      <c r="AI87" s="42"/>
      <c r="AJ87" t="s">
        <v>258</v>
      </c>
      <c r="AL87" s="7">
        <f t="shared" si="2"/>
        <v>15360.461582186608</v>
      </c>
      <c r="AM87" s="49"/>
      <c r="AO87" s="7"/>
    </row>
    <row r="88" spans="4:41" x14ac:dyDescent="0.3">
      <c r="D88" s="49"/>
      <c r="E88" s="49"/>
      <c r="F88" s="49"/>
      <c r="G88" s="49"/>
      <c r="H88" s="49"/>
      <c r="I88" s="49"/>
      <c r="J88" s="49"/>
      <c r="K88" s="49" t="s">
        <v>175</v>
      </c>
      <c r="L88" s="49">
        <v>914.99655967038166</v>
      </c>
      <c r="M88" s="49"/>
      <c r="N88" s="49"/>
      <c r="O88" s="49" t="s">
        <v>175</v>
      </c>
      <c r="P88" s="49">
        <v>1054.7675766480293</v>
      </c>
      <c r="Q88" s="49"/>
      <c r="T88" s="49"/>
      <c r="U88" s="49"/>
      <c r="V88" s="49"/>
      <c r="W88" s="49"/>
      <c r="X88" s="37"/>
      <c r="Y88" s="58"/>
      <c r="Z88" s="58"/>
      <c r="AA88" s="58"/>
      <c r="AB88" s="37"/>
      <c r="AC88" s="58"/>
      <c r="AD88" s="58"/>
      <c r="AE88" s="58"/>
      <c r="AF88" s="58"/>
      <c r="AG88" s="58"/>
      <c r="AH88" s="74"/>
      <c r="AI88" s="37"/>
      <c r="AJ88" t="s">
        <v>259</v>
      </c>
      <c r="AL88" s="7">
        <f t="shared" si="2"/>
        <v>1969.7641363184109</v>
      </c>
      <c r="AM88" s="49"/>
      <c r="AO88" s="7"/>
    </row>
    <row r="89" spans="4:41" x14ac:dyDescent="0.3">
      <c r="D89" s="49"/>
      <c r="E89" s="49"/>
      <c r="F89" s="49"/>
      <c r="G89" s="49"/>
      <c r="H89" s="49"/>
      <c r="I89" s="49"/>
      <c r="J89" s="49"/>
      <c r="K89" s="49" t="s">
        <v>177</v>
      </c>
      <c r="L89" s="49">
        <v>3385.7842980945356</v>
      </c>
      <c r="M89" s="49"/>
      <c r="N89" s="49"/>
      <c r="O89" s="49" t="s">
        <v>177</v>
      </c>
      <c r="P89" s="49">
        <v>4719.9386833058034</v>
      </c>
      <c r="Q89" s="49"/>
      <c r="S89" t="s">
        <v>177</v>
      </c>
      <c r="T89" s="49">
        <v>10254.193308121057</v>
      </c>
      <c r="U89" s="49"/>
      <c r="V89" s="49"/>
      <c r="W89" s="49" t="s">
        <v>177</v>
      </c>
      <c r="X89" s="58">
        <v>309.56042527079325</v>
      </c>
      <c r="Y89" s="58"/>
      <c r="Z89" s="58"/>
      <c r="AA89" s="58"/>
      <c r="AB89" s="58"/>
      <c r="AC89" s="58"/>
      <c r="AD89" s="58"/>
      <c r="AE89" s="58"/>
      <c r="AF89" s="58"/>
      <c r="AG89" s="58"/>
      <c r="AH89" s="74"/>
      <c r="AI89" s="37"/>
      <c r="AJ89" t="s">
        <v>260</v>
      </c>
      <c r="AL89" s="7">
        <f t="shared" si="2"/>
        <v>18669.476714792188</v>
      </c>
      <c r="AM89" s="49"/>
      <c r="AO89" s="7"/>
    </row>
    <row r="90" spans="4:41" x14ac:dyDescent="0.3">
      <c r="D90" s="49"/>
      <c r="E90" s="49"/>
      <c r="F90" s="49"/>
      <c r="G90" s="49"/>
      <c r="H90" s="49"/>
      <c r="I90" s="49"/>
      <c r="J90" s="49"/>
      <c r="K90" s="49" t="s">
        <v>179</v>
      </c>
      <c r="L90" s="49">
        <v>914.99655967038166</v>
      </c>
      <c r="M90" s="49"/>
      <c r="N90" s="49"/>
      <c r="O90" s="49" t="s">
        <v>179</v>
      </c>
      <c r="P90" s="49">
        <v>1054.7675766480295</v>
      </c>
      <c r="Q90" s="49"/>
      <c r="S90" t="s">
        <v>179</v>
      </c>
      <c r="T90" s="49">
        <v>4101.677323248422</v>
      </c>
      <c r="U90" s="49"/>
      <c r="V90" s="49"/>
      <c r="W90" s="49" t="s">
        <v>179</v>
      </c>
      <c r="X90" s="58">
        <v>72.743173307809769</v>
      </c>
      <c r="Y90" s="58"/>
      <c r="Z90" s="58"/>
      <c r="AA90" s="58"/>
      <c r="AB90" s="58"/>
      <c r="AC90" s="58"/>
      <c r="AD90" s="58"/>
      <c r="AE90" s="58"/>
      <c r="AF90" s="58"/>
      <c r="AG90" s="58"/>
      <c r="AH90" s="74"/>
      <c r="AI90" s="38"/>
      <c r="AJ90" t="s">
        <v>261</v>
      </c>
      <c r="AL90" s="7">
        <f t="shared" si="2"/>
        <v>6144.1846328746433</v>
      </c>
      <c r="AM90" s="49"/>
      <c r="AO90" s="7"/>
    </row>
    <row r="91" spans="4:41" x14ac:dyDescent="0.3">
      <c r="D91" s="49"/>
      <c r="E91" s="49"/>
      <c r="F91" s="49"/>
      <c r="G91" s="49"/>
      <c r="H91" s="49"/>
      <c r="I91" s="49"/>
      <c r="J91" s="49"/>
      <c r="K91" s="49" t="s">
        <v>180</v>
      </c>
      <c r="L91" s="49">
        <v>2287.491399175954</v>
      </c>
      <c r="M91" s="49"/>
      <c r="N91" s="49"/>
      <c r="O91" s="49" t="s">
        <v>180</v>
      </c>
      <c r="P91" s="49">
        <v>2636.9189416200734</v>
      </c>
      <c r="Q91" s="49"/>
      <c r="S91" t="s">
        <v>180</v>
      </c>
      <c r="T91" s="49">
        <v>10254.193308121057</v>
      </c>
      <c r="U91" s="49"/>
      <c r="V91" s="49"/>
      <c r="W91" s="49" t="s">
        <v>180</v>
      </c>
      <c r="X91" s="58">
        <v>181.85793326952447</v>
      </c>
      <c r="Y91" s="58"/>
      <c r="Z91" s="58"/>
      <c r="AA91" s="58"/>
      <c r="AB91" s="58"/>
      <c r="AC91" s="58"/>
      <c r="AD91" s="49"/>
      <c r="AE91" s="49"/>
      <c r="AF91" s="49"/>
      <c r="AG91" s="49"/>
      <c r="AH91" s="74"/>
      <c r="AJ91" t="s">
        <v>262</v>
      </c>
      <c r="AL91" s="7">
        <f t="shared" si="2"/>
        <v>15360.461582186608</v>
      </c>
      <c r="AM91" s="49"/>
      <c r="AO91" s="7"/>
    </row>
    <row r="92" spans="4:41" x14ac:dyDescent="0.3">
      <c r="D92" s="49"/>
      <c r="E92" s="49"/>
      <c r="F92" s="49"/>
      <c r="G92" s="49"/>
      <c r="H92" s="49"/>
      <c r="I92" s="49"/>
      <c r="J92" s="49"/>
      <c r="K92" s="49" t="s">
        <v>181</v>
      </c>
      <c r="L92" s="49">
        <v>2287.491399175954</v>
      </c>
      <c r="M92" s="49"/>
      <c r="N92" s="49"/>
      <c r="O92" s="49" t="s">
        <v>181</v>
      </c>
      <c r="P92" s="49">
        <v>2636.9189416200734</v>
      </c>
      <c r="Q92" s="49"/>
      <c r="T92" s="49"/>
      <c r="U92" s="49"/>
      <c r="V92" s="49"/>
      <c r="W92" s="49"/>
      <c r="Y92" s="58"/>
      <c r="Z92" s="58"/>
      <c r="AA92" s="58"/>
      <c r="AC92" s="49"/>
      <c r="AD92" s="49"/>
      <c r="AE92" s="49"/>
      <c r="AF92" s="49"/>
      <c r="AG92" s="49"/>
      <c r="AH92" s="74"/>
      <c r="AJ92" t="s">
        <v>263</v>
      </c>
      <c r="AL92" s="7">
        <f t="shared" si="2"/>
        <v>4924.4103407960274</v>
      </c>
      <c r="AM92" s="49"/>
      <c r="AO92" s="7"/>
    </row>
    <row r="93" spans="4:41" x14ac:dyDescent="0.3">
      <c r="D93" s="49"/>
      <c r="E93" s="49"/>
      <c r="F93" s="49"/>
      <c r="G93" s="49"/>
      <c r="H93" s="49"/>
      <c r="I93" s="49"/>
      <c r="J93" s="49"/>
      <c r="K93" s="49" t="s">
        <v>182</v>
      </c>
      <c r="L93" s="49">
        <v>2287.491399175954</v>
      </c>
      <c r="M93" s="49"/>
      <c r="N93" s="49"/>
      <c r="O93" s="49" t="s">
        <v>182</v>
      </c>
      <c r="P93" s="49">
        <v>2636.9189416200734</v>
      </c>
      <c r="Q93" s="49"/>
      <c r="S93" t="s">
        <v>182</v>
      </c>
      <c r="T93" s="49">
        <v>10254.193308121057</v>
      </c>
      <c r="U93" s="49"/>
      <c r="V93" s="49"/>
      <c r="W93" s="49" t="s">
        <v>182</v>
      </c>
      <c r="X93" s="58">
        <v>181.85793326952441</v>
      </c>
      <c r="Y93" s="58"/>
      <c r="Z93" s="58"/>
      <c r="AA93" s="58"/>
      <c r="AB93" s="58"/>
      <c r="AC93" s="58"/>
      <c r="AD93" s="49"/>
      <c r="AE93" s="49"/>
      <c r="AF93" s="49"/>
      <c r="AG93" s="49"/>
      <c r="AJ93" t="s">
        <v>264</v>
      </c>
      <c r="AL93" s="7">
        <f t="shared" si="2"/>
        <v>15360.461582186608</v>
      </c>
      <c r="AM93" s="49"/>
      <c r="AO93" s="7"/>
    </row>
    <row r="94" spans="4:41" x14ac:dyDescent="0.3">
      <c r="D94" s="49"/>
      <c r="E94" s="49"/>
      <c r="F94" s="49"/>
      <c r="G94" s="49"/>
      <c r="H94" s="49"/>
      <c r="I94" s="49"/>
      <c r="J94" s="49"/>
      <c r="K94" s="49" t="s">
        <v>183</v>
      </c>
      <c r="L94" s="49">
        <v>2628.9100149496844</v>
      </c>
      <c r="M94" s="49"/>
      <c r="N94" s="49"/>
      <c r="O94" s="49" t="s">
        <v>183</v>
      </c>
      <c r="P94" s="49">
        <v>3664.8212000611616</v>
      </c>
      <c r="Q94" s="49"/>
      <c r="S94" t="s">
        <v>183</v>
      </c>
      <c r="T94" s="49">
        <v>10254.193308121057</v>
      </c>
      <c r="U94" s="49"/>
      <c r="V94" s="49"/>
      <c r="W94" s="49" t="s">
        <v>183</v>
      </c>
      <c r="X94" s="58">
        <v>240.35981934362115</v>
      </c>
      <c r="Y94" s="58"/>
      <c r="Z94" s="58"/>
      <c r="AA94" s="58"/>
      <c r="AB94" s="58"/>
      <c r="AC94" s="58"/>
      <c r="AD94" s="49"/>
      <c r="AE94" s="49"/>
      <c r="AF94" s="49"/>
      <c r="AG94" s="49"/>
      <c r="AH94" s="74"/>
      <c r="AJ94" t="s">
        <v>265</v>
      </c>
      <c r="AL94" s="7">
        <f t="shared" si="2"/>
        <v>16788.284342475527</v>
      </c>
      <c r="AM94" s="49"/>
      <c r="AO94" s="7"/>
    </row>
    <row r="95" spans="4:41" x14ac:dyDescent="0.3">
      <c r="D95" s="49"/>
      <c r="E95" s="49"/>
      <c r="F95" s="49"/>
      <c r="G95" s="49"/>
      <c r="H95" s="49"/>
      <c r="I95" s="49"/>
      <c r="J95" s="49"/>
      <c r="K95" s="49" t="s">
        <v>188</v>
      </c>
      <c r="L95" s="49">
        <v>22280.505095091223</v>
      </c>
      <c r="M95" s="49"/>
      <c r="N95" s="49"/>
      <c r="O95" s="49"/>
      <c r="P95" s="49"/>
      <c r="Q95" s="49"/>
      <c r="S95" t="s">
        <v>188</v>
      </c>
      <c r="T95" s="49">
        <v>52914.17013511774</v>
      </c>
      <c r="U95" s="49"/>
      <c r="V95" s="49"/>
      <c r="W95" s="49" t="s">
        <v>188</v>
      </c>
      <c r="X95" s="58">
        <v>2037.0945179130651</v>
      </c>
      <c r="Y95" s="58"/>
      <c r="Z95" s="58"/>
      <c r="AA95" s="58"/>
      <c r="AB95" s="58"/>
      <c r="AC95" s="58"/>
      <c r="AD95" s="49"/>
      <c r="AE95" s="49"/>
      <c r="AF95" s="49"/>
      <c r="AG95" s="49"/>
      <c r="AH95" s="74"/>
      <c r="AJ95" t="s">
        <v>266</v>
      </c>
      <c r="AL95" s="7">
        <f t="shared" si="2"/>
        <v>77231.769748122024</v>
      </c>
      <c r="AM95" s="49"/>
      <c r="AO95" s="7"/>
    </row>
    <row r="96" spans="4:41" x14ac:dyDescent="0.3">
      <c r="D96" s="49"/>
      <c r="E96" s="49"/>
      <c r="F96" s="49"/>
      <c r="G96" s="49"/>
      <c r="H96" s="49"/>
      <c r="I96" s="49"/>
      <c r="J96" s="49"/>
      <c r="K96" s="49" t="s">
        <v>189</v>
      </c>
      <c r="L96" s="49">
        <v>914.99655967038166</v>
      </c>
      <c r="M96" s="49"/>
      <c r="N96" s="49"/>
      <c r="O96" s="49" t="s">
        <v>189</v>
      </c>
      <c r="P96" s="49">
        <v>1054.7675766480293</v>
      </c>
      <c r="Q96" s="49"/>
      <c r="S96" t="s">
        <v>189</v>
      </c>
      <c r="T96" s="49">
        <v>4101.677323248422</v>
      </c>
      <c r="U96" s="49"/>
      <c r="V96" s="49"/>
      <c r="W96" s="49" t="s">
        <v>189</v>
      </c>
      <c r="X96" s="58">
        <v>72.743173307809769</v>
      </c>
      <c r="Y96" s="58"/>
      <c r="Z96" s="58"/>
      <c r="AA96" s="58"/>
      <c r="AB96" s="58"/>
      <c r="AC96" s="58"/>
      <c r="AD96" s="49"/>
      <c r="AE96" s="49"/>
      <c r="AF96" s="49"/>
      <c r="AG96" s="49"/>
      <c r="AH96" s="74"/>
      <c r="AJ96" t="s">
        <v>267</v>
      </c>
      <c r="AL96" s="7">
        <f t="shared" si="2"/>
        <v>6144.1846328746433</v>
      </c>
      <c r="AM96" s="49"/>
      <c r="AO96" s="7"/>
    </row>
    <row r="97" spans="4:41" x14ac:dyDescent="0.3">
      <c r="D97" s="49"/>
      <c r="E97" s="49"/>
      <c r="F97" s="49"/>
      <c r="G97" s="49"/>
      <c r="H97" s="49"/>
      <c r="I97" s="49"/>
      <c r="J97" s="49"/>
      <c r="K97" s="49" t="s">
        <v>191</v>
      </c>
      <c r="L97" s="49">
        <v>30408.667152334805</v>
      </c>
      <c r="M97" s="49"/>
      <c r="N97" s="49"/>
      <c r="O97" s="49" t="s">
        <v>191</v>
      </c>
      <c r="P97" s="49">
        <v>42391.077447210751</v>
      </c>
      <c r="Q97" s="49"/>
      <c r="T97" s="49"/>
      <c r="U97" s="49"/>
      <c r="V97" s="49"/>
      <c r="W97" s="49"/>
      <c r="Y97" s="58"/>
      <c r="Z97" s="58"/>
      <c r="AA97" s="58"/>
      <c r="AC97" s="49"/>
      <c r="AD97" s="49"/>
      <c r="AE97" s="49"/>
      <c r="AF97" s="49"/>
      <c r="AG97" s="49"/>
      <c r="AH97" s="74"/>
      <c r="AJ97" t="s">
        <v>268</v>
      </c>
      <c r="AL97" s="7">
        <f t="shared" si="2"/>
        <v>72799.744599545549</v>
      </c>
      <c r="AM97" s="49"/>
      <c r="AO97" s="7"/>
    </row>
    <row r="98" spans="4:41" x14ac:dyDescent="0.3">
      <c r="D98" s="49"/>
      <c r="E98" s="49"/>
      <c r="F98" s="49"/>
      <c r="G98" s="49"/>
      <c r="H98" s="49"/>
      <c r="I98" s="49"/>
      <c r="J98" s="49"/>
      <c r="K98" s="49" t="s">
        <v>192</v>
      </c>
      <c r="L98" s="49">
        <v>914.99655967038166</v>
      </c>
      <c r="M98" s="49"/>
      <c r="N98" s="49"/>
      <c r="O98" s="49" t="s">
        <v>192</v>
      </c>
      <c r="P98" s="49">
        <v>1054.7675766480293</v>
      </c>
      <c r="Q98" s="49"/>
      <c r="S98" t="s">
        <v>192</v>
      </c>
      <c r="T98" s="49">
        <v>4101.677323248422</v>
      </c>
      <c r="U98" s="49"/>
      <c r="V98" s="49"/>
      <c r="W98" s="49" t="s">
        <v>192</v>
      </c>
      <c r="X98" s="58">
        <v>72.743173307809769</v>
      </c>
      <c r="Y98" s="58"/>
      <c r="Z98" s="58"/>
      <c r="AA98" s="58"/>
      <c r="AB98" s="58"/>
      <c r="AC98" s="58"/>
      <c r="AD98" s="49"/>
      <c r="AE98" s="49"/>
      <c r="AF98" s="49"/>
      <c r="AG98" s="49"/>
      <c r="AH98" s="74"/>
      <c r="AJ98" t="s">
        <v>269</v>
      </c>
      <c r="AL98" s="7">
        <f t="shared" si="2"/>
        <v>6144.1846328746433</v>
      </c>
      <c r="AM98" s="49"/>
      <c r="AO98" s="7"/>
    </row>
    <row r="99" spans="4:41" x14ac:dyDescent="0.3">
      <c r="D99" s="49"/>
      <c r="E99" s="49"/>
      <c r="F99" s="49"/>
      <c r="G99" s="49"/>
      <c r="H99" s="49"/>
      <c r="I99" s="49"/>
      <c r="J99" s="49"/>
      <c r="K99" s="49" t="s">
        <v>194</v>
      </c>
      <c r="L99" s="49">
        <v>914.99655967038166</v>
      </c>
      <c r="M99" s="49"/>
      <c r="N99" s="49"/>
      <c r="O99" s="49" t="s">
        <v>194</v>
      </c>
      <c r="P99" s="49">
        <v>1054.7675766480293</v>
      </c>
      <c r="Q99" s="49"/>
      <c r="T99" s="49"/>
      <c r="U99" s="49"/>
      <c r="V99" s="49"/>
      <c r="W99" s="49"/>
      <c r="Y99" s="58"/>
      <c r="Z99" s="58"/>
      <c r="AA99" s="58"/>
      <c r="AC99" s="49"/>
      <c r="AD99" s="49"/>
      <c r="AE99" s="49"/>
      <c r="AF99" s="49"/>
      <c r="AG99" s="49"/>
      <c r="AH99" s="74"/>
      <c r="AJ99" t="s">
        <v>270</v>
      </c>
      <c r="AL99" s="7">
        <f t="shared" si="2"/>
        <v>1969.7641363184109</v>
      </c>
      <c r="AM99" s="49"/>
      <c r="AO99" s="7"/>
    </row>
    <row r="100" spans="4:41" x14ac:dyDescent="0.3">
      <c r="D100" s="49"/>
      <c r="E100" s="49"/>
      <c r="F100" s="49"/>
      <c r="G100" s="49"/>
      <c r="H100" s="49"/>
      <c r="I100" s="49"/>
      <c r="J100" s="49"/>
      <c r="K100" s="49" t="s">
        <v>195</v>
      </c>
      <c r="L100" s="49">
        <v>914.99655967038166</v>
      </c>
      <c r="M100" s="49"/>
      <c r="N100" s="49"/>
      <c r="O100" s="49" t="s">
        <v>195</v>
      </c>
      <c r="P100" s="49">
        <v>1054.7675766480293</v>
      </c>
      <c r="Q100" s="49"/>
      <c r="T100" s="49"/>
      <c r="U100" s="49"/>
      <c r="V100" s="49"/>
      <c r="W100" s="49"/>
      <c r="Y100" s="58"/>
      <c r="Z100" s="58"/>
      <c r="AA100" s="58"/>
      <c r="AC100" s="49"/>
      <c r="AD100" s="49"/>
      <c r="AE100" s="49"/>
      <c r="AF100" s="49"/>
      <c r="AG100" s="49"/>
      <c r="AH100" s="74"/>
      <c r="AJ100" t="s">
        <v>271</v>
      </c>
      <c r="AL100" s="7">
        <f t="shared" si="2"/>
        <v>1969.7641363184109</v>
      </c>
      <c r="AM100" s="49"/>
      <c r="AO100" s="7"/>
    </row>
    <row r="101" spans="4:41" x14ac:dyDescent="0.3">
      <c r="D101" s="49"/>
      <c r="E101" s="49"/>
      <c r="F101" s="49"/>
      <c r="G101" s="49"/>
      <c r="H101" s="49"/>
      <c r="I101" s="49"/>
      <c r="J101" s="49"/>
      <c r="K101" s="49" t="s">
        <v>196</v>
      </c>
      <c r="L101" s="49">
        <v>2471.1665892456713</v>
      </c>
      <c r="M101" s="49"/>
      <c r="N101" s="49"/>
      <c r="O101" s="49" t="s">
        <v>196</v>
      </c>
      <c r="P101" s="49">
        <v>3444.9196258715233</v>
      </c>
      <c r="Q101" s="49"/>
      <c r="S101" t="s">
        <v>196</v>
      </c>
      <c r="T101" s="49">
        <v>10254.193308121057</v>
      </c>
      <c r="U101" s="49"/>
      <c r="V101" s="49"/>
      <c r="W101" s="49" t="s">
        <v>196</v>
      </c>
      <c r="X101" s="58">
        <v>225.93742333567471</v>
      </c>
      <c r="Y101" s="58"/>
      <c r="Z101" s="58"/>
      <c r="AA101" s="58"/>
      <c r="AB101" s="58"/>
      <c r="AC101" s="58"/>
      <c r="AD101" s="49"/>
      <c r="AE101" s="49"/>
      <c r="AF101" s="49"/>
      <c r="AG101" s="49"/>
      <c r="AH101" s="49"/>
      <c r="AJ101" t="s">
        <v>272</v>
      </c>
      <c r="AL101" s="7">
        <f t="shared" si="2"/>
        <v>16396.216946573928</v>
      </c>
      <c r="AM101" s="49"/>
      <c r="AO101" s="7"/>
    </row>
    <row r="102" spans="4:41" x14ac:dyDescent="0.3">
      <c r="D102" s="49"/>
      <c r="E102" s="49"/>
      <c r="F102" s="49"/>
      <c r="G102" s="49"/>
      <c r="H102" s="49"/>
      <c r="I102" s="49"/>
      <c r="J102" s="49"/>
      <c r="K102" s="49" t="s">
        <v>197</v>
      </c>
      <c r="L102" s="49">
        <v>2287.491399175954</v>
      </c>
      <c r="M102" s="49"/>
      <c r="N102" s="49"/>
      <c r="O102" s="49" t="s">
        <v>197</v>
      </c>
      <c r="P102" s="49">
        <v>2628.464550418712</v>
      </c>
      <c r="Q102" s="49"/>
      <c r="S102" t="s">
        <v>197</v>
      </c>
      <c r="T102" s="49">
        <v>10254.193308121057</v>
      </c>
      <c r="U102" s="49"/>
      <c r="V102" s="49"/>
      <c r="W102" s="49" t="s">
        <v>197</v>
      </c>
      <c r="X102" s="58">
        <v>181.85793326952447</v>
      </c>
      <c r="Y102" s="58"/>
      <c r="Z102" s="58"/>
      <c r="AA102" s="58"/>
      <c r="AB102" s="58"/>
      <c r="AC102" s="58"/>
      <c r="AD102" s="49"/>
      <c r="AE102" s="49"/>
      <c r="AF102" s="49"/>
      <c r="AG102" s="49"/>
      <c r="AH102" s="49"/>
      <c r="AJ102" t="s">
        <v>273</v>
      </c>
      <c r="AL102" s="7">
        <f t="shared" si="2"/>
        <v>15352.007190985247</v>
      </c>
      <c r="AM102" s="49"/>
      <c r="AO102" s="7"/>
    </row>
    <row r="103" spans="4:41" x14ac:dyDescent="0.3">
      <c r="D103" s="49"/>
      <c r="E103" s="49"/>
      <c r="F103" s="49"/>
      <c r="G103" s="49"/>
      <c r="H103" s="49"/>
      <c r="I103" s="49"/>
      <c r="J103" s="49"/>
      <c r="K103" s="49" t="s">
        <v>199</v>
      </c>
      <c r="L103" s="49">
        <v>2287.491399175954</v>
      </c>
      <c r="M103" s="49"/>
      <c r="N103" s="49"/>
      <c r="O103" s="49" t="s">
        <v>199</v>
      </c>
      <c r="P103" s="49">
        <v>2636.9189416200734</v>
      </c>
      <c r="Q103" s="49"/>
      <c r="S103" t="s">
        <v>199</v>
      </c>
      <c r="T103" s="49">
        <v>10254.193308121057</v>
      </c>
      <c r="U103" s="49"/>
      <c r="V103" s="49"/>
      <c r="W103" s="49" t="s">
        <v>199</v>
      </c>
      <c r="X103" s="58">
        <v>181.85793326952447</v>
      </c>
      <c r="Y103" s="58"/>
      <c r="Z103" s="58"/>
      <c r="AA103" s="58"/>
      <c r="AB103" s="58"/>
      <c r="AC103" s="58"/>
      <c r="AD103" s="49"/>
      <c r="AE103" s="49"/>
      <c r="AF103" s="49"/>
      <c r="AG103" s="49"/>
      <c r="AH103" s="74"/>
      <c r="AJ103" t="s">
        <v>274</v>
      </c>
      <c r="AL103" s="7">
        <f t="shared" si="2"/>
        <v>15360.461582186608</v>
      </c>
      <c r="AM103" s="49"/>
      <c r="AO103" s="7"/>
    </row>
    <row r="104" spans="4:41" x14ac:dyDescent="0.3">
      <c r="D104" s="49"/>
      <c r="E104" s="49"/>
      <c r="F104" s="49"/>
      <c r="G104" s="49"/>
      <c r="H104" s="49"/>
      <c r="I104" s="49"/>
      <c r="J104" s="49"/>
      <c r="K104" s="49" t="s">
        <v>200</v>
      </c>
      <c r="L104" s="49">
        <v>914.99655967038166</v>
      </c>
      <c r="M104" s="49"/>
      <c r="N104" s="49"/>
      <c r="O104" s="49" t="s">
        <v>200</v>
      </c>
      <c r="P104" s="49">
        <v>1054.7675766480293</v>
      </c>
      <c r="Q104" s="49"/>
      <c r="S104" t="s">
        <v>200</v>
      </c>
      <c r="T104" s="49">
        <v>4101.677323248422</v>
      </c>
      <c r="U104" s="49"/>
      <c r="V104" s="49"/>
      <c r="W104" s="49" t="s">
        <v>200</v>
      </c>
      <c r="X104" s="58">
        <v>72.743173307809769</v>
      </c>
      <c r="Y104" s="58"/>
      <c r="Z104" s="58"/>
      <c r="AA104" s="58"/>
      <c r="AB104" s="58"/>
      <c r="AC104" s="58"/>
      <c r="AD104" s="49"/>
      <c r="AE104" s="49"/>
      <c r="AF104" s="49"/>
      <c r="AG104" s="49"/>
      <c r="AH104" s="74"/>
      <c r="AJ104" t="s">
        <v>275</v>
      </c>
      <c r="AL104" s="7">
        <f t="shared" si="2"/>
        <v>6144.1846328746433</v>
      </c>
      <c r="AM104" s="49"/>
      <c r="AO104" s="7"/>
    </row>
    <row r="105" spans="4:41" x14ac:dyDescent="0.3">
      <c r="D105" s="49"/>
      <c r="E105" s="49"/>
      <c r="F105" s="49"/>
      <c r="G105" s="49"/>
      <c r="H105" s="49"/>
      <c r="I105" s="49"/>
      <c r="J105" s="49"/>
      <c r="K105" s="49" t="s">
        <v>202</v>
      </c>
      <c r="L105" s="49">
        <v>914.99655967038166</v>
      </c>
      <c r="M105" s="49"/>
      <c r="N105" s="49"/>
      <c r="O105" s="49" t="s">
        <v>202</v>
      </c>
      <c r="P105" s="49">
        <v>1054.7675766480293</v>
      </c>
      <c r="Q105" s="49"/>
      <c r="S105" t="s">
        <v>202</v>
      </c>
      <c r="T105" s="49">
        <v>4101.677323248422</v>
      </c>
      <c r="U105" s="49"/>
      <c r="V105" s="49"/>
      <c r="W105" s="49" t="s">
        <v>202</v>
      </c>
      <c r="X105" s="58">
        <v>72.743173307809769</v>
      </c>
      <c r="Y105" s="58"/>
      <c r="Z105" s="58"/>
      <c r="AA105" s="58"/>
      <c r="AB105" s="58"/>
      <c r="AC105" s="58"/>
      <c r="AD105" s="49"/>
      <c r="AE105" s="49"/>
      <c r="AF105" s="49"/>
      <c r="AG105" s="49"/>
      <c r="AH105" s="74"/>
      <c r="AJ105" t="s">
        <v>290</v>
      </c>
      <c r="AL105" s="7">
        <f t="shared" si="2"/>
        <v>6144.1846328746433</v>
      </c>
      <c r="AM105" s="49"/>
      <c r="AO105" s="7"/>
    </row>
    <row r="106" spans="4:41" x14ac:dyDescent="0.3">
      <c r="D106" s="49"/>
      <c r="E106" s="49"/>
      <c r="F106" s="49"/>
      <c r="G106" s="49"/>
      <c r="H106" s="49"/>
      <c r="I106" s="49"/>
      <c r="J106" s="49"/>
      <c r="K106" s="49" t="s">
        <v>203</v>
      </c>
      <c r="L106" s="49">
        <v>3259.8837177657383</v>
      </c>
      <c r="M106" s="49"/>
      <c r="N106" s="49"/>
      <c r="O106" s="49" t="s">
        <v>203</v>
      </c>
      <c r="P106" s="49">
        <v>4544.4274968197151</v>
      </c>
      <c r="Q106" s="49"/>
      <c r="S106" t="s">
        <v>203</v>
      </c>
      <c r="T106" s="49">
        <v>10254.193308121057</v>
      </c>
      <c r="U106" s="49"/>
      <c r="V106" s="49"/>
      <c r="W106" s="49" t="s">
        <v>203</v>
      </c>
      <c r="X106" s="58">
        <v>298.04940337540665</v>
      </c>
      <c r="Y106" s="58"/>
      <c r="Z106" s="58"/>
      <c r="AA106" s="58"/>
      <c r="AB106" s="58"/>
      <c r="AC106" s="58"/>
      <c r="AD106" s="49"/>
      <c r="AE106" s="49"/>
      <c r="AF106" s="49"/>
      <c r="AG106" s="49"/>
      <c r="AH106" s="74"/>
      <c r="AJ106" t="s">
        <v>291</v>
      </c>
      <c r="AL106" s="7">
        <f t="shared" si="2"/>
        <v>18356.553926081921</v>
      </c>
      <c r="AM106" s="49"/>
      <c r="AO106" s="7"/>
    </row>
    <row r="107" spans="4:41" x14ac:dyDescent="0.3">
      <c r="D107" s="49"/>
      <c r="E107" s="49"/>
      <c r="F107" s="49"/>
      <c r="G107" s="49"/>
      <c r="H107" s="49"/>
      <c r="I107" s="49"/>
      <c r="J107" s="49"/>
      <c r="K107" s="49" t="s">
        <v>204</v>
      </c>
      <c r="L107" s="49">
        <v>914.99655967038166</v>
      </c>
      <c r="M107" s="49"/>
      <c r="N107" s="49"/>
      <c r="O107" s="49" t="s">
        <v>204</v>
      </c>
      <c r="P107" s="49">
        <v>1054.7675766480293</v>
      </c>
      <c r="Q107" s="49"/>
      <c r="S107" t="s">
        <v>204</v>
      </c>
      <c r="T107" s="49">
        <v>4101.677323248422</v>
      </c>
      <c r="U107" s="49"/>
      <c r="V107" s="49"/>
      <c r="W107" s="49" t="s">
        <v>204</v>
      </c>
      <c r="X107" s="58">
        <v>72.743173307809769</v>
      </c>
      <c r="Y107" s="58"/>
      <c r="Z107" s="58"/>
      <c r="AA107" s="58"/>
      <c r="AB107" s="58"/>
      <c r="AC107" s="58"/>
      <c r="AD107" s="49"/>
      <c r="AE107" s="49"/>
      <c r="AF107" s="49"/>
      <c r="AG107" s="49"/>
      <c r="AH107" s="74"/>
      <c r="AJ107" t="s">
        <v>276</v>
      </c>
      <c r="AL107" s="7">
        <f t="shared" si="2"/>
        <v>6144.1846328746433</v>
      </c>
      <c r="AM107" s="49"/>
      <c r="AO107" s="7"/>
    </row>
    <row r="108" spans="4:41" x14ac:dyDescent="0.3">
      <c r="D108" s="49"/>
      <c r="E108" s="49"/>
      <c r="F108" s="49"/>
      <c r="G108" s="49"/>
      <c r="H108" s="49"/>
      <c r="I108" s="49"/>
      <c r="J108" s="49"/>
      <c r="K108" s="49" t="s">
        <v>205</v>
      </c>
      <c r="L108" s="49">
        <v>914.99655967038166</v>
      </c>
      <c r="M108" s="49"/>
      <c r="N108" s="49"/>
      <c r="O108" s="49" t="s">
        <v>205</v>
      </c>
      <c r="P108" s="49">
        <v>1054.7675766480293</v>
      </c>
      <c r="Q108" s="49"/>
      <c r="S108" t="s">
        <v>205</v>
      </c>
      <c r="T108" s="49">
        <v>4101.677323248422</v>
      </c>
      <c r="U108" s="49"/>
      <c r="V108" s="49"/>
      <c r="W108" s="49" t="s">
        <v>205</v>
      </c>
      <c r="X108" s="58">
        <v>72.743173307809769</v>
      </c>
      <c r="Y108" s="58"/>
      <c r="Z108" s="58"/>
      <c r="AA108" s="58"/>
      <c r="AB108" s="58"/>
      <c r="AC108" s="58"/>
      <c r="AD108" s="49"/>
      <c r="AE108" s="49"/>
      <c r="AF108" s="49"/>
      <c r="AG108" s="49"/>
      <c r="AH108" s="74"/>
      <c r="AJ108" t="s">
        <v>277</v>
      </c>
      <c r="AL108" s="7">
        <f t="shared" si="2"/>
        <v>6144.1846328746433</v>
      </c>
      <c r="AM108" s="49"/>
      <c r="AO108" s="7"/>
    </row>
    <row r="109" spans="4:41" x14ac:dyDescent="0.3">
      <c r="D109" s="49"/>
      <c r="E109" s="49"/>
      <c r="F109" s="49"/>
      <c r="G109" s="49"/>
      <c r="H109" s="49"/>
      <c r="I109" s="49"/>
      <c r="J109" s="49"/>
      <c r="K109" s="49"/>
      <c r="L109" s="49"/>
      <c r="M109" s="49"/>
      <c r="N109" s="49"/>
      <c r="O109" s="49"/>
      <c r="P109" s="49"/>
      <c r="Q109" s="49"/>
      <c r="T109" s="49"/>
      <c r="U109" s="49"/>
      <c r="V109" s="49"/>
      <c r="W109" s="49"/>
      <c r="Y109" s="58"/>
      <c r="Z109" s="58"/>
      <c r="AA109" s="58"/>
      <c r="AC109" s="49"/>
      <c r="AD109" s="49"/>
      <c r="AE109" s="49"/>
      <c r="AF109" s="49"/>
      <c r="AG109" s="49"/>
      <c r="AL109" s="7"/>
      <c r="AM109" s="49"/>
      <c r="AO109" s="7"/>
    </row>
    <row r="110" spans="4:41" x14ac:dyDescent="0.3">
      <c r="D110" s="49"/>
      <c r="E110" s="49"/>
      <c r="F110" s="49"/>
      <c r="G110" s="49"/>
      <c r="H110" s="49"/>
      <c r="I110" s="49"/>
      <c r="J110" s="49"/>
      <c r="K110" s="49"/>
      <c r="L110" s="49"/>
      <c r="M110" s="49"/>
      <c r="N110" s="49"/>
      <c r="O110" s="49"/>
      <c r="P110" s="49"/>
      <c r="Q110" s="49"/>
      <c r="T110" s="49"/>
      <c r="U110" s="49"/>
      <c r="V110" s="49"/>
      <c r="W110" s="49"/>
      <c r="Y110" s="58"/>
      <c r="Z110" s="58"/>
      <c r="AA110" s="58"/>
      <c r="AC110" s="49"/>
      <c r="AD110" s="49"/>
      <c r="AE110" s="49"/>
      <c r="AF110" s="49"/>
      <c r="AG110" s="49"/>
      <c r="AL110" s="7"/>
      <c r="AM110" s="49"/>
      <c r="AO110" s="7"/>
    </row>
    <row r="111" spans="4:41" x14ac:dyDescent="0.3">
      <c r="D111" s="49"/>
      <c r="E111" s="49"/>
      <c r="F111" s="49"/>
      <c r="G111" s="49"/>
      <c r="H111" s="49"/>
      <c r="I111" s="49"/>
      <c r="J111" s="49"/>
      <c r="K111" s="49" t="s">
        <v>141</v>
      </c>
      <c r="L111" s="49">
        <v>0</v>
      </c>
      <c r="M111" s="49"/>
      <c r="N111" s="49"/>
      <c r="O111" s="49" t="s">
        <v>141</v>
      </c>
      <c r="P111" s="49">
        <v>0</v>
      </c>
      <c r="Q111" s="49"/>
      <c r="S111" t="s">
        <v>141</v>
      </c>
      <c r="T111" s="49">
        <v>0</v>
      </c>
      <c r="U111" s="49"/>
      <c r="V111" s="49"/>
      <c r="W111" s="49" t="s">
        <v>141</v>
      </c>
      <c r="X111" s="58">
        <v>0</v>
      </c>
      <c r="Y111" s="58"/>
      <c r="Z111" s="58"/>
      <c r="AA111" s="58"/>
      <c r="AB111" s="58"/>
      <c r="AC111" s="58"/>
      <c r="AD111" s="49"/>
      <c r="AE111" s="49"/>
      <c r="AF111" s="49"/>
      <c r="AG111" s="49"/>
      <c r="AH111" s="40"/>
      <c r="AJ111" s="49" t="s">
        <v>141</v>
      </c>
      <c r="AL111" s="7">
        <f>+L111+P111+T111+X111+AC111+AE111</f>
        <v>0</v>
      </c>
      <c r="AM111" s="49"/>
      <c r="AO111" s="7"/>
    </row>
    <row r="112" spans="4:41" x14ac:dyDescent="0.3">
      <c r="D112" s="49"/>
      <c r="E112" s="49"/>
      <c r="F112" s="49"/>
      <c r="G112" s="49"/>
      <c r="H112" s="49"/>
      <c r="I112" s="49"/>
      <c r="J112" s="49"/>
      <c r="K112" s="49"/>
      <c r="M112" s="49"/>
      <c r="N112" s="49"/>
      <c r="O112" s="49"/>
      <c r="P112" s="49"/>
      <c r="Q112" s="49"/>
      <c r="S112" t="s">
        <v>219</v>
      </c>
      <c r="T112" s="49">
        <v>30717.289646430392</v>
      </c>
      <c r="U112" s="49"/>
      <c r="V112" s="49"/>
      <c r="W112" s="49" t="s">
        <v>219</v>
      </c>
      <c r="X112" s="58">
        <v>689.3527045119165</v>
      </c>
      <c r="Y112" s="58"/>
      <c r="Z112" s="58"/>
      <c r="AA112" s="58"/>
      <c r="AB112" s="58"/>
      <c r="AC112" s="58"/>
      <c r="AD112" s="49"/>
      <c r="AE112" s="49"/>
      <c r="AF112" s="49"/>
      <c r="AG112" s="49"/>
      <c r="AH112" s="74"/>
      <c r="AJ112" s="49" t="s">
        <v>219</v>
      </c>
      <c r="AL112" s="7">
        <f t="shared" ref="AL112:AL126" si="3">+L112+P112+T112+X112+AC112+AE112</f>
        <v>31406.642350942308</v>
      </c>
      <c r="AM112" s="49"/>
      <c r="AO112" s="7"/>
    </row>
    <row r="113" spans="4:41" x14ac:dyDescent="0.3">
      <c r="D113" s="49"/>
      <c r="E113" s="49"/>
      <c r="F113" s="49"/>
      <c r="G113" s="49"/>
      <c r="H113" s="49"/>
      <c r="I113" s="49"/>
      <c r="J113" s="49"/>
      <c r="K113" s="49" t="s">
        <v>142</v>
      </c>
      <c r="L113" s="49">
        <v>19515.813970082068</v>
      </c>
      <c r="M113" s="49"/>
      <c r="N113" s="49"/>
      <c r="O113" s="49" t="s">
        <v>142</v>
      </c>
      <c r="P113" s="49">
        <v>27205.940244164442</v>
      </c>
      <c r="Q113" s="49"/>
      <c r="S113" t="s">
        <v>142</v>
      </c>
      <c r="T113" s="49">
        <v>63476.119903203311</v>
      </c>
      <c r="U113" s="49"/>
      <c r="V113" s="49"/>
      <c r="W113" s="49" t="s">
        <v>142</v>
      </c>
      <c r="X113" s="58">
        <v>1757.442665500882</v>
      </c>
      <c r="Y113" s="58"/>
      <c r="Z113" s="58"/>
      <c r="AA113" s="58"/>
      <c r="AB113" s="58"/>
      <c r="AC113" s="58"/>
      <c r="AD113" s="49"/>
      <c r="AE113" s="49"/>
      <c r="AF113" s="49"/>
      <c r="AG113" s="49"/>
      <c r="AH113" s="40"/>
      <c r="AJ113" t="s">
        <v>255</v>
      </c>
      <c r="AL113" s="7">
        <f t="shared" si="3"/>
        <v>111955.31678295071</v>
      </c>
      <c r="AM113" s="49"/>
      <c r="AO113" s="7"/>
    </row>
    <row r="114" spans="4:41" x14ac:dyDescent="0.3">
      <c r="D114" s="49"/>
      <c r="E114" s="49"/>
      <c r="F114" s="49"/>
      <c r="G114" s="49"/>
      <c r="H114" s="49"/>
      <c r="I114" s="49"/>
      <c r="J114" s="49"/>
      <c r="K114" s="49" t="s">
        <v>143</v>
      </c>
      <c r="L114" s="49">
        <v>29422.279946062412</v>
      </c>
      <c r="M114" s="49"/>
      <c r="N114" s="49"/>
      <c r="O114" s="49" t="s">
        <v>143</v>
      </c>
      <c r="P114" s="49">
        <v>41016.008416905679</v>
      </c>
      <c r="Q114" s="49"/>
      <c r="S114" t="s">
        <v>143</v>
      </c>
      <c r="T114" s="49">
        <v>95697.375090013651</v>
      </c>
      <c r="U114" s="49"/>
      <c r="V114" s="49"/>
      <c r="W114" s="49" t="s">
        <v>143</v>
      </c>
      <c r="X114" s="58">
        <v>2649.5420674120946</v>
      </c>
      <c r="Y114" s="58"/>
      <c r="Z114" s="58"/>
      <c r="AA114" s="58"/>
      <c r="AB114" s="58"/>
      <c r="AC114" s="58"/>
      <c r="AD114" s="49"/>
      <c r="AE114" s="49"/>
      <c r="AF114" s="49"/>
      <c r="AG114" s="49"/>
      <c r="AH114" s="40"/>
      <c r="AJ114" t="s">
        <v>248</v>
      </c>
      <c r="AL114" s="7">
        <f t="shared" si="3"/>
        <v>168785.20552039382</v>
      </c>
      <c r="AM114" s="49"/>
      <c r="AO114" s="7"/>
    </row>
    <row r="115" spans="4:41" x14ac:dyDescent="0.3">
      <c r="D115" s="49"/>
      <c r="E115" s="49"/>
      <c r="F115" s="49"/>
      <c r="G115" s="49"/>
      <c r="H115" s="49"/>
      <c r="I115" s="49"/>
      <c r="J115" s="49"/>
      <c r="K115" s="49"/>
      <c r="L115" s="49"/>
      <c r="M115" s="49"/>
      <c r="N115" s="49"/>
      <c r="O115" s="49"/>
      <c r="P115" s="49"/>
      <c r="Q115" s="49"/>
      <c r="S115" t="s">
        <v>220</v>
      </c>
      <c r="T115" s="49">
        <v>32705.668702126517</v>
      </c>
      <c r="U115" s="49"/>
      <c r="V115" s="49"/>
      <c r="W115" s="49" t="s">
        <v>220</v>
      </c>
      <c r="X115" s="58">
        <v>794.04956801915694</v>
      </c>
      <c r="Y115" s="58"/>
      <c r="Z115" s="58"/>
      <c r="AA115" s="58"/>
      <c r="AB115" s="58"/>
      <c r="AC115" s="58"/>
      <c r="AD115" s="49"/>
      <c r="AE115" s="49"/>
      <c r="AF115" s="49"/>
      <c r="AG115" s="49"/>
      <c r="AH115" s="74"/>
      <c r="AJ115" s="49" t="s">
        <v>220</v>
      </c>
      <c r="AL115" s="7">
        <f t="shared" si="3"/>
        <v>33499.718270145677</v>
      </c>
      <c r="AM115" s="49"/>
      <c r="AO115" s="7"/>
    </row>
    <row r="116" spans="4:41" x14ac:dyDescent="0.3">
      <c r="D116" s="49"/>
      <c r="E116" s="49"/>
      <c r="F116" s="49"/>
      <c r="G116" s="49"/>
      <c r="H116" s="49"/>
      <c r="I116" s="49"/>
      <c r="J116" s="49"/>
      <c r="K116" s="49" t="s">
        <v>144</v>
      </c>
      <c r="L116" s="49">
        <v>24319.759848322996</v>
      </c>
      <c r="M116" s="49"/>
      <c r="N116" s="49"/>
      <c r="O116" s="49" t="s">
        <v>144</v>
      </c>
      <c r="P116" s="49">
        <v>33902.861248842019</v>
      </c>
      <c r="Q116" s="49"/>
      <c r="S116" t="s">
        <v>144</v>
      </c>
      <c r="T116" s="49">
        <v>79101.184020087705</v>
      </c>
      <c r="U116" s="49"/>
      <c r="V116" s="49"/>
      <c r="W116" s="49" t="s">
        <v>144</v>
      </c>
      <c r="X116" s="58">
        <v>2190.0487285695494</v>
      </c>
      <c r="Y116" s="58"/>
      <c r="Z116" s="58"/>
      <c r="AA116" s="58"/>
      <c r="AB116" s="58"/>
      <c r="AC116" s="58"/>
      <c r="AD116" s="49"/>
      <c r="AE116" s="49"/>
      <c r="AF116" s="49"/>
      <c r="AG116" s="49"/>
      <c r="AH116" s="74"/>
      <c r="AJ116" t="s">
        <v>252</v>
      </c>
      <c r="AL116" s="7">
        <f t="shared" si="3"/>
        <v>139513.85384582228</v>
      </c>
      <c r="AM116" s="49"/>
      <c r="AO116" s="7"/>
    </row>
    <row r="117" spans="4:41" x14ac:dyDescent="0.3">
      <c r="D117" s="49"/>
      <c r="E117" s="49"/>
      <c r="F117" s="49"/>
      <c r="G117" s="49"/>
      <c r="H117" s="49"/>
      <c r="I117" s="49"/>
      <c r="J117" s="49"/>
      <c r="K117" s="49" t="s">
        <v>145</v>
      </c>
      <c r="L117" s="49">
        <v>3666.1692228680758</v>
      </c>
      <c r="M117" s="49"/>
      <c r="N117" s="49"/>
      <c r="O117" s="49" t="s">
        <v>145</v>
      </c>
      <c r="P117" s="49">
        <v>5110.808135148678</v>
      </c>
      <c r="Q117" s="49"/>
      <c r="S117" t="s">
        <v>145</v>
      </c>
      <c r="T117" s="49">
        <v>15143.469804973463</v>
      </c>
      <c r="U117" s="49"/>
      <c r="V117" s="49"/>
      <c r="W117" s="49" t="s">
        <v>145</v>
      </c>
      <c r="X117" s="58">
        <v>330.14673234187808</v>
      </c>
      <c r="Y117" s="58"/>
      <c r="Z117" s="58"/>
      <c r="AA117" s="58"/>
      <c r="AB117" s="58"/>
      <c r="AC117" s="58"/>
      <c r="AD117" s="49"/>
      <c r="AE117" s="49"/>
      <c r="AF117" s="49"/>
      <c r="AG117" s="49"/>
      <c r="AH117" s="40"/>
      <c r="AJ117" t="s">
        <v>256</v>
      </c>
      <c r="AL117" s="7">
        <f t="shared" si="3"/>
        <v>24250.593895332095</v>
      </c>
      <c r="AM117" s="49"/>
      <c r="AO117" s="7"/>
    </row>
    <row r="118" spans="4:41" x14ac:dyDescent="0.3">
      <c r="D118" s="49"/>
      <c r="E118" s="49"/>
      <c r="F118" s="49"/>
      <c r="G118" s="49"/>
      <c r="H118" s="49"/>
      <c r="I118" s="49"/>
      <c r="J118" s="49"/>
      <c r="K118" s="49" t="s">
        <v>146</v>
      </c>
      <c r="L118" s="49">
        <v>13033.372205241179</v>
      </c>
      <c r="M118" s="49"/>
      <c r="N118" s="49"/>
      <c r="O118" s="49" t="s">
        <v>146</v>
      </c>
      <c r="P118" s="49">
        <v>18169.118948321993</v>
      </c>
      <c r="Q118" s="49"/>
      <c r="S118" t="s">
        <v>146</v>
      </c>
      <c r="T118" s="49">
        <v>58398.338709694654</v>
      </c>
      <c r="U118" s="49"/>
      <c r="V118" s="49"/>
      <c r="W118" s="49" t="s">
        <v>146</v>
      </c>
      <c r="X118" s="58">
        <v>1173.6842964356174</v>
      </c>
      <c r="Y118" s="58"/>
      <c r="Z118" s="58"/>
      <c r="AA118" s="58"/>
      <c r="AB118" s="58"/>
      <c r="AC118" s="58"/>
      <c r="AD118" s="49"/>
      <c r="AE118" s="49"/>
      <c r="AF118" s="49"/>
      <c r="AG118" s="49"/>
      <c r="AH118" s="74"/>
      <c r="AJ118" t="s">
        <v>254</v>
      </c>
      <c r="AL118" s="7">
        <f t="shared" si="3"/>
        <v>90774.514159693441</v>
      </c>
      <c r="AM118" s="49"/>
      <c r="AO118" s="7"/>
    </row>
    <row r="119" spans="4:41" x14ac:dyDescent="0.3">
      <c r="D119" s="49"/>
      <c r="E119" s="49"/>
      <c r="F119" s="49"/>
      <c r="G119" s="49"/>
      <c r="H119" s="49"/>
      <c r="I119" s="49"/>
      <c r="J119" s="49"/>
      <c r="K119" s="49" t="s">
        <v>147</v>
      </c>
      <c r="L119" s="49">
        <v>26250.048320883201</v>
      </c>
      <c r="M119" s="49"/>
      <c r="N119" s="49"/>
      <c r="O119" s="49" t="s">
        <v>147</v>
      </c>
      <c r="P119" s="49">
        <v>36593.771959457459</v>
      </c>
      <c r="Q119" s="49"/>
      <c r="S119" t="s">
        <v>147</v>
      </c>
      <c r="T119" s="49">
        <v>85379.539753537421</v>
      </c>
      <c r="U119" s="49"/>
      <c r="V119" s="49"/>
      <c r="W119" s="49" t="s">
        <v>147</v>
      </c>
      <c r="X119" s="58">
        <v>2363.8755196837906</v>
      </c>
      <c r="Y119" s="58"/>
      <c r="Z119" s="58"/>
      <c r="AA119" s="58"/>
      <c r="AB119" s="58"/>
      <c r="AC119" s="58"/>
      <c r="AD119" s="49"/>
      <c r="AE119" s="49"/>
      <c r="AF119" s="49"/>
      <c r="AG119" s="49"/>
      <c r="AH119" s="40"/>
      <c r="AJ119" t="s">
        <v>249</v>
      </c>
      <c r="AL119" s="7">
        <f t="shared" si="3"/>
        <v>150587.23555356186</v>
      </c>
      <c r="AM119" s="49"/>
      <c r="AO119" s="7"/>
    </row>
    <row r="120" spans="4:41" x14ac:dyDescent="0.3">
      <c r="D120" s="49"/>
      <c r="E120" s="49"/>
      <c r="F120" s="49"/>
      <c r="G120" s="49"/>
      <c r="H120" s="49"/>
      <c r="I120" s="49"/>
      <c r="J120" s="49"/>
      <c r="K120" s="49" t="s">
        <v>148</v>
      </c>
      <c r="L120" s="49">
        <v>10285.507833434065</v>
      </c>
      <c r="M120" s="49"/>
      <c r="N120" s="49"/>
      <c r="O120" s="49" t="s">
        <v>148</v>
      </c>
      <c r="P120" s="49">
        <v>14338.469916052172</v>
      </c>
      <c r="Q120" s="49"/>
      <c r="S120" t="s">
        <v>148</v>
      </c>
      <c r="T120" s="49">
        <v>12514.33513701409</v>
      </c>
      <c r="U120" s="49"/>
      <c r="V120" s="49"/>
      <c r="W120" s="49" t="s">
        <v>148</v>
      </c>
      <c r="X120" s="58">
        <v>209.27406903703795</v>
      </c>
      <c r="Y120" s="58"/>
      <c r="Z120" s="58"/>
      <c r="AA120" s="58"/>
      <c r="AB120" s="58"/>
      <c r="AC120" s="58"/>
      <c r="AD120" s="49"/>
      <c r="AE120" s="49"/>
      <c r="AF120" s="49"/>
      <c r="AG120" s="49"/>
      <c r="AH120" s="74"/>
      <c r="AJ120" t="s">
        <v>148</v>
      </c>
      <c r="AL120" s="7">
        <f t="shared" si="3"/>
        <v>37347.586955537365</v>
      </c>
      <c r="AM120" s="49"/>
      <c r="AO120" s="7"/>
    </row>
    <row r="121" spans="4:41" x14ac:dyDescent="0.3">
      <c r="D121" s="49"/>
      <c r="E121" s="49"/>
      <c r="F121" s="49"/>
      <c r="G121" s="49"/>
      <c r="H121" s="49"/>
      <c r="I121" s="49"/>
      <c r="J121" s="49"/>
      <c r="K121" s="49"/>
      <c r="L121" s="49"/>
      <c r="M121" s="49"/>
      <c r="N121" s="49"/>
      <c r="O121" s="49"/>
      <c r="Q121" s="49"/>
      <c r="S121" t="s">
        <v>221</v>
      </c>
      <c r="T121" s="49">
        <v>15477.748186153958</v>
      </c>
      <c r="U121" s="49"/>
      <c r="V121" s="49"/>
      <c r="W121" s="49" t="s">
        <v>221</v>
      </c>
      <c r="X121" s="58">
        <v>352.71876632488579</v>
      </c>
      <c r="Y121" s="58"/>
      <c r="Z121" s="58"/>
      <c r="AA121" s="58"/>
      <c r="AB121" s="58"/>
      <c r="AC121" s="58"/>
      <c r="AD121" s="49"/>
      <c r="AE121" s="49"/>
      <c r="AF121" s="49"/>
      <c r="AG121" s="49"/>
      <c r="AH121" s="74"/>
      <c r="AJ121" t="s">
        <v>221</v>
      </c>
      <c r="AL121" s="7">
        <f t="shared" si="3"/>
        <v>15830.466952478844</v>
      </c>
      <c r="AM121" s="49"/>
      <c r="AO121" s="7"/>
    </row>
    <row r="122" spans="4:41" x14ac:dyDescent="0.3">
      <c r="D122" s="49"/>
      <c r="E122" s="49"/>
      <c r="F122" s="49"/>
      <c r="G122" s="49"/>
      <c r="H122" s="49"/>
      <c r="I122" s="49"/>
      <c r="J122" s="49"/>
      <c r="K122" s="49" t="s">
        <v>149</v>
      </c>
      <c r="L122" s="49">
        <v>17045.1248182741</v>
      </c>
      <c r="M122" s="49"/>
      <c r="N122" s="49"/>
      <c r="O122" s="49" t="s">
        <v>149</v>
      </c>
      <c r="P122" s="49">
        <v>23761.68618799041</v>
      </c>
      <c r="Q122" s="49"/>
      <c r="S122" t="s">
        <v>149</v>
      </c>
      <c r="T122" s="49">
        <v>63748.492117709859</v>
      </c>
      <c r="U122" s="49"/>
      <c r="V122" s="49"/>
      <c r="W122" s="49" t="s">
        <v>149</v>
      </c>
      <c r="X122" s="58">
        <v>1534.9515854345325</v>
      </c>
      <c r="Y122" s="58"/>
      <c r="Z122" s="58"/>
      <c r="AA122" s="58"/>
      <c r="AB122" s="58"/>
      <c r="AC122" s="58"/>
      <c r="AD122" s="49"/>
      <c r="AE122" s="49"/>
      <c r="AF122" s="49"/>
      <c r="AG122" s="49"/>
      <c r="AH122" s="40"/>
      <c r="AJ122" t="s">
        <v>250</v>
      </c>
      <c r="AL122" s="7">
        <f t="shared" si="3"/>
        <v>106090.25470940891</v>
      </c>
      <c r="AM122" s="49"/>
      <c r="AO122" s="7"/>
    </row>
    <row r="123" spans="4:41" x14ac:dyDescent="0.3">
      <c r="D123" s="49"/>
      <c r="E123" s="49"/>
      <c r="F123" s="49"/>
      <c r="G123" s="49"/>
      <c r="H123" s="49"/>
      <c r="I123" s="49"/>
      <c r="J123" s="49"/>
      <c r="K123" s="49" t="s">
        <v>150</v>
      </c>
      <c r="L123" s="49">
        <v>14241.59435547513</v>
      </c>
      <c r="M123" s="49"/>
      <c r="N123" s="49"/>
      <c r="O123" s="49" t="s">
        <v>150</v>
      </c>
      <c r="P123" s="49">
        <v>19853.436070391916</v>
      </c>
      <c r="Q123" s="49"/>
      <c r="S123" t="s">
        <v>150</v>
      </c>
      <c r="T123" s="49">
        <v>60009.647900025469</v>
      </c>
      <c r="U123" s="49"/>
      <c r="V123" s="49"/>
      <c r="W123" s="49" t="s">
        <v>150</v>
      </c>
      <c r="X123" s="58">
        <v>1282.4874014190693</v>
      </c>
      <c r="Y123" s="58"/>
      <c r="Z123" s="58"/>
      <c r="AA123" s="58"/>
      <c r="AB123" s="58"/>
      <c r="AC123" s="58"/>
      <c r="AD123" s="49"/>
      <c r="AE123" s="49"/>
      <c r="AF123" s="49"/>
      <c r="AG123" s="49"/>
      <c r="AH123" s="74"/>
      <c r="AJ123" t="s">
        <v>253</v>
      </c>
      <c r="AL123" s="7">
        <f t="shared" si="3"/>
        <v>95387.165727311585</v>
      </c>
      <c r="AM123" s="49"/>
      <c r="AO123" s="7"/>
    </row>
    <row r="124" spans="4:41" x14ac:dyDescent="0.3">
      <c r="D124" s="49"/>
      <c r="E124" s="49"/>
      <c r="F124" s="49"/>
      <c r="G124" s="49"/>
      <c r="H124" s="49"/>
      <c r="I124" s="49"/>
      <c r="J124" s="49"/>
      <c r="K124" s="49" t="s">
        <v>151</v>
      </c>
      <c r="L124" s="49">
        <v>72984.672688465434</v>
      </c>
      <c r="M124" s="49"/>
      <c r="N124" s="49"/>
      <c r="O124" s="49" t="s">
        <v>151</v>
      </c>
      <c r="P124" s="49">
        <v>101743.98295383735</v>
      </c>
      <c r="Q124" s="49"/>
      <c r="S124" t="s">
        <v>151</v>
      </c>
      <c r="T124" s="49">
        <v>0</v>
      </c>
      <c r="U124" s="49"/>
      <c r="V124" s="49"/>
      <c r="W124" s="49" t="s">
        <v>151</v>
      </c>
      <c r="X124" s="58">
        <v>6572.4328950337249</v>
      </c>
      <c r="Y124" s="58"/>
      <c r="Z124" s="58"/>
      <c r="AA124" s="58"/>
      <c r="AB124" s="58"/>
      <c r="AC124" s="58"/>
      <c r="AD124" s="49"/>
      <c r="AE124" s="49"/>
      <c r="AF124" s="49"/>
      <c r="AG124" s="49"/>
      <c r="AH124" s="75"/>
      <c r="AJ124" t="s">
        <v>151</v>
      </c>
      <c r="AL124" s="7">
        <f t="shared" si="3"/>
        <v>181301.0885373365</v>
      </c>
      <c r="AM124" s="49"/>
      <c r="AO124" s="7"/>
    </row>
    <row r="125" spans="4:41" x14ac:dyDescent="0.3">
      <c r="D125" s="49"/>
      <c r="E125" s="49"/>
      <c r="F125" s="49"/>
      <c r="G125" s="49"/>
      <c r="H125" s="49"/>
      <c r="I125" s="49"/>
      <c r="J125" s="49"/>
      <c r="K125" s="49" t="s">
        <v>152</v>
      </c>
      <c r="L125" s="40">
        <v>16139.80009297262</v>
      </c>
      <c r="M125" s="40"/>
      <c r="N125" s="49"/>
      <c r="O125" s="49" t="s">
        <v>152</v>
      </c>
      <c r="P125" s="49">
        <v>22499.621976071041</v>
      </c>
      <c r="Q125" s="49"/>
      <c r="S125" t="s">
        <v>152</v>
      </c>
      <c r="T125" s="49">
        <v>62541.132982777985</v>
      </c>
      <c r="U125" s="49"/>
      <c r="V125" s="49"/>
      <c r="W125" s="49" t="s">
        <v>152</v>
      </c>
      <c r="X125" s="58">
        <v>1453.4250705365741</v>
      </c>
      <c r="Y125" s="58"/>
      <c r="Z125" s="58"/>
      <c r="AA125" s="58"/>
      <c r="AB125" s="58"/>
      <c r="AC125" s="58"/>
      <c r="AD125" s="49"/>
      <c r="AE125" s="49"/>
      <c r="AF125" s="49"/>
      <c r="AG125" s="49"/>
      <c r="AH125" s="49"/>
      <c r="AJ125" t="s">
        <v>251</v>
      </c>
      <c r="AL125" s="7">
        <f t="shared" si="3"/>
        <v>102633.98012235822</v>
      </c>
      <c r="AM125" s="49"/>
      <c r="AO125" s="7"/>
    </row>
    <row r="126" spans="4:41" x14ac:dyDescent="0.3">
      <c r="D126" s="49"/>
      <c r="E126" s="49"/>
      <c r="F126" s="49"/>
      <c r="G126" s="49"/>
      <c r="H126" s="49"/>
      <c r="I126" s="49"/>
      <c r="J126" s="49"/>
      <c r="K126" s="49" t="s">
        <v>153</v>
      </c>
      <c r="L126" s="59">
        <v>2515.2665838219491</v>
      </c>
      <c r="M126" s="59"/>
      <c r="N126" s="49"/>
      <c r="O126" s="49" t="s">
        <v>153</v>
      </c>
      <c r="P126" s="59">
        <v>2954.4480014933774</v>
      </c>
      <c r="Q126" s="59"/>
      <c r="S126" t="s">
        <v>153</v>
      </c>
      <c r="T126" s="59">
        <v>11836.310795229687</v>
      </c>
      <c r="U126" s="59"/>
      <c r="V126" s="49"/>
      <c r="W126" s="49" t="s">
        <v>153</v>
      </c>
      <c r="X126" s="62">
        <v>201.04944916123813</v>
      </c>
      <c r="Y126" s="58"/>
      <c r="Z126" s="62"/>
      <c r="AA126" s="62"/>
      <c r="AB126" s="58"/>
      <c r="AC126" s="62"/>
      <c r="AD126" s="59"/>
      <c r="AE126" s="59"/>
      <c r="AF126" s="59"/>
      <c r="AG126" s="40"/>
      <c r="AH126" s="73"/>
      <c r="AJ126" t="s">
        <v>153</v>
      </c>
      <c r="AL126" s="51">
        <f t="shared" si="3"/>
        <v>17507.074829706249</v>
      </c>
      <c r="AM126" s="40"/>
      <c r="AO126" s="7"/>
    </row>
    <row r="127" spans="4:41" x14ac:dyDescent="0.3">
      <c r="D127" s="49"/>
      <c r="E127" s="49"/>
      <c r="F127" s="49"/>
      <c r="G127" s="49"/>
      <c r="H127" s="49"/>
      <c r="I127" s="49"/>
      <c r="J127" s="49"/>
      <c r="K127" s="49"/>
      <c r="L127" s="49"/>
      <c r="M127" s="49"/>
      <c r="N127" s="49"/>
      <c r="O127" s="49"/>
      <c r="P127" s="49"/>
      <c r="Q127" s="49"/>
      <c r="T127" s="49"/>
      <c r="U127" s="49"/>
      <c r="V127" s="49"/>
      <c r="W127" s="49" t="s">
        <v>289</v>
      </c>
      <c r="X127" s="7">
        <f>SUM(X75:X126)</f>
        <v>30315.424138541341</v>
      </c>
      <c r="Z127" s="7"/>
      <c r="AA127" s="7"/>
      <c r="AD127" s="49"/>
      <c r="AE127" s="49"/>
      <c r="AF127" s="49"/>
      <c r="AG127" s="49"/>
      <c r="AO127" s="7"/>
    </row>
    <row r="128" spans="4:41" x14ac:dyDescent="0.3">
      <c r="D128" s="49"/>
      <c r="E128" s="49"/>
      <c r="F128" s="49"/>
      <c r="G128" s="49"/>
      <c r="H128" s="49"/>
      <c r="I128" s="49"/>
      <c r="J128" s="49"/>
      <c r="K128" s="53" t="s">
        <v>287</v>
      </c>
      <c r="L128" s="53">
        <f>SUM(L5:L126)</f>
        <v>1100519.1468447559</v>
      </c>
      <c r="M128" s="53"/>
      <c r="N128" s="53"/>
      <c r="O128" s="53"/>
      <c r="P128" s="53">
        <f>SUM(P5:P126)</f>
        <v>1268629.8121059199</v>
      </c>
      <c r="Q128" s="53"/>
      <c r="R128" s="16"/>
      <c r="S128" s="16"/>
      <c r="T128" s="53">
        <f>SUM(T5:T126)</f>
        <v>2427195.3761002761</v>
      </c>
      <c r="U128" s="53"/>
      <c r="V128" s="53"/>
      <c r="W128" s="53"/>
      <c r="X128" s="53">
        <f>SUM(X5:X126)-X72</f>
        <v>87492.410959756817</v>
      </c>
      <c r="Y128" s="53"/>
      <c r="Z128" s="34"/>
      <c r="AA128" s="34"/>
      <c r="AB128" s="16"/>
      <c r="AC128" s="53">
        <f>SUM(AC17:AC126)</f>
        <v>366839.72</v>
      </c>
      <c r="AD128" s="53"/>
      <c r="AE128" s="53">
        <f>SUM(AE17:AE126)</f>
        <v>422876.6</v>
      </c>
      <c r="AF128" s="53"/>
      <c r="AG128" s="53"/>
      <c r="AH128" s="34"/>
      <c r="AJ128" s="7"/>
      <c r="AL128" s="53">
        <f>SUM(AL5:AL127)</f>
        <v>32150134.038773883</v>
      </c>
      <c r="AM128" s="63"/>
      <c r="AO128" s="34"/>
    </row>
    <row r="129" spans="4:42" x14ac:dyDescent="0.3">
      <c r="D129" s="49"/>
      <c r="E129" s="49"/>
      <c r="F129" s="49"/>
      <c r="G129" s="49"/>
      <c r="H129" s="49"/>
      <c r="I129" s="49"/>
      <c r="J129" s="49"/>
      <c r="K129" s="49"/>
      <c r="L129" s="60"/>
      <c r="M129" s="60"/>
      <c r="N129" s="49"/>
      <c r="O129" s="49"/>
      <c r="P129" s="60"/>
      <c r="Q129" s="60"/>
      <c r="R129" s="16"/>
      <c r="S129" s="16"/>
      <c r="T129" s="60"/>
      <c r="U129" s="60"/>
      <c r="V129" s="53"/>
      <c r="W129" s="53"/>
      <c r="X129" s="64"/>
      <c r="Y129" s="64"/>
      <c r="Z129" s="64"/>
      <c r="AA129" s="64"/>
      <c r="AC129" s="60"/>
      <c r="AD129" s="60"/>
      <c r="AE129" s="60"/>
      <c r="AF129" s="60"/>
      <c r="AG129" s="60"/>
      <c r="AL129" s="64"/>
      <c r="AM129" s="64"/>
      <c r="AO129" s="64"/>
    </row>
    <row r="130" spans="4:42" x14ac:dyDescent="0.3">
      <c r="D130" s="49"/>
      <c r="E130" s="49"/>
      <c r="F130" s="49"/>
      <c r="G130" s="49"/>
      <c r="H130" s="49"/>
      <c r="I130" s="49"/>
      <c r="J130" s="49"/>
      <c r="M130" s="49"/>
      <c r="N130" s="49"/>
      <c r="O130" s="49"/>
      <c r="P130" s="53"/>
      <c r="Q130" s="53"/>
      <c r="R130" s="16"/>
      <c r="S130" s="16"/>
      <c r="T130" s="53"/>
      <c r="U130" s="53"/>
      <c r="V130" s="53"/>
      <c r="W130" s="53"/>
      <c r="X130" s="16"/>
      <c r="Y130" s="16"/>
      <c r="AC130" s="53"/>
      <c r="AD130" s="53"/>
      <c r="AE130" s="53"/>
      <c r="AF130" s="53"/>
      <c r="AG130" s="53"/>
      <c r="AL130" s="7"/>
      <c r="AM130" s="53"/>
      <c r="AN130" s="49"/>
      <c r="AO130" s="53"/>
      <c r="AP130" s="65"/>
    </row>
    <row r="131" spans="4:42" x14ac:dyDescent="0.3">
      <c r="D131" s="49"/>
      <c r="E131" s="49"/>
      <c r="F131" s="49"/>
      <c r="G131" s="49"/>
      <c r="H131" s="49"/>
      <c r="I131" s="49"/>
      <c r="J131" s="49"/>
      <c r="M131" s="49"/>
      <c r="N131" s="49"/>
      <c r="O131" s="49"/>
      <c r="P131" s="53"/>
      <c r="Q131" s="53"/>
      <c r="R131" s="16"/>
      <c r="S131" s="16"/>
      <c r="T131" s="53"/>
      <c r="U131" s="53"/>
      <c r="V131" s="53"/>
      <c r="W131" s="53"/>
      <c r="X131" s="16"/>
      <c r="Y131" s="16"/>
      <c r="AC131" s="53"/>
      <c r="AD131" s="53"/>
      <c r="AE131" s="53"/>
      <c r="AF131" s="53"/>
      <c r="AG131" s="53"/>
      <c r="AM131" s="53"/>
      <c r="AN131" s="49"/>
      <c r="AO131" s="53"/>
      <c r="AP131" s="65"/>
    </row>
    <row r="132" spans="4:42" x14ac:dyDescent="0.3">
      <c r="D132" s="49"/>
      <c r="E132" s="49"/>
      <c r="F132" s="49"/>
      <c r="G132" s="49"/>
      <c r="H132" s="49"/>
      <c r="I132" s="49"/>
      <c r="J132" s="49"/>
      <c r="K132" s="49"/>
      <c r="L132" s="49"/>
      <c r="M132" s="49"/>
      <c r="N132" s="49"/>
      <c r="O132" s="49"/>
      <c r="P132" s="53"/>
      <c r="Q132" s="53"/>
      <c r="R132" s="16"/>
      <c r="S132" s="16"/>
      <c r="T132" s="53"/>
      <c r="U132" s="53"/>
      <c r="V132" s="53"/>
      <c r="W132" s="53"/>
      <c r="X132" s="16"/>
      <c r="Y132" s="16"/>
      <c r="AC132" s="49"/>
      <c r="AD132" s="49"/>
      <c r="AE132" s="49"/>
      <c r="AF132" s="49"/>
      <c r="AG132" s="49"/>
    </row>
    <row r="133" spans="4:42" x14ac:dyDescent="0.3">
      <c r="D133" s="49"/>
      <c r="E133" s="49"/>
      <c r="F133" s="49"/>
      <c r="G133" s="49"/>
      <c r="H133" s="49"/>
      <c r="I133" s="49"/>
      <c r="J133" s="49"/>
      <c r="K133" s="49"/>
      <c r="L133" s="49"/>
      <c r="M133" s="49"/>
      <c r="N133" s="49"/>
      <c r="O133" s="49"/>
      <c r="P133" s="53"/>
      <c r="Q133" s="53"/>
      <c r="R133" s="16"/>
      <c r="V133" s="53"/>
      <c r="W133" s="53"/>
      <c r="X133" s="16"/>
      <c r="Y133" s="16"/>
      <c r="AC133" s="49"/>
      <c r="AD133" s="49"/>
      <c r="AE133" s="49"/>
      <c r="AF133" s="49"/>
      <c r="AG133" s="49"/>
    </row>
    <row r="134" spans="4:42" x14ac:dyDescent="0.3">
      <c r="D134" s="49"/>
      <c r="E134" s="49"/>
      <c r="F134" s="49"/>
      <c r="G134" s="49"/>
      <c r="H134" s="49"/>
      <c r="I134" s="49"/>
      <c r="J134" s="49"/>
      <c r="K134" s="49"/>
      <c r="L134" s="49"/>
      <c r="M134" s="49"/>
      <c r="N134" s="49"/>
      <c r="O134" s="49"/>
      <c r="P134" s="53"/>
      <c r="Q134" s="53"/>
      <c r="R134" s="16"/>
      <c r="W134" s="53"/>
      <c r="X134" s="16"/>
      <c r="Y134" s="16"/>
      <c r="AC134" s="49"/>
      <c r="AD134" s="49"/>
      <c r="AE134" s="49"/>
      <c r="AF134" s="49"/>
      <c r="AG134" s="49"/>
      <c r="AL134" s="7"/>
    </row>
    <row r="135" spans="4:42" x14ac:dyDescent="0.3">
      <c r="D135" s="49"/>
      <c r="E135" s="49"/>
      <c r="F135" s="49"/>
      <c r="G135" s="49"/>
      <c r="H135" s="49"/>
      <c r="I135" s="49"/>
      <c r="J135" s="49"/>
      <c r="K135" s="49"/>
      <c r="L135" s="49"/>
      <c r="M135" s="49"/>
      <c r="N135" s="49"/>
      <c r="O135" s="49"/>
      <c r="P135" s="49"/>
      <c r="Q135" s="49"/>
      <c r="V135" s="49"/>
      <c r="W135" s="49"/>
      <c r="AC135" s="49"/>
      <c r="AD135" s="49"/>
      <c r="AE135" s="49"/>
      <c r="AF135" s="49"/>
      <c r="AG135" s="49"/>
      <c r="AL135" s="7"/>
    </row>
    <row r="136" spans="4:42" x14ac:dyDescent="0.3">
      <c r="D136" s="49"/>
      <c r="E136" s="49"/>
      <c r="F136" s="49"/>
      <c r="G136" s="49"/>
      <c r="H136" s="49"/>
      <c r="I136" s="49"/>
      <c r="J136" s="49"/>
      <c r="K136" s="49"/>
      <c r="L136" s="49"/>
      <c r="M136" s="49"/>
      <c r="N136" s="49"/>
      <c r="O136" s="49"/>
      <c r="P136" s="49"/>
      <c r="Q136" s="49"/>
      <c r="V136" s="49"/>
      <c r="W136" s="49"/>
      <c r="AC136" s="49"/>
      <c r="AD136" s="49"/>
      <c r="AE136" s="49"/>
      <c r="AF136" s="49"/>
      <c r="AG136" s="49"/>
      <c r="AL136" s="7"/>
    </row>
    <row r="137" spans="4:42" x14ac:dyDescent="0.3">
      <c r="D137" s="49"/>
      <c r="E137" s="49"/>
      <c r="F137" s="49"/>
      <c r="G137" s="49"/>
      <c r="H137" s="49"/>
      <c r="I137" s="49"/>
      <c r="J137" s="49"/>
      <c r="K137" s="49"/>
      <c r="L137" s="49"/>
      <c r="M137" s="49"/>
      <c r="N137" s="49"/>
      <c r="O137" s="49"/>
      <c r="P137" s="49"/>
      <c r="Q137" s="49"/>
      <c r="V137" s="49"/>
      <c r="W137" s="49"/>
      <c r="AC137" s="49"/>
      <c r="AD137" s="49"/>
      <c r="AE137" s="49"/>
      <c r="AF137" s="49"/>
      <c r="AG137" s="49"/>
    </row>
    <row r="138" spans="4:42" x14ac:dyDescent="0.3">
      <c r="V138" s="49"/>
      <c r="W138" s="49"/>
    </row>
    <row r="139" spans="4:42" x14ac:dyDescent="0.3">
      <c r="P139" s="7"/>
      <c r="V139" s="49"/>
      <c r="W139" s="49"/>
    </row>
    <row r="141" spans="4:42" x14ac:dyDescent="0.3">
      <c r="P141" s="7"/>
    </row>
    <row r="143" spans="4:42" x14ac:dyDescent="0.3">
      <c r="AM143" s="45"/>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1E56-E504-4AD5-A669-2B1ED2A8AD5B}">
  <dimension ref="B2:E89"/>
  <sheetViews>
    <sheetView topLeftCell="A68" workbookViewId="0">
      <selection activeCell="H76" sqref="H76"/>
    </sheetView>
  </sheetViews>
  <sheetFormatPr defaultRowHeight="15.6" x14ac:dyDescent="0.3"/>
  <cols>
    <col min="1" max="1" width="8.88671875" style="1"/>
    <col min="2" max="2" width="26.21875" style="1" bestFit="1" customWidth="1"/>
    <col min="3" max="3" width="16.33203125" style="1" bestFit="1" customWidth="1"/>
    <col min="4" max="4" width="22.88671875" style="1" bestFit="1" customWidth="1"/>
    <col min="5" max="5" width="16.33203125" style="1" bestFit="1" customWidth="1"/>
    <col min="6" max="16384" width="8.88671875" style="1"/>
  </cols>
  <sheetData>
    <row r="2" spans="2:5" x14ac:dyDescent="0.3">
      <c r="B2" s="78" t="s">
        <v>4</v>
      </c>
      <c r="C2" s="78" t="s">
        <v>311</v>
      </c>
      <c r="D2" s="78" t="s">
        <v>310</v>
      </c>
      <c r="E2" s="78" t="s">
        <v>309</v>
      </c>
    </row>
    <row r="3" spans="2:5" x14ac:dyDescent="0.3">
      <c r="B3" s="1" t="s">
        <v>26</v>
      </c>
      <c r="C3" s="77">
        <v>34587.839374099938</v>
      </c>
      <c r="D3" s="77">
        <v>0</v>
      </c>
      <c r="E3" s="10">
        <f t="shared" ref="E3:E34" si="0">SUM(C3:D3)</f>
        <v>34587.839374099938</v>
      </c>
    </row>
    <row r="4" spans="2:5" x14ac:dyDescent="0.3">
      <c r="B4" s="1" t="s">
        <v>27</v>
      </c>
      <c r="C4" s="77">
        <v>1158692.6985285736</v>
      </c>
      <c r="D4" s="77">
        <v>270867.8828767516</v>
      </c>
      <c r="E4" s="10">
        <f t="shared" si="0"/>
        <v>1429560.5814053253</v>
      </c>
    </row>
    <row r="5" spans="2:5" x14ac:dyDescent="0.3">
      <c r="B5" s="1" t="s">
        <v>28</v>
      </c>
      <c r="C5" s="77">
        <v>60930.908377589607</v>
      </c>
      <c r="D5" s="77">
        <v>0</v>
      </c>
      <c r="E5" s="10">
        <f t="shared" si="0"/>
        <v>60930.908377589607</v>
      </c>
    </row>
    <row r="6" spans="2:5" x14ac:dyDescent="0.3">
      <c r="B6" s="1" t="s">
        <v>29</v>
      </c>
      <c r="C6" s="77">
        <v>128095.66505546957</v>
      </c>
      <c r="D6" s="77">
        <v>36434.38547464674</v>
      </c>
      <c r="E6" s="10">
        <f t="shared" si="0"/>
        <v>164530.05053011631</v>
      </c>
    </row>
    <row r="7" spans="2:5" x14ac:dyDescent="0.3">
      <c r="B7" s="1" t="s">
        <v>30</v>
      </c>
      <c r="C7" s="77">
        <v>19304.848984299508</v>
      </c>
      <c r="D7" s="77">
        <v>0</v>
      </c>
      <c r="E7" s="10">
        <f t="shared" si="0"/>
        <v>19304.848984299508</v>
      </c>
    </row>
    <row r="8" spans="2:5" x14ac:dyDescent="0.3">
      <c r="B8" s="1" t="s">
        <v>31</v>
      </c>
      <c r="C8" s="77">
        <v>190132.58273981401</v>
      </c>
      <c r="D8" s="77">
        <v>0</v>
      </c>
      <c r="E8" s="10">
        <f t="shared" si="0"/>
        <v>190132.58273981401</v>
      </c>
    </row>
    <row r="9" spans="2:5" x14ac:dyDescent="0.3">
      <c r="B9" s="1" t="s">
        <v>32</v>
      </c>
      <c r="C9" s="77">
        <v>81140.670125454199</v>
      </c>
      <c r="D9" s="77">
        <v>0</v>
      </c>
      <c r="E9" s="10">
        <f t="shared" si="0"/>
        <v>81140.670125454199</v>
      </c>
    </row>
    <row r="10" spans="2:5" x14ac:dyDescent="0.3">
      <c r="B10" s="1" t="s">
        <v>33</v>
      </c>
      <c r="C10" s="77">
        <v>22622.86245070483</v>
      </c>
      <c r="D10" s="77">
        <v>0</v>
      </c>
      <c r="E10" s="10">
        <f t="shared" si="0"/>
        <v>22622.86245070483</v>
      </c>
    </row>
    <row r="11" spans="2:5" x14ac:dyDescent="0.3">
      <c r="B11" s="1" t="s">
        <v>34</v>
      </c>
      <c r="C11" s="77">
        <v>583468.73444959195</v>
      </c>
      <c r="D11" s="77">
        <v>140036.3505989784</v>
      </c>
      <c r="E11" s="10">
        <f t="shared" si="0"/>
        <v>723505.0850485703</v>
      </c>
    </row>
    <row r="12" spans="2:5" x14ac:dyDescent="0.3">
      <c r="B12" s="1" t="s">
        <v>35</v>
      </c>
      <c r="C12" s="77">
        <v>137647.54127602442</v>
      </c>
      <c r="D12" s="77">
        <v>0</v>
      </c>
      <c r="E12" s="10">
        <f t="shared" si="0"/>
        <v>137647.54127602442</v>
      </c>
    </row>
    <row r="13" spans="2:5" x14ac:dyDescent="0.3">
      <c r="B13" s="1" t="s">
        <v>36</v>
      </c>
      <c r="C13" s="77">
        <v>159566.58750635394</v>
      </c>
      <c r="D13" s="77">
        <v>0</v>
      </c>
      <c r="E13" s="10">
        <f t="shared" si="0"/>
        <v>159566.58750635394</v>
      </c>
    </row>
    <row r="14" spans="2:5" x14ac:dyDescent="0.3">
      <c r="B14" s="1" t="s">
        <v>37</v>
      </c>
      <c r="C14" s="77">
        <v>14453.859210073762</v>
      </c>
      <c r="D14" s="77">
        <v>0</v>
      </c>
      <c r="E14" s="10">
        <f t="shared" si="0"/>
        <v>14453.859210073762</v>
      </c>
    </row>
    <row r="15" spans="2:5" x14ac:dyDescent="0.3">
      <c r="B15" s="1" t="s">
        <v>38</v>
      </c>
      <c r="C15" s="77">
        <v>64751.655975039714</v>
      </c>
      <c r="D15" s="77">
        <v>14024.254823279145</v>
      </c>
      <c r="E15" s="10">
        <f t="shared" si="0"/>
        <v>78775.910798318859</v>
      </c>
    </row>
    <row r="16" spans="2:5" x14ac:dyDescent="0.3">
      <c r="B16" s="1" t="s">
        <v>39</v>
      </c>
      <c r="C16" s="77">
        <v>25136.518652069546</v>
      </c>
      <c r="D16" s="77">
        <v>0</v>
      </c>
      <c r="E16" s="10">
        <f t="shared" si="0"/>
        <v>25136.518652069546</v>
      </c>
    </row>
    <row r="17" spans="2:5" x14ac:dyDescent="0.3">
      <c r="B17" s="1" t="s">
        <v>40</v>
      </c>
      <c r="C17" s="77">
        <v>224217.68798286916</v>
      </c>
      <c r="D17" s="77">
        <v>115750.73117535526</v>
      </c>
      <c r="E17" s="10">
        <f t="shared" si="0"/>
        <v>339968.41915822442</v>
      </c>
    </row>
    <row r="18" spans="2:5" x14ac:dyDescent="0.3">
      <c r="B18" s="1" t="s">
        <v>41</v>
      </c>
      <c r="C18" s="77">
        <v>14780.270712614858</v>
      </c>
      <c r="D18" s="77">
        <v>0</v>
      </c>
      <c r="E18" s="10">
        <f t="shared" si="0"/>
        <v>14780.270712614858</v>
      </c>
    </row>
    <row r="19" spans="2:5" x14ac:dyDescent="0.3">
      <c r="B19" s="1" t="s">
        <v>42</v>
      </c>
      <c r="C19" s="77">
        <v>30063.275556274501</v>
      </c>
      <c r="D19" s="77">
        <v>17449.258167276937</v>
      </c>
      <c r="E19" s="10">
        <f t="shared" si="0"/>
        <v>47512.533723551438</v>
      </c>
    </row>
    <row r="20" spans="2:5" x14ac:dyDescent="0.3">
      <c r="B20" s="1" t="s">
        <v>43</v>
      </c>
      <c r="C20" s="77">
        <v>14453.859210073762</v>
      </c>
      <c r="D20" s="77">
        <v>8111.4510360284175</v>
      </c>
      <c r="E20" s="10">
        <f t="shared" si="0"/>
        <v>22565.310246102181</v>
      </c>
    </row>
    <row r="21" spans="2:5" x14ac:dyDescent="0.3">
      <c r="B21" s="1" t="s">
        <v>44</v>
      </c>
      <c r="C21" s="77">
        <v>32979.11039015952</v>
      </c>
      <c r="D21" s="77">
        <v>0</v>
      </c>
      <c r="E21" s="10">
        <f t="shared" si="0"/>
        <v>32979.11039015952</v>
      </c>
    </row>
    <row r="22" spans="2:5" x14ac:dyDescent="0.3">
      <c r="B22" s="1" t="s">
        <v>45</v>
      </c>
      <c r="C22" s="77">
        <v>67466.394265734983</v>
      </c>
      <c r="D22" s="77">
        <v>0</v>
      </c>
      <c r="E22" s="10">
        <f t="shared" si="0"/>
        <v>67466.394265734983</v>
      </c>
    </row>
    <row r="23" spans="2:5" x14ac:dyDescent="0.3">
      <c r="B23" s="1" t="s">
        <v>46</v>
      </c>
      <c r="C23" s="77">
        <v>105372.26156009946</v>
      </c>
      <c r="D23" s="77">
        <v>0</v>
      </c>
      <c r="E23" s="10">
        <f t="shared" si="0"/>
        <v>105372.26156009946</v>
      </c>
    </row>
    <row r="24" spans="2:5" x14ac:dyDescent="0.3">
      <c r="B24" s="1" t="s">
        <v>47</v>
      </c>
      <c r="C24" s="77">
        <v>161979.68820919417</v>
      </c>
      <c r="D24" s="77">
        <v>62032.782060602796</v>
      </c>
      <c r="E24" s="10">
        <f t="shared" si="0"/>
        <v>224012.47026979696</v>
      </c>
    </row>
    <row r="25" spans="2:5" x14ac:dyDescent="0.3">
      <c r="B25" s="1" t="s">
        <v>48</v>
      </c>
      <c r="C25" s="77">
        <v>650331.8679934761</v>
      </c>
      <c r="D25" s="77">
        <v>124938.00537015412</v>
      </c>
      <c r="E25" s="10">
        <f t="shared" si="0"/>
        <v>775269.87336363026</v>
      </c>
    </row>
    <row r="26" spans="2:5" x14ac:dyDescent="0.3">
      <c r="B26" s="1" t="s">
        <v>49</v>
      </c>
      <c r="C26" s="77">
        <v>16891.733827600063</v>
      </c>
      <c r="D26" s="77">
        <v>0</v>
      </c>
      <c r="E26" s="10">
        <f t="shared" si="0"/>
        <v>16891.733827600063</v>
      </c>
    </row>
    <row r="27" spans="2:5" x14ac:dyDescent="0.3">
      <c r="B27" s="1" t="s">
        <v>50</v>
      </c>
      <c r="C27" s="77">
        <v>206219.94484851425</v>
      </c>
      <c r="D27" s="77">
        <v>58670.157832716519</v>
      </c>
      <c r="E27" s="10">
        <f t="shared" si="0"/>
        <v>264890.10268123075</v>
      </c>
    </row>
    <row r="28" spans="2:5" x14ac:dyDescent="0.3">
      <c r="B28" s="1" t="s">
        <v>51</v>
      </c>
      <c r="C28" s="77">
        <v>135536.07816103924</v>
      </c>
      <c r="D28" s="77">
        <v>0</v>
      </c>
      <c r="E28" s="10">
        <f t="shared" si="0"/>
        <v>135536.07816103924</v>
      </c>
    </row>
    <row r="29" spans="2:5" x14ac:dyDescent="0.3">
      <c r="B29" s="1" t="s">
        <v>52</v>
      </c>
      <c r="C29" s="77">
        <v>14453.859210073762</v>
      </c>
      <c r="D29" s="77">
        <v>0</v>
      </c>
      <c r="E29" s="10">
        <f t="shared" si="0"/>
        <v>14453.859210073762</v>
      </c>
    </row>
    <row r="30" spans="2:5" x14ac:dyDescent="0.3">
      <c r="B30" s="1" t="s">
        <v>53</v>
      </c>
      <c r="C30" s="77">
        <v>51680.669744889761</v>
      </c>
      <c r="D30" s="77">
        <v>0</v>
      </c>
      <c r="E30" s="10">
        <f t="shared" si="0"/>
        <v>51680.669744889761</v>
      </c>
    </row>
    <row r="31" spans="2:5" x14ac:dyDescent="0.3">
      <c r="B31" s="1" t="s">
        <v>54</v>
      </c>
      <c r="C31" s="77">
        <v>14453.859210073762</v>
      </c>
      <c r="D31" s="77">
        <v>0</v>
      </c>
      <c r="E31" s="10">
        <f t="shared" si="0"/>
        <v>14453.859210073762</v>
      </c>
    </row>
    <row r="32" spans="2:5" x14ac:dyDescent="0.3">
      <c r="B32" s="1" t="s">
        <v>55</v>
      </c>
      <c r="C32" s="77">
        <v>20611.940380384898</v>
      </c>
      <c r="D32" s="77">
        <v>0</v>
      </c>
      <c r="E32" s="10">
        <f t="shared" si="0"/>
        <v>20611.940380384898</v>
      </c>
    </row>
    <row r="33" spans="2:5" x14ac:dyDescent="0.3">
      <c r="B33" s="1" t="s">
        <v>56</v>
      </c>
      <c r="C33" s="77">
        <v>17997.743134354907</v>
      </c>
      <c r="D33" s="77">
        <v>0</v>
      </c>
      <c r="E33" s="10">
        <f t="shared" si="0"/>
        <v>17997.743134354907</v>
      </c>
    </row>
    <row r="34" spans="2:5" x14ac:dyDescent="0.3">
      <c r="B34" s="1" t="s">
        <v>57</v>
      </c>
      <c r="C34" s="77">
        <v>68672.959071014309</v>
      </c>
      <c r="D34" s="77">
        <v>0</v>
      </c>
      <c r="E34" s="10">
        <f t="shared" si="0"/>
        <v>68672.959071014309</v>
      </c>
    </row>
    <row r="35" spans="2:5" x14ac:dyDescent="0.3">
      <c r="B35" s="1" t="s">
        <v>58</v>
      </c>
      <c r="C35" s="77">
        <v>19003.196942585269</v>
      </c>
      <c r="D35" s="77">
        <v>0</v>
      </c>
      <c r="E35" s="10">
        <f t="shared" ref="E35:E66" si="1">SUM(C35:D35)</f>
        <v>19003.196942585269</v>
      </c>
    </row>
    <row r="36" spans="2:5" x14ac:dyDescent="0.3">
      <c r="B36" s="1" t="s">
        <v>59</v>
      </c>
      <c r="C36" s="77">
        <v>14453.859210073762</v>
      </c>
      <c r="D36" s="77">
        <v>0</v>
      </c>
      <c r="E36" s="10">
        <f t="shared" si="1"/>
        <v>14453.859210073762</v>
      </c>
    </row>
    <row r="37" spans="2:5" x14ac:dyDescent="0.3">
      <c r="B37" s="1" t="s">
        <v>60</v>
      </c>
      <c r="C37" s="77">
        <v>140060.65643272386</v>
      </c>
      <c r="D37" s="77">
        <v>0</v>
      </c>
      <c r="E37" s="10">
        <f t="shared" si="1"/>
        <v>140060.65643272386</v>
      </c>
    </row>
    <row r="38" spans="2:5" x14ac:dyDescent="0.3">
      <c r="B38" s="1" t="s">
        <v>61</v>
      </c>
      <c r="C38" s="77">
        <v>227837.35349098872</v>
      </c>
      <c r="D38" s="77">
        <v>0</v>
      </c>
      <c r="E38" s="10">
        <f t="shared" si="1"/>
        <v>227837.35349098872</v>
      </c>
    </row>
    <row r="39" spans="2:5" x14ac:dyDescent="0.3">
      <c r="B39" s="1" t="s">
        <v>62</v>
      </c>
      <c r="C39" s="77">
        <v>99440.050847664126</v>
      </c>
      <c r="D39" s="77">
        <v>0</v>
      </c>
      <c r="E39" s="10">
        <f t="shared" si="1"/>
        <v>99440.050847664126</v>
      </c>
    </row>
    <row r="40" spans="2:5" x14ac:dyDescent="0.3">
      <c r="B40" s="1" t="s">
        <v>63</v>
      </c>
      <c r="C40" s="77">
        <v>60629.270789734575</v>
      </c>
      <c r="D40" s="77">
        <v>0</v>
      </c>
      <c r="E40" s="10">
        <f t="shared" si="1"/>
        <v>60629.270789734575</v>
      </c>
    </row>
    <row r="41" spans="2:5" x14ac:dyDescent="0.3">
      <c r="B41" s="1" t="s">
        <v>64</v>
      </c>
      <c r="C41" s="77">
        <v>211850.53242695375</v>
      </c>
      <c r="D41" s="77">
        <v>81126.856227014578</v>
      </c>
      <c r="E41" s="10">
        <f t="shared" si="1"/>
        <v>292977.38865396834</v>
      </c>
    </row>
    <row r="42" spans="2:5" x14ac:dyDescent="0.3">
      <c r="B42" s="1" t="s">
        <v>65</v>
      </c>
      <c r="C42" s="77">
        <v>329992.14262934815</v>
      </c>
      <c r="D42" s="77">
        <v>0</v>
      </c>
      <c r="E42" s="10">
        <f t="shared" si="1"/>
        <v>329992.14262934815</v>
      </c>
    </row>
    <row r="43" spans="2:5" x14ac:dyDescent="0.3">
      <c r="B43" s="1" t="s">
        <v>66</v>
      </c>
      <c r="C43" s="77">
        <v>64550.559431849957</v>
      </c>
      <c r="D43" s="77">
        <v>0</v>
      </c>
      <c r="E43" s="10">
        <f t="shared" si="1"/>
        <v>64550.559431849957</v>
      </c>
    </row>
    <row r="44" spans="2:5" x14ac:dyDescent="0.3">
      <c r="B44" s="1" t="s">
        <v>67</v>
      </c>
      <c r="C44" s="77">
        <v>18098.284179020178</v>
      </c>
      <c r="D44" s="77">
        <v>0</v>
      </c>
      <c r="E44" s="10">
        <f t="shared" si="1"/>
        <v>18098.284179020178</v>
      </c>
    </row>
    <row r="45" spans="2:5" x14ac:dyDescent="0.3">
      <c r="B45" s="1" t="s">
        <v>68</v>
      </c>
      <c r="C45" s="77">
        <v>93608.381179894088</v>
      </c>
      <c r="D45" s="77">
        <v>23966.576236011122</v>
      </c>
      <c r="E45" s="10">
        <f t="shared" si="1"/>
        <v>117574.95741590521</v>
      </c>
    </row>
    <row r="46" spans="2:5" x14ac:dyDescent="0.3">
      <c r="B46" s="1" t="s">
        <v>69</v>
      </c>
      <c r="C46" s="77">
        <v>17394.467958644847</v>
      </c>
      <c r="D46" s="77">
        <v>0</v>
      </c>
      <c r="E46" s="10">
        <f t="shared" si="1"/>
        <v>17394.467958644847</v>
      </c>
    </row>
    <row r="47" spans="2:5" x14ac:dyDescent="0.3">
      <c r="B47" s="1" t="s">
        <v>70</v>
      </c>
      <c r="C47" s="77">
        <v>83151.577741914924</v>
      </c>
      <c r="D47" s="77">
        <v>0</v>
      </c>
      <c r="E47" s="10">
        <f t="shared" si="1"/>
        <v>83151.577741914924</v>
      </c>
    </row>
    <row r="48" spans="2:5" x14ac:dyDescent="0.3">
      <c r="B48" s="1" t="s">
        <v>71</v>
      </c>
      <c r="C48" s="77">
        <v>507455.91777153249</v>
      </c>
      <c r="D48" s="77">
        <v>0</v>
      </c>
      <c r="E48" s="10">
        <f t="shared" si="1"/>
        <v>507455.91777153249</v>
      </c>
    </row>
    <row r="49" spans="2:5" x14ac:dyDescent="0.3">
      <c r="B49" s="1" t="s">
        <v>72</v>
      </c>
      <c r="C49" s="77">
        <v>14453.859210073762</v>
      </c>
      <c r="D49" s="77">
        <v>0</v>
      </c>
      <c r="E49" s="10">
        <f t="shared" si="1"/>
        <v>14453.859210073762</v>
      </c>
    </row>
    <row r="50" spans="2:5" x14ac:dyDescent="0.3">
      <c r="B50" s="1" t="s">
        <v>73</v>
      </c>
      <c r="C50" s="77">
        <v>169520.6423594291</v>
      </c>
      <c r="D50" s="77">
        <v>67783.356827132957</v>
      </c>
      <c r="E50" s="10">
        <f t="shared" si="1"/>
        <v>237303.99918656205</v>
      </c>
    </row>
    <row r="51" spans="2:5" x14ac:dyDescent="0.3">
      <c r="B51" s="1" t="s">
        <v>74</v>
      </c>
      <c r="C51" s="77">
        <v>58115.614588369855</v>
      </c>
      <c r="D51" s="77">
        <v>0</v>
      </c>
      <c r="E51" s="10">
        <f t="shared" si="1"/>
        <v>58115.614588369855</v>
      </c>
    </row>
    <row r="52" spans="2:5" x14ac:dyDescent="0.3">
      <c r="B52" s="1" t="s">
        <v>75</v>
      </c>
      <c r="C52" s="77">
        <v>23226.137626414889</v>
      </c>
      <c r="D52" s="77">
        <v>0</v>
      </c>
      <c r="E52" s="10">
        <f t="shared" si="1"/>
        <v>23226.137626414889</v>
      </c>
    </row>
    <row r="53" spans="2:5" x14ac:dyDescent="0.3">
      <c r="B53" s="1" t="s">
        <v>76</v>
      </c>
      <c r="C53" s="77">
        <v>2327238.9108655574</v>
      </c>
      <c r="D53" s="77">
        <v>347373.05306353187</v>
      </c>
      <c r="E53" s="10">
        <f t="shared" si="1"/>
        <v>2674611.9639290893</v>
      </c>
    </row>
    <row r="54" spans="2:5" x14ac:dyDescent="0.3">
      <c r="B54" s="1" t="s">
        <v>77</v>
      </c>
      <c r="C54" s="77">
        <v>28454.532118474872</v>
      </c>
      <c r="D54" s="77">
        <v>0</v>
      </c>
      <c r="E54" s="10">
        <f t="shared" si="1"/>
        <v>28454.532118474872</v>
      </c>
    </row>
    <row r="55" spans="2:5" x14ac:dyDescent="0.3">
      <c r="B55" s="1" t="s">
        <v>78</v>
      </c>
      <c r="C55" s="77">
        <v>14453.859210073762</v>
      </c>
      <c r="D55" s="77">
        <v>0</v>
      </c>
      <c r="E55" s="10">
        <f t="shared" si="1"/>
        <v>14453.859210073762</v>
      </c>
    </row>
    <row r="56" spans="2:5" x14ac:dyDescent="0.3">
      <c r="B56" s="1" t="s">
        <v>79</v>
      </c>
      <c r="C56" s="77">
        <v>99138.413259809109</v>
      </c>
      <c r="D56" s="77">
        <v>0</v>
      </c>
      <c r="E56" s="10">
        <f t="shared" si="1"/>
        <v>99138.413259809109</v>
      </c>
    </row>
    <row r="57" spans="2:5" x14ac:dyDescent="0.3">
      <c r="B57" s="1" t="s">
        <v>80</v>
      </c>
      <c r="C57" s="77">
        <v>14453.859210073762</v>
      </c>
      <c r="D57" s="77">
        <v>0</v>
      </c>
      <c r="E57" s="10">
        <f t="shared" si="1"/>
        <v>14453.859210073762</v>
      </c>
    </row>
    <row r="58" spans="2:5" x14ac:dyDescent="0.3">
      <c r="B58" s="1" t="s">
        <v>81</v>
      </c>
      <c r="C58" s="77">
        <v>42732.06870004494</v>
      </c>
      <c r="D58" s="77">
        <v>0</v>
      </c>
      <c r="E58" s="10">
        <f t="shared" si="1"/>
        <v>42732.06870004494</v>
      </c>
    </row>
    <row r="59" spans="2:5" x14ac:dyDescent="0.3">
      <c r="B59" s="1" t="s">
        <v>82</v>
      </c>
      <c r="C59" s="77">
        <v>14453.859210073762</v>
      </c>
      <c r="D59" s="77">
        <v>0</v>
      </c>
      <c r="E59" s="10">
        <f t="shared" si="1"/>
        <v>14453.859210073762</v>
      </c>
    </row>
    <row r="60" spans="2:5" x14ac:dyDescent="0.3">
      <c r="B60" s="1" t="s">
        <v>83</v>
      </c>
      <c r="C60" s="77">
        <v>16690.651738269516</v>
      </c>
      <c r="D60" s="77">
        <v>0</v>
      </c>
      <c r="E60" s="10">
        <f t="shared" si="1"/>
        <v>16690.651738269516</v>
      </c>
    </row>
    <row r="61" spans="2:5" x14ac:dyDescent="0.3">
      <c r="B61" s="1" t="s">
        <v>84</v>
      </c>
      <c r="C61" s="77">
        <v>14981.367255804615</v>
      </c>
      <c r="D61" s="77">
        <v>8890.1070166565132</v>
      </c>
      <c r="E61" s="10">
        <f t="shared" si="1"/>
        <v>23871.474272461128</v>
      </c>
    </row>
    <row r="62" spans="2:5" x14ac:dyDescent="0.3">
      <c r="B62" s="1" t="s">
        <v>85</v>
      </c>
      <c r="C62" s="77">
        <v>14453.859210073762</v>
      </c>
      <c r="D62" s="77">
        <v>0</v>
      </c>
      <c r="E62" s="10">
        <f t="shared" si="1"/>
        <v>14453.859210073762</v>
      </c>
    </row>
    <row r="63" spans="2:5" x14ac:dyDescent="0.3">
      <c r="B63" s="1" t="s">
        <v>86</v>
      </c>
      <c r="C63" s="77">
        <v>33783.467655200126</v>
      </c>
      <c r="D63" s="77">
        <v>0</v>
      </c>
      <c r="E63" s="10">
        <f t="shared" si="1"/>
        <v>33783.467655200126</v>
      </c>
    </row>
    <row r="64" spans="2:5" x14ac:dyDescent="0.3">
      <c r="B64" s="1" t="s">
        <v>87</v>
      </c>
      <c r="C64" s="77">
        <v>14453.859210073762</v>
      </c>
      <c r="D64" s="77">
        <v>0</v>
      </c>
      <c r="E64" s="10">
        <f t="shared" si="1"/>
        <v>14453.859210073762</v>
      </c>
    </row>
    <row r="65" spans="2:5" x14ac:dyDescent="0.3">
      <c r="B65" s="1" t="s">
        <v>88</v>
      </c>
      <c r="C65" s="77">
        <v>165599.35371731373</v>
      </c>
      <c r="D65" s="77">
        <v>0</v>
      </c>
      <c r="E65" s="10">
        <f t="shared" si="1"/>
        <v>165599.35371731373</v>
      </c>
    </row>
    <row r="66" spans="2:5" x14ac:dyDescent="0.3">
      <c r="B66" s="1" t="s">
        <v>89</v>
      </c>
      <c r="C66" s="77">
        <v>31672.004540214919</v>
      </c>
      <c r="D66" s="77">
        <v>0</v>
      </c>
      <c r="E66" s="10">
        <f t="shared" si="1"/>
        <v>31672.004540214919</v>
      </c>
    </row>
    <row r="67" spans="2:5" x14ac:dyDescent="0.3">
      <c r="B67" s="1" t="s">
        <v>90</v>
      </c>
      <c r="C67" s="77">
        <v>324462.1105494331</v>
      </c>
      <c r="D67" s="77">
        <v>76817.9321439505</v>
      </c>
      <c r="E67" s="10">
        <f t="shared" ref="E67:E84" si="2">SUM(C67:D67)</f>
        <v>401280.04269338358</v>
      </c>
    </row>
    <row r="68" spans="2:5" x14ac:dyDescent="0.3">
      <c r="B68" s="1" t="s">
        <v>91</v>
      </c>
      <c r="C68" s="77">
        <v>20511.399335719623</v>
      </c>
      <c r="D68" s="77">
        <v>0</v>
      </c>
      <c r="E68" s="10">
        <f t="shared" si="2"/>
        <v>20511.399335719623</v>
      </c>
    </row>
    <row r="69" spans="2:5" x14ac:dyDescent="0.3">
      <c r="B69" s="1" t="s">
        <v>92</v>
      </c>
      <c r="C69" s="77">
        <v>258503.9042229733</v>
      </c>
      <c r="D69" s="77">
        <v>98861.802082316121</v>
      </c>
      <c r="E69" s="10">
        <f t="shared" si="2"/>
        <v>357365.70630528941</v>
      </c>
    </row>
    <row r="70" spans="2:5" x14ac:dyDescent="0.3">
      <c r="B70" s="1" t="s">
        <v>308</v>
      </c>
      <c r="C70" s="77">
        <v>0</v>
      </c>
      <c r="D70" s="77">
        <v>173686.52653176594</v>
      </c>
      <c r="E70" s="167">
        <f t="shared" si="2"/>
        <v>173686.52653176594</v>
      </c>
    </row>
    <row r="71" spans="2:5" x14ac:dyDescent="0.3">
      <c r="B71" s="1" t="s">
        <v>307</v>
      </c>
      <c r="C71" s="77">
        <v>0</v>
      </c>
      <c r="D71" s="77">
        <v>135433.9414383758</v>
      </c>
      <c r="E71" s="167">
        <f t="shared" si="2"/>
        <v>135433.9414383758</v>
      </c>
    </row>
    <row r="72" spans="2:5" x14ac:dyDescent="0.3">
      <c r="B72" s="1" t="s">
        <v>306</v>
      </c>
      <c r="C72" s="77">
        <v>0</v>
      </c>
      <c r="D72" s="77">
        <v>68039.804304480291</v>
      </c>
      <c r="E72" s="167">
        <f t="shared" si="2"/>
        <v>68039.804304480291</v>
      </c>
    </row>
    <row r="73" spans="2:5" x14ac:dyDescent="0.3">
      <c r="B73" s="1" t="s">
        <v>305</v>
      </c>
      <c r="C73" s="77">
        <v>0</v>
      </c>
      <c r="D73" s="77">
        <v>62469.002685077059</v>
      </c>
      <c r="E73" s="167">
        <f t="shared" si="2"/>
        <v>62469.002685077059</v>
      </c>
    </row>
    <row r="74" spans="2:5" x14ac:dyDescent="0.3">
      <c r="B74" s="1" t="s">
        <v>304</v>
      </c>
      <c r="C74" s="77">
        <v>0</v>
      </c>
      <c r="D74" s="77">
        <v>46443.092995323772</v>
      </c>
      <c r="E74" s="167">
        <f t="shared" si="2"/>
        <v>46443.092995323772</v>
      </c>
    </row>
    <row r="75" spans="2:5" x14ac:dyDescent="0.3">
      <c r="B75" s="1" t="s">
        <v>303</v>
      </c>
      <c r="C75" s="77">
        <v>0</v>
      </c>
      <c r="D75" s="77">
        <v>40563.428113507289</v>
      </c>
      <c r="E75" s="167">
        <f t="shared" si="2"/>
        <v>40563.428113507289</v>
      </c>
    </row>
    <row r="76" spans="2:5" x14ac:dyDescent="0.3">
      <c r="B76" s="1" t="s">
        <v>302</v>
      </c>
      <c r="C76" s="77">
        <v>0</v>
      </c>
      <c r="D76" s="77">
        <v>38408.96607197525</v>
      </c>
      <c r="E76" s="167">
        <f t="shared" si="2"/>
        <v>38408.96607197525</v>
      </c>
    </row>
    <row r="77" spans="2:5" x14ac:dyDescent="0.3">
      <c r="B77" s="1" t="s">
        <v>301</v>
      </c>
      <c r="C77" s="77">
        <v>0</v>
      </c>
      <c r="D77" s="77">
        <v>13473.672485933772</v>
      </c>
      <c r="E77" s="167">
        <f t="shared" si="2"/>
        <v>13473.672485933772</v>
      </c>
    </row>
    <row r="78" spans="2:5" x14ac:dyDescent="0.3">
      <c r="B78" s="1" t="s">
        <v>300</v>
      </c>
      <c r="C78" s="77">
        <v>0</v>
      </c>
      <c r="D78" s="77">
        <v>8724.6290836384687</v>
      </c>
      <c r="E78" s="167">
        <f t="shared" si="2"/>
        <v>8724.6290836384687</v>
      </c>
    </row>
    <row r="79" spans="2:5" x14ac:dyDescent="0.3">
      <c r="B79" s="1" t="s">
        <v>299</v>
      </c>
      <c r="C79" s="77">
        <v>0</v>
      </c>
      <c r="D79" s="77">
        <v>7278.213328802748</v>
      </c>
      <c r="E79" s="167">
        <f t="shared" si="2"/>
        <v>7278.213328802748</v>
      </c>
    </row>
    <row r="80" spans="2:5" x14ac:dyDescent="0.3">
      <c r="B80" s="1" t="s">
        <v>298</v>
      </c>
      <c r="C80" s="77">
        <v>0</v>
      </c>
      <c r="D80" s="77">
        <v>7186.5940020139624</v>
      </c>
      <c r="E80" s="167">
        <f t="shared" si="2"/>
        <v>7186.5940020139624</v>
      </c>
    </row>
    <row r="81" spans="2:5" x14ac:dyDescent="0.3">
      <c r="B81" s="1" t="s">
        <v>297</v>
      </c>
      <c r="C81" s="77">
        <v>0</v>
      </c>
      <c r="D81" s="77">
        <v>5553.257492996865</v>
      </c>
      <c r="E81" s="167">
        <f t="shared" si="2"/>
        <v>5553.257492996865</v>
      </c>
    </row>
    <row r="82" spans="2:5" x14ac:dyDescent="0.3">
      <c r="B82" s="1" t="s">
        <v>296</v>
      </c>
      <c r="C82" s="77">
        <v>0</v>
      </c>
      <c r="D82" s="77">
        <v>4753.8653239364494</v>
      </c>
      <c r="E82" s="167">
        <f t="shared" si="2"/>
        <v>4753.8653239364494</v>
      </c>
    </row>
    <row r="83" spans="2:5" x14ac:dyDescent="0.3">
      <c r="B83" s="1" t="s">
        <v>295</v>
      </c>
      <c r="C83" s="77">
        <v>0</v>
      </c>
      <c r="D83" s="77">
        <v>1451.0488148843208</v>
      </c>
      <c r="E83" s="167">
        <f t="shared" si="2"/>
        <v>1451.0488148843208</v>
      </c>
    </row>
    <row r="84" spans="2:5" x14ac:dyDescent="0.3">
      <c r="B84" s="1" t="s">
        <v>294</v>
      </c>
      <c r="C84" s="76">
        <v>0</v>
      </c>
      <c r="D84" s="76">
        <v>1451.0488148843208</v>
      </c>
      <c r="E84" s="168">
        <f t="shared" si="2"/>
        <v>1451.0488148843208</v>
      </c>
    </row>
    <row r="85" spans="2:5" x14ac:dyDescent="0.3">
      <c r="C85" s="10">
        <f>SUM(C3:C84)</f>
        <v>10117576.161000004</v>
      </c>
      <c r="D85" s="10">
        <f>SUM(D3:D84)</f>
        <v>2168052.0345000005</v>
      </c>
      <c r="E85" s="10">
        <f>SUM(E3:E84)</f>
        <v>12285628.195500003</v>
      </c>
    </row>
    <row r="86" spans="2:5" x14ac:dyDescent="0.3">
      <c r="B86" s="1" t="s">
        <v>3</v>
      </c>
      <c r="E86" s="4">
        <v>2168052.0299999998</v>
      </c>
    </row>
    <row r="87" spans="2:5" x14ac:dyDescent="0.3">
      <c r="B87" s="1" t="s">
        <v>6</v>
      </c>
      <c r="E87" s="8">
        <f>SUM(E85:E86)</f>
        <v>14453680.225500003</v>
      </c>
    </row>
    <row r="88" spans="2:5" x14ac:dyDescent="0.3">
      <c r="B88" s="1" t="s">
        <v>313</v>
      </c>
      <c r="E88" s="169">
        <v>632035.4</v>
      </c>
    </row>
    <row r="89" spans="2:5" x14ac:dyDescent="0.3">
      <c r="B89" s="1" t="s">
        <v>489</v>
      </c>
      <c r="C89" s="115"/>
      <c r="E89" s="8">
        <f>SUM(E87:E88)</f>
        <v>15085715.625500003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BDA5-3BB3-4824-A4C5-67085FCD40AD}">
  <dimension ref="A1:P32"/>
  <sheetViews>
    <sheetView workbookViewId="0">
      <selection activeCell="C6" sqref="C6"/>
    </sheetView>
  </sheetViews>
  <sheetFormatPr defaultColWidth="12.5546875" defaultRowHeight="15.6" x14ac:dyDescent="0.3"/>
  <cols>
    <col min="1" max="1" width="16.88671875" style="1" bestFit="1" customWidth="1"/>
    <col min="2" max="2" width="17.109375" style="1" customWidth="1"/>
    <col min="3" max="3" width="18.44140625" style="1" customWidth="1"/>
    <col min="4" max="4" width="17" style="1" customWidth="1"/>
    <col min="5" max="5" width="19.33203125" style="1" customWidth="1"/>
    <col min="6" max="6" width="24.6640625" style="1" customWidth="1"/>
    <col min="7" max="7" width="19.33203125" style="1" customWidth="1"/>
    <col min="8" max="9" width="20.6640625" style="1" customWidth="1"/>
    <col min="10" max="10" width="19.33203125" style="1" customWidth="1"/>
    <col min="11" max="11" width="20.44140625" style="1" customWidth="1"/>
    <col min="12" max="12" width="19.33203125" style="1" customWidth="1"/>
    <col min="13" max="13" width="18.88671875" style="1" customWidth="1"/>
    <col min="14" max="14" width="16.5546875" style="1" customWidth="1"/>
    <col min="15" max="15" width="15.88671875" style="1" customWidth="1"/>
    <col min="16" max="16" width="13.88671875" style="1" bestFit="1" customWidth="1"/>
    <col min="17" max="16384" width="12.5546875" style="1"/>
  </cols>
  <sheetData>
    <row r="1" spans="1:15" x14ac:dyDescent="0.3">
      <c r="A1" s="1" t="s">
        <v>0</v>
      </c>
      <c r="B1" s="1" t="s">
        <v>1</v>
      </c>
      <c r="C1" s="1" t="s">
        <v>404</v>
      </c>
      <c r="D1" s="1" t="s">
        <v>403</v>
      </c>
      <c r="E1" s="1" t="s">
        <v>362</v>
      </c>
      <c r="F1" s="1" t="s">
        <v>402</v>
      </c>
      <c r="G1" s="1" t="s">
        <v>401</v>
      </c>
      <c r="H1" s="1" t="s">
        <v>400</v>
      </c>
      <c r="I1" s="1" t="s">
        <v>399</v>
      </c>
      <c r="J1" s="1" t="s">
        <v>2</v>
      </c>
      <c r="K1" s="1" t="s">
        <v>3</v>
      </c>
      <c r="L1" s="1" t="s">
        <v>4</v>
      </c>
      <c r="M1" s="1" t="s">
        <v>5</v>
      </c>
      <c r="N1" s="1" t="s">
        <v>398</v>
      </c>
      <c r="O1" s="1" t="s">
        <v>397</v>
      </c>
    </row>
    <row r="2" spans="1:15" x14ac:dyDescent="0.3">
      <c r="A2" s="1">
        <v>1</v>
      </c>
      <c r="B2" s="2">
        <v>44805</v>
      </c>
      <c r="C2" s="80">
        <v>40908127</v>
      </c>
      <c r="D2" s="80"/>
      <c r="E2" s="80">
        <f>Table1422[[#This Row],[PA Distributors ]]+Table1422[[#This Row],[PA J&amp;J]]</f>
        <v>40908127</v>
      </c>
      <c r="F2" s="80"/>
      <c r="G2" s="80"/>
      <c r="H2" s="80"/>
      <c r="I2" s="80"/>
      <c r="J2" s="80">
        <f>Table1422[[#This Row],[Totals]]-Table1422[[#This Row],[Distributors Atty Fees]]-Table1422[[#This Row],[J&amp;J Attorneys Fees]]-Table1422[[#This Row],[Attorney''s Costs]]-Table1422[[#This Row],[Admin Costs]]</f>
        <v>40908127</v>
      </c>
      <c r="K2" s="80">
        <f>Table1422[[#This Row],[Total Less Fees]]*0.15</f>
        <v>6136219.0499999998</v>
      </c>
      <c r="L2" s="80">
        <f>Table1422[[#This Row],[Total Less Fees]]*0.7</f>
        <v>28635688.899999999</v>
      </c>
      <c r="M2" s="80">
        <f>Table1422[[#This Row],[Total Less Fees]]*0.15</f>
        <v>6136219.0499999998</v>
      </c>
      <c r="N2" s="80">
        <v>6136219</v>
      </c>
      <c r="O2" s="80">
        <f>(Table1422[[#This Row],[PA J&amp;J]]-Table1422[[#This Row],[J&amp;J Attorneys Fees]])*0.15</f>
        <v>0</v>
      </c>
    </row>
    <row r="3" spans="1:15" x14ac:dyDescent="0.3">
      <c r="A3" s="1">
        <v>2</v>
      </c>
      <c r="B3" s="2">
        <v>44910</v>
      </c>
      <c r="C3" s="80">
        <v>46164857.061240003</v>
      </c>
      <c r="D3" s="80">
        <v>44023813</v>
      </c>
      <c r="E3" s="80">
        <f>Table1422[[#This Row],[PA Distributors ]]+Table1422[[#This Row],[PA J&amp;J]]</f>
        <v>90188670.061240003</v>
      </c>
      <c r="F3" s="80">
        <v>9348591</v>
      </c>
      <c r="G3" s="80">
        <v>2167116.1509940801</v>
      </c>
      <c r="H3" s="80">
        <v>16651314.529999999</v>
      </c>
      <c r="I3" s="80">
        <v>300000</v>
      </c>
      <c r="J3" s="80">
        <f>Table1422[[#This Row],[Totals]]-Table1422[[#This Row],[Distributors Atty Fees]]-Table1422[[#This Row],[J&amp;J Attorneys Fees]]-Table1422[[#This Row],[Attorney''s Costs]]-Table1422[[#This Row],[Admin Costs]]</f>
        <v>61721648.380245924</v>
      </c>
      <c r="K3" s="80">
        <f>Table1422[[#This Row],[Total Less Fees]]*0.15</f>
        <v>9258247.257036889</v>
      </c>
      <c r="L3" s="80">
        <f>Table1422[[#This Row],[Total Less Fees]]*0.7</f>
        <v>43205153.866172142</v>
      </c>
      <c r="M3" s="80">
        <f>Table1422[[#This Row],[Total Less Fees]]*0.15</f>
        <v>9258247.257036889</v>
      </c>
      <c r="N3" s="80">
        <f>Table1422[[#This Row],[Litigating]]-Table1422[[#This Row],[(Litigating J&amp;J)]]</f>
        <v>3078636.6570368893</v>
      </c>
      <c r="O3" s="80">
        <v>6179610.5999999996</v>
      </c>
    </row>
    <row r="4" spans="1:15" x14ac:dyDescent="0.3">
      <c r="A4" s="1">
        <v>3</v>
      </c>
      <c r="B4" s="2">
        <v>45275</v>
      </c>
      <c r="C4" s="80">
        <v>45599278.15316809</v>
      </c>
      <c r="D4" s="80">
        <v>25705389.550000001</v>
      </c>
      <c r="E4" s="80">
        <f>Table1422[[#This Row],[PA Distributors ]]+Table1422[[#This Row],[PA J&amp;J]]</f>
        <v>71304667.703168094</v>
      </c>
      <c r="F4" s="80">
        <f>9348591.07302335+135.9</f>
        <v>9348726.9730233513</v>
      </c>
      <c r="G4" s="80">
        <f>2167116.15099408+97.8</f>
        <v>2167213.9509940799</v>
      </c>
      <c r="H4" s="80"/>
      <c r="I4" s="80"/>
      <c r="J4" s="80">
        <f>Table1422[[#This Row],[Totals]]-Table1422[[#This Row],[Distributors Atty Fees]]-Table1422[[#This Row],[J&amp;J Attorneys Fees]]-Table1422[[#This Row],[Attorney''s Costs]]-Table1422[[#This Row],[Admin Costs]]</f>
        <v>59788726.779150657</v>
      </c>
      <c r="K4" s="80">
        <f>Table1422[[#This Row],[Total Less Fees]]*0.15</f>
        <v>8968309.0168725979</v>
      </c>
      <c r="L4" s="80">
        <f>Table1422[[#This Row],[Total Less Fees]]*0.7</f>
        <v>41852108.745405458</v>
      </c>
      <c r="M4" s="80">
        <f>Table1422[[#This Row],[Total Less Fees]]*0.15</f>
        <v>8968309.0168725979</v>
      </c>
      <c r="N4" s="80">
        <f>Table1422[[#This Row],[Litigating]]-Table1422[[#This Row],[(Litigating J&amp;J)]]</f>
        <v>6610037.3387458203</v>
      </c>
      <c r="O4" s="150">
        <v>2358271.6781267775</v>
      </c>
    </row>
    <row r="5" spans="1:15" x14ac:dyDescent="0.3">
      <c r="A5" s="1">
        <v>4</v>
      </c>
      <c r="B5" s="2">
        <v>45641</v>
      </c>
      <c r="C5" s="80">
        <v>47835145.781559996</v>
      </c>
      <c r="D5" s="80">
        <v>38539123</v>
      </c>
      <c r="E5" s="80">
        <f>Table1422[[#This Row],[PA Distributors ]]+Table1422[[#This Row],[PA J&amp;J]]</f>
        <v>86374268.781560004</v>
      </c>
      <c r="F5" s="80">
        <v>9348591.0730233546</v>
      </c>
      <c r="G5" s="80">
        <v>2167116.1509940801</v>
      </c>
      <c r="H5" s="80"/>
      <c r="I5" s="80"/>
      <c r="J5" s="80">
        <f>Table1422[[#This Row],[Totals]]-Table1422[[#This Row],[Distributors Atty Fees]]-Table1422[[#This Row],[J&amp;J Attorneys Fees]]-Table1422[[#This Row],[Attorney''s Costs]]-Table1422[[#This Row],[Admin Costs]]</f>
        <v>74858561.557542577</v>
      </c>
      <c r="K5" s="80">
        <f>Table1422[[#This Row],[Total Less Fees]]*0.15</f>
        <v>11228784.233631385</v>
      </c>
      <c r="L5" s="80">
        <f>Table1422[[#This Row],[Total Less Fees]]*0.7</f>
        <v>52400993.090279803</v>
      </c>
      <c r="M5" s="80">
        <f>Table1422[[#This Row],[Total Less Fees]]*0.15</f>
        <v>11228784.233631385</v>
      </c>
      <c r="N5" s="80">
        <f>Table1422[[#This Row],[Litigating]]-Table1422[[#This Row],[(Litigating J&amp;J)]]</f>
        <v>5772983.2062804969</v>
      </c>
      <c r="O5" s="80">
        <f>(Table1422[[#This Row],[PA J&amp;J]]-Table1422[[#This Row],[J&amp;J Attorneys Fees]])*0.15</f>
        <v>5455801.0273508886</v>
      </c>
    </row>
    <row r="6" spans="1:15" x14ac:dyDescent="0.3">
      <c r="A6" s="1">
        <v>5</v>
      </c>
      <c r="B6" s="2">
        <v>46006</v>
      </c>
      <c r="C6" s="80">
        <v>47835145.781559996</v>
      </c>
      <c r="D6" s="80">
        <v>41142321</v>
      </c>
      <c r="E6" s="80">
        <f>Table1422[[#This Row],[PA Distributors ]]+Table1422[[#This Row],[PA J&amp;J]]</f>
        <v>88977466.781560004</v>
      </c>
      <c r="F6" s="80">
        <v>9348591.0730233546</v>
      </c>
      <c r="G6" s="80">
        <v>2167116.1509940801</v>
      </c>
      <c r="H6" s="80"/>
      <c r="I6" s="80"/>
      <c r="J6" s="80">
        <f>Table1422[[#This Row],[Totals]]-Table1422[[#This Row],[Distributors Atty Fees]]-Table1422[[#This Row],[J&amp;J Attorneys Fees]]-Table1422[[#This Row],[Attorney''s Costs]]-Table1422[[#This Row],[Admin Costs]]</f>
        <v>77461759.557542577</v>
      </c>
      <c r="K6" s="80">
        <f>Table1422[[#This Row],[Total Less Fees]]*0.15</f>
        <v>11619263.933631387</v>
      </c>
      <c r="L6" s="80">
        <f>Table1422[[#This Row],[Total Less Fees]]*0.7</f>
        <v>54223231.690279804</v>
      </c>
      <c r="M6" s="80">
        <f>Table1422[[#This Row],[Total Less Fees]]*0.15</f>
        <v>11619263.933631387</v>
      </c>
      <c r="N6" s="80">
        <f>Table1422[[#This Row],[Litigating]]-Table1422[[#This Row],[(Litigating J&amp;J)]]</f>
        <v>5772983.2062804988</v>
      </c>
      <c r="O6" s="80">
        <f>(Table1422[[#This Row],[PA J&amp;J]]-Table1422[[#This Row],[J&amp;J Attorneys Fees]])*0.15</f>
        <v>5846280.7273508878</v>
      </c>
    </row>
    <row r="7" spans="1:15" x14ac:dyDescent="0.3">
      <c r="A7" s="1">
        <v>6</v>
      </c>
      <c r="B7" s="2">
        <v>46371</v>
      </c>
      <c r="C7" s="80">
        <v>47835145.781559996</v>
      </c>
      <c r="D7" s="80">
        <v>7342887</v>
      </c>
      <c r="E7" s="80">
        <f>Table1422[[#This Row],[PA Distributors ]]+Table1422[[#This Row],[PA J&amp;J]]</f>
        <v>55178032.781559996</v>
      </c>
      <c r="F7" s="80">
        <v>9348591.0730233546</v>
      </c>
      <c r="G7" s="80">
        <v>2167116.1509940801</v>
      </c>
      <c r="H7" s="80"/>
      <c r="I7" s="80"/>
      <c r="J7" s="80">
        <f>Table1422[[#This Row],[Totals]]-Table1422[[#This Row],[Distributors Atty Fees]]-Table1422[[#This Row],[J&amp;J Attorneys Fees]]-Table1422[[#This Row],[Attorney''s Costs]]-Table1422[[#This Row],[Admin Costs]]</f>
        <v>43662325.557542562</v>
      </c>
      <c r="K7" s="80">
        <f>Table1422[[#This Row],[Total Less Fees]]*0.15</f>
        <v>6549348.8336313842</v>
      </c>
      <c r="L7" s="80">
        <f>Table1422[[#This Row],[Total Less Fees]]*0.7</f>
        <v>30563627.890279792</v>
      </c>
      <c r="M7" s="80">
        <f>Table1422[[#This Row],[Total Less Fees]]*0.15</f>
        <v>6549348.8336313842</v>
      </c>
      <c r="N7" s="80">
        <f>Table1422[[#This Row],[Litigating]]-Table1422[[#This Row],[(Litigating J&amp;J)]]</f>
        <v>5772983.206280496</v>
      </c>
      <c r="O7" s="80">
        <f>(Table1422[[#This Row],[PA J&amp;J]]-Table1422[[#This Row],[J&amp;J Attorneys Fees]])*0.15</f>
        <v>776365.62735088798</v>
      </c>
    </row>
    <row r="8" spans="1:15" x14ac:dyDescent="0.3">
      <c r="A8" s="1">
        <v>7</v>
      </c>
      <c r="B8" s="2">
        <v>46736</v>
      </c>
      <c r="C8" s="80">
        <v>47835145.781559996</v>
      </c>
      <c r="D8" s="80">
        <v>7342887</v>
      </c>
      <c r="E8" s="80">
        <f>Table1422[[#This Row],[PA Distributors ]]+Table1422[[#This Row],[PA J&amp;J]]</f>
        <v>55178032.781559996</v>
      </c>
      <c r="F8" s="80"/>
      <c r="G8" s="80"/>
      <c r="H8" s="80"/>
      <c r="I8" s="80"/>
      <c r="J8" s="80">
        <f>Table1422[[#This Row],[Totals]]-Table1422[[#This Row],[Distributors Atty Fees]]-Table1422[[#This Row],[J&amp;J Attorneys Fees]]-Table1422[[#This Row],[Attorney''s Costs]]-Table1422[[#This Row],[Admin Costs]]</f>
        <v>55178032.781559996</v>
      </c>
      <c r="K8" s="80">
        <f>Table1422[[#This Row],[Total Less Fees]]*0.15</f>
        <v>8276704.9172339989</v>
      </c>
      <c r="L8" s="80">
        <f>Table1422[[#This Row],[Total Less Fees]]*0.7</f>
        <v>38624622.947091997</v>
      </c>
      <c r="M8" s="80">
        <f>Table1422[[#This Row],[Total Less Fees]]*0.15</f>
        <v>8276704.9172339989</v>
      </c>
      <c r="N8" s="80">
        <f>Table1422[[#This Row],[Litigating]]-Table1422[[#This Row],[(Litigating J&amp;J)]]</f>
        <v>7175271.8672339991</v>
      </c>
      <c r="O8" s="80">
        <f>(Table1422[[#This Row],[PA J&amp;J]]-Table1422[[#This Row],[J&amp;J Attorneys Fees]])*0.15</f>
        <v>1101433.05</v>
      </c>
    </row>
    <row r="9" spans="1:15" x14ac:dyDescent="0.3">
      <c r="A9" s="1">
        <v>8</v>
      </c>
      <c r="B9" s="2">
        <v>47102</v>
      </c>
      <c r="C9" s="80">
        <v>56259894.68688</v>
      </c>
      <c r="D9" s="80">
        <v>7342887</v>
      </c>
      <c r="E9" s="80">
        <f>Table1422[[#This Row],[PA Distributors ]]+Table1422[[#This Row],[PA J&amp;J]]</f>
        <v>63602781.68688</v>
      </c>
      <c r="F9" s="80"/>
      <c r="G9" s="80"/>
      <c r="H9" s="80"/>
      <c r="I9" s="80"/>
      <c r="J9" s="80">
        <f>Table1422[[#This Row],[Totals]]-Table1422[[#This Row],[Distributors Atty Fees]]-Table1422[[#This Row],[J&amp;J Attorneys Fees]]-Table1422[[#This Row],[Attorney''s Costs]]-Table1422[[#This Row],[Admin Costs]]</f>
        <v>63602781.68688</v>
      </c>
      <c r="K9" s="80">
        <f>Table1422[[#This Row],[Total Less Fees]]*0.15</f>
        <v>9540417.2530319989</v>
      </c>
      <c r="L9" s="80">
        <f>Table1422[[#This Row],[Total Less Fees]]*0.7</f>
        <v>44521947.180815995</v>
      </c>
      <c r="M9" s="80">
        <f>Table1422[[#This Row],[Total Less Fees]]*0.15</f>
        <v>9540417.2530319989</v>
      </c>
      <c r="N9" s="80">
        <f>Table1422[[#This Row],[Litigating]]-Table1422[[#This Row],[(Litigating J&amp;J)]]</f>
        <v>8438984.2030319981</v>
      </c>
      <c r="O9" s="80">
        <f>(Table1422[[#This Row],[PA J&amp;J]]-Table1422[[#This Row],[J&amp;J Attorneys Fees]])*0.15</f>
        <v>1101433.05</v>
      </c>
    </row>
    <row r="10" spans="1:15" x14ac:dyDescent="0.3">
      <c r="A10" s="1">
        <v>9</v>
      </c>
      <c r="B10" s="2">
        <v>47467</v>
      </c>
      <c r="C10" s="80">
        <v>56259894.68688</v>
      </c>
      <c r="D10" s="80">
        <v>9348779</v>
      </c>
      <c r="E10" s="80">
        <f>Table1422[[#This Row],[PA Distributors ]]+Table1422[[#This Row],[PA J&amp;J]]</f>
        <v>65608673.68688</v>
      </c>
      <c r="F10" s="80"/>
      <c r="G10" s="80"/>
      <c r="H10" s="80"/>
      <c r="I10" s="80"/>
      <c r="J10" s="80">
        <f>Table1422[[#This Row],[Totals]]-Table1422[[#This Row],[Distributors Atty Fees]]-Table1422[[#This Row],[J&amp;J Attorneys Fees]]-Table1422[[#This Row],[Attorney''s Costs]]-Table1422[[#This Row],[Admin Costs]]</f>
        <v>65608673.68688</v>
      </c>
      <c r="K10" s="80">
        <f>Table1422[[#This Row],[Total Less Fees]]*0.15</f>
        <v>9841301.0530319996</v>
      </c>
      <c r="L10" s="80">
        <f>Table1422[[#This Row],[Total Less Fees]]*0.7</f>
        <v>45926071.580816001</v>
      </c>
      <c r="M10" s="80">
        <f>Table1422[[#This Row],[Total Less Fees]]*0.15</f>
        <v>9841301.0530319996</v>
      </c>
      <c r="N10" s="80">
        <f>Table1422[[#This Row],[Litigating]]-Table1422[[#This Row],[(Litigating J&amp;J)]]</f>
        <v>8438984.203032</v>
      </c>
      <c r="O10" s="80">
        <f>(Table1422[[#This Row],[PA J&amp;J]]-Table1422[[#This Row],[J&amp;J Attorneys Fees]])*0.15</f>
        <v>1402316.8499999999</v>
      </c>
    </row>
    <row r="11" spans="1:15" x14ac:dyDescent="0.3">
      <c r="A11" s="1">
        <v>10</v>
      </c>
      <c r="B11" s="2">
        <v>47832</v>
      </c>
      <c r="C11" s="80">
        <v>56259894.68688</v>
      </c>
      <c r="D11" s="80">
        <v>9348779</v>
      </c>
      <c r="E11" s="80">
        <f>Table1422[[#This Row],[PA Distributors ]]+Table1422[[#This Row],[PA J&amp;J]]</f>
        <v>65608673.68688</v>
      </c>
      <c r="F11" s="80"/>
      <c r="G11" s="80"/>
      <c r="H11" s="80"/>
      <c r="I11" s="80"/>
      <c r="J11" s="80">
        <f>Table1422[[#This Row],[Totals]]-Table1422[[#This Row],[Distributors Atty Fees]]-Table1422[[#This Row],[J&amp;J Attorneys Fees]]-Table1422[[#This Row],[Attorney''s Costs]]-Table1422[[#This Row],[Admin Costs]]</f>
        <v>65608673.68688</v>
      </c>
      <c r="K11" s="80">
        <f>Table1422[[#This Row],[Total Less Fees]]*0.15</f>
        <v>9841301.0530319996</v>
      </c>
      <c r="L11" s="80">
        <f>Table1422[[#This Row],[Total Less Fees]]*0.7</f>
        <v>45926071.580816001</v>
      </c>
      <c r="M11" s="80">
        <f>Table1422[[#This Row],[Total Less Fees]]*0.15</f>
        <v>9841301.0530319996</v>
      </c>
      <c r="N11" s="80">
        <f>Table1422[[#This Row],[Litigating]]-Table1422[[#This Row],[(Litigating J&amp;J)]]</f>
        <v>8438984.203032</v>
      </c>
      <c r="O11" s="80">
        <f>(Table1422[[#This Row],[PA J&amp;J]]-Table1422[[#This Row],[J&amp;J Attorneys Fees]])*0.15</f>
        <v>1402316.8499999999</v>
      </c>
    </row>
    <row r="12" spans="1:15" x14ac:dyDescent="0.3">
      <c r="A12" s="1">
        <v>11</v>
      </c>
      <c r="B12" s="2">
        <v>48197</v>
      </c>
      <c r="C12" s="80">
        <v>47292119.32344</v>
      </c>
      <c r="D12" s="80">
        <v>9348779</v>
      </c>
      <c r="E12" s="80">
        <f>Table1422[[#This Row],[PA Distributors ]]+Table1422[[#This Row],[PA J&amp;J]]</f>
        <v>56640898.32344</v>
      </c>
      <c r="F12" s="80"/>
      <c r="G12" s="80"/>
      <c r="H12" s="80"/>
      <c r="I12" s="80"/>
      <c r="J12" s="80">
        <f>Table1422[[#This Row],[Totals]]-Table1422[[#This Row],[Distributors Atty Fees]]-Table1422[[#This Row],[J&amp;J Attorneys Fees]]-Table1422[[#This Row],[Attorney''s Costs]]-Table1422[[#This Row],[Admin Costs]]</f>
        <v>56640898.32344</v>
      </c>
      <c r="K12" s="80">
        <f>Table1422[[#This Row],[Total Less Fees]]*0.15</f>
        <v>8496134.7485159989</v>
      </c>
      <c r="L12" s="80">
        <f>Table1422[[#This Row],[Total Less Fees]]*0.7</f>
        <v>39648628.826407999</v>
      </c>
      <c r="M12" s="80">
        <f>Table1422[[#This Row],[Total Less Fees]]*0.15</f>
        <v>8496134.7485159989</v>
      </c>
      <c r="N12" s="80">
        <f>Table1422[[#This Row],[Litigating]]-Table1422[[#This Row],[(Litigating J&amp;J)]]</f>
        <v>7093817.8985159993</v>
      </c>
      <c r="O12" s="80">
        <f>(Table1422[[#This Row],[PA J&amp;J]]-Table1422[[#This Row],[J&amp;J Attorneys Fees]])*0.15</f>
        <v>1402316.8499999999</v>
      </c>
    </row>
    <row r="13" spans="1:15" x14ac:dyDescent="0.3">
      <c r="A13" s="1">
        <v>12</v>
      </c>
      <c r="B13" s="2">
        <v>48563</v>
      </c>
      <c r="C13" s="80">
        <v>47292119.32344</v>
      </c>
      <c r="D13" s="80"/>
      <c r="E13" s="80">
        <f>Table1422[[#This Row],[PA Distributors ]]+Table1422[[#This Row],[PA J&amp;J]]</f>
        <v>47292119.32344</v>
      </c>
      <c r="F13" s="80"/>
      <c r="G13" s="80"/>
      <c r="H13" s="80"/>
      <c r="I13" s="80"/>
      <c r="J13" s="80">
        <f>Table1422[[#This Row],[Totals]]-Table1422[[#This Row],[Distributors Atty Fees]]-Table1422[[#This Row],[J&amp;J Attorneys Fees]]-Table1422[[#This Row],[Attorney''s Costs]]-Table1422[[#This Row],[Admin Costs]]</f>
        <v>47292119.32344</v>
      </c>
      <c r="K13" s="80">
        <f>Table1422[[#This Row],[Total Less Fees]]*0.15</f>
        <v>7093817.8985160002</v>
      </c>
      <c r="L13" s="80">
        <f>Table1422[[#This Row],[Total Less Fees]]*0.7</f>
        <v>33104483.526407998</v>
      </c>
      <c r="M13" s="80">
        <f>Table1422[[#This Row],[Total Less Fees]]*0.15</f>
        <v>7093817.8985160002</v>
      </c>
      <c r="N13" s="80">
        <f>Table1422[[#This Row],[Litigating]]</f>
        <v>7093817.8985160002</v>
      </c>
      <c r="O13" s="80">
        <f>(Table1422[[#This Row],[PA J&amp;J]]-Table1422[[#This Row],[J&amp;J Attorneys Fees]])*0.15</f>
        <v>0</v>
      </c>
    </row>
    <row r="14" spans="1:15" x14ac:dyDescent="0.3">
      <c r="A14" s="1">
        <v>13</v>
      </c>
      <c r="B14" s="2">
        <v>48928</v>
      </c>
      <c r="C14" s="80">
        <v>47292119.32344</v>
      </c>
      <c r="D14" s="80"/>
      <c r="E14" s="80">
        <f>Table1422[[#This Row],[PA Distributors ]]+Table1422[[#This Row],[PA J&amp;J]]</f>
        <v>47292119.32344</v>
      </c>
      <c r="F14" s="80"/>
      <c r="G14" s="80"/>
      <c r="H14" s="80"/>
      <c r="I14" s="80"/>
      <c r="J14" s="80">
        <f>Table1422[[#This Row],[Totals]]-Table1422[[#This Row],[Distributors Atty Fees]]-Table1422[[#This Row],[J&amp;J Attorneys Fees]]-Table1422[[#This Row],[Attorney''s Costs]]-Table1422[[#This Row],[Admin Costs]]</f>
        <v>47292119.32344</v>
      </c>
      <c r="K14" s="80">
        <f>Table1422[[#This Row],[Total Less Fees]]*0.15</f>
        <v>7093817.8985160002</v>
      </c>
      <c r="L14" s="80">
        <f>Table1422[[#This Row],[Total Less Fees]]*0.7</f>
        <v>33104483.526407998</v>
      </c>
      <c r="M14" s="80">
        <f>Table1422[[#This Row],[Total Less Fees]]*0.15</f>
        <v>7093817.8985160002</v>
      </c>
      <c r="N14" s="80">
        <f>Table1422[[#This Row],[Litigating]]</f>
        <v>7093817.8985160002</v>
      </c>
      <c r="O14" s="80">
        <f>(Table1422[[#This Row],[PA J&amp;J]]-Table1422[[#This Row],[J&amp;J Attorneys Fees]])*0.15</f>
        <v>0</v>
      </c>
    </row>
    <row r="15" spans="1:15" x14ac:dyDescent="0.3">
      <c r="A15" s="1">
        <v>14</v>
      </c>
      <c r="B15" s="2">
        <v>49293</v>
      </c>
      <c r="C15" s="80">
        <v>47292119.32344</v>
      </c>
      <c r="D15" s="80"/>
      <c r="E15" s="80">
        <f>Table1422[[#This Row],[PA Distributors ]]+Table1422[[#This Row],[PA J&amp;J]]</f>
        <v>47292119.32344</v>
      </c>
      <c r="F15" s="80"/>
      <c r="G15" s="80"/>
      <c r="H15" s="80"/>
      <c r="I15" s="80"/>
      <c r="J15" s="80">
        <f>Table1422[[#This Row],[Totals]]-Table1422[[#This Row],[Distributors Atty Fees]]-Table1422[[#This Row],[J&amp;J Attorneys Fees]]-Table1422[[#This Row],[Attorney''s Costs]]-Table1422[[#This Row],[Admin Costs]]</f>
        <v>47292119.32344</v>
      </c>
      <c r="K15" s="80">
        <f>Table1422[[#This Row],[Total Less Fees]]*0.15</f>
        <v>7093817.8985160002</v>
      </c>
      <c r="L15" s="80">
        <f>Table1422[[#This Row],[Total Less Fees]]*0.7</f>
        <v>33104483.526407998</v>
      </c>
      <c r="M15" s="80">
        <f>Table1422[[#This Row],[Total Less Fees]]*0.15</f>
        <v>7093817.8985160002</v>
      </c>
      <c r="N15" s="80">
        <f>Table1422[[#This Row],[Litigating]]</f>
        <v>7093817.8985160002</v>
      </c>
      <c r="O15" s="80">
        <f>(Table1422[[#This Row],[PA J&amp;J]]-Table1422[[#This Row],[J&amp;J Attorneys Fees]])*0.15</f>
        <v>0</v>
      </c>
    </row>
    <row r="16" spans="1:15" x14ac:dyDescent="0.3">
      <c r="A16" s="1">
        <v>15</v>
      </c>
      <c r="B16" s="2">
        <v>49658</v>
      </c>
      <c r="C16" s="80">
        <v>47292119.32344</v>
      </c>
      <c r="D16" s="80"/>
      <c r="E16" s="80">
        <f>Table1422[[#This Row],[PA Distributors ]]+Table1422[[#This Row],[PA J&amp;J]]</f>
        <v>47292119.32344</v>
      </c>
      <c r="F16" s="80"/>
      <c r="G16" s="80"/>
      <c r="H16" s="80"/>
      <c r="I16" s="80"/>
      <c r="J16" s="80">
        <f>Table1422[[#This Row],[Totals]]-Table1422[[#This Row],[Distributors Atty Fees]]-Table1422[[#This Row],[J&amp;J Attorneys Fees]]-Table1422[[#This Row],[Attorney''s Costs]]-Table1422[[#This Row],[Admin Costs]]</f>
        <v>47292119.32344</v>
      </c>
      <c r="K16" s="80">
        <f>Table1422[[#This Row],[Total Less Fees]]*0.15</f>
        <v>7093817.8985160002</v>
      </c>
      <c r="L16" s="80">
        <f>Table1422[[#This Row],[Total Less Fees]]*0.7</f>
        <v>33104483.526407998</v>
      </c>
      <c r="M16" s="80">
        <f>Table1422[[#This Row],[Total Less Fees]]*0.15</f>
        <v>7093817.8985160002</v>
      </c>
      <c r="N16" s="80">
        <f>Table1422[[#This Row],[Litigating]]</f>
        <v>7093817.8985160002</v>
      </c>
      <c r="O16" s="80">
        <f>(Table1422[[#This Row],[PA J&amp;J]]-Table1422[[#This Row],[J&amp;J Attorneys Fees]])*0.15</f>
        <v>0</v>
      </c>
    </row>
    <row r="17" spans="1:16" x14ac:dyDescent="0.3">
      <c r="A17" s="1">
        <v>16</v>
      </c>
      <c r="B17" s="2">
        <v>50024</v>
      </c>
      <c r="C17" s="80">
        <v>47292119.32344</v>
      </c>
      <c r="D17" s="80"/>
      <c r="E17" s="80">
        <f>Table1422[[#This Row],[PA Distributors ]]+Table1422[[#This Row],[PA J&amp;J]]</f>
        <v>47292119.32344</v>
      </c>
      <c r="F17" s="80"/>
      <c r="G17" s="80"/>
      <c r="H17" s="80"/>
      <c r="I17" s="80"/>
      <c r="J17" s="80">
        <f>Table1422[[#This Row],[Totals]]-Table1422[[#This Row],[Distributors Atty Fees]]-Table1422[[#This Row],[J&amp;J Attorneys Fees]]-Table1422[[#This Row],[Attorney''s Costs]]-Table1422[[#This Row],[Admin Costs]]</f>
        <v>47292119.32344</v>
      </c>
      <c r="K17" s="80">
        <f>Table1422[[#This Row],[Total Less Fees]]*0.15</f>
        <v>7093817.8985160002</v>
      </c>
      <c r="L17" s="80">
        <f>Table1422[[#This Row],[Total Less Fees]]*0.7</f>
        <v>33104483.526407998</v>
      </c>
      <c r="M17" s="80">
        <f>Table1422[[#This Row],[Total Less Fees]]*0.15</f>
        <v>7093817.8985160002</v>
      </c>
      <c r="N17" s="80">
        <f>Table1422[[#This Row],[Litigating]]</f>
        <v>7093817.8985160002</v>
      </c>
      <c r="O17" s="80">
        <f>(Table1422[[#This Row],[PA J&amp;J]]-Table1422[[#This Row],[J&amp;J Attorneys Fees]])*0.15</f>
        <v>0</v>
      </c>
    </row>
    <row r="18" spans="1:16" x14ac:dyDescent="0.3">
      <c r="A18" s="1">
        <v>17</v>
      </c>
      <c r="B18" s="2">
        <v>50389</v>
      </c>
      <c r="C18" s="80">
        <v>47292119.32344</v>
      </c>
      <c r="D18" s="80"/>
      <c r="E18" s="80">
        <f>Table1422[[#This Row],[PA Distributors ]]+Table1422[[#This Row],[PA J&amp;J]]</f>
        <v>47292119.32344</v>
      </c>
      <c r="F18" s="80"/>
      <c r="G18" s="80"/>
      <c r="H18" s="80"/>
      <c r="I18" s="80"/>
      <c r="J18" s="80">
        <f>Table1422[[#This Row],[Totals]]-Table1422[[#This Row],[Distributors Atty Fees]]-Table1422[[#This Row],[J&amp;J Attorneys Fees]]-Table1422[[#This Row],[Attorney''s Costs]]-Table1422[[#This Row],[Admin Costs]]</f>
        <v>47292119.32344</v>
      </c>
      <c r="K18" s="80">
        <f>Table1422[[#This Row],[Total Less Fees]]*0.15</f>
        <v>7093817.8985160002</v>
      </c>
      <c r="L18" s="80">
        <f>Table1422[[#This Row],[Total Less Fees]]*0.7</f>
        <v>33104483.526407998</v>
      </c>
      <c r="M18" s="80">
        <f>Table1422[[#This Row],[Total Less Fees]]*0.15</f>
        <v>7093817.8985160002</v>
      </c>
      <c r="N18" s="80">
        <f>Table1422[[#This Row],[Litigating]]</f>
        <v>7093817.8985160002</v>
      </c>
      <c r="O18" s="80">
        <f>(Table1422[[#This Row],[PA J&amp;J]]-Table1422[[#This Row],[J&amp;J Attorneys Fees]])*0.15</f>
        <v>0</v>
      </c>
    </row>
    <row r="19" spans="1:16" x14ac:dyDescent="0.3">
      <c r="A19" s="1">
        <v>18</v>
      </c>
      <c r="B19" s="110">
        <v>50754</v>
      </c>
      <c r="C19" s="80">
        <v>47292119.32344</v>
      </c>
      <c r="D19" s="80"/>
      <c r="E19" s="80">
        <f>Table1422[[#This Row],[PA Distributors ]]+Table1422[[#This Row],[PA J&amp;J]]</f>
        <v>47292119.32344</v>
      </c>
      <c r="F19" s="80"/>
      <c r="G19" s="80"/>
      <c r="H19" s="80"/>
      <c r="I19" s="80"/>
      <c r="J19" s="80">
        <f>Table1422[[#This Row],[Totals]]-Table1422[[#This Row],[Distributors Atty Fees]]-Table1422[[#This Row],[J&amp;J Attorneys Fees]]-Table1422[[#This Row],[Attorney''s Costs]]-Table1422[[#This Row],[Admin Costs]]</f>
        <v>47292119.32344</v>
      </c>
      <c r="K19" s="80">
        <f>Table1422[[#This Row],[Total Less Fees]]*0.15</f>
        <v>7093817.8985160002</v>
      </c>
      <c r="L19" s="80">
        <f>Table1422[[#This Row],[Total Less Fees]]*0.7</f>
        <v>33104483.526407998</v>
      </c>
      <c r="M19" s="80">
        <f>Table1422[[#This Row],[Total Less Fees]]*0.15</f>
        <v>7093817.8985160002</v>
      </c>
      <c r="N19" s="80">
        <f>Table1422[[#This Row],[Litigating]]</f>
        <v>7093817.8985160002</v>
      </c>
      <c r="O19" s="80">
        <f>(Table1422[[#This Row],[PA J&amp;J]]-Table1422[[#This Row],[J&amp;J Attorneys Fees]])*0.15</f>
        <v>0</v>
      </c>
    </row>
    <row r="20" spans="1:16" x14ac:dyDescent="0.3">
      <c r="A20" s="1" t="s">
        <v>6</v>
      </c>
      <c r="C20" s="80">
        <f t="shared" ref="C20:H20" si="0">SUM(C2:C19)</f>
        <v>871129483.9888078</v>
      </c>
      <c r="D20" s="80">
        <f t="shared" si="0"/>
        <v>199485644.55000001</v>
      </c>
      <c r="E20" s="80">
        <f t="shared" si="0"/>
        <v>1070615128.5388077</v>
      </c>
      <c r="F20" s="80">
        <f t="shared" si="0"/>
        <v>46743091.192093417</v>
      </c>
      <c r="G20" s="80">
        <f t="shared" si="0"/>
        <v>10835678.554970402</v>
      </c>
      <c r="H20" s="80">
        <f t="shared" si="0"/>
        <v>16651314.529999999</v>
      </c>
      <c r="I20" s="80">
        <v>300000</v>
      </c>
      <c r="J20" s="80">
        <f>Table1422[[#This Row],[Totals]]-Table1422[[#This Row],[Distributors Atty Fees]]-Table1422[[#This Row],[J&amp;J Attorneys Fees]]-Table1422[[#This Row],[Attorney''s Costs]]-Table1422[[#This Row],[Admin Costs]]</f>
        <v>996085044.26174402</v>
      </c>
      <c r="K20" s="80">
        <f>Table1422[[#This Row],[Total Less Fees]]*0.15</f>
        <v>149412756.6392616</v>
      </c>
      <c r="L20" s="80">
        <f>Table1422[[#This Row],[Total Less Fees]]*0.7</f>
        <v>697259530.98322082</v>
      </c>
      <c r="M20" s="80">
        <f>Table1422[[#This Row],[Total Less Fees]]*0.15</f>
        <v>149412756.6392616</v>
      </c>
      <c r="N20" s="80">
        <f>SUM(N2:N19)</f>
        <v>122386610.27908219</v>
      </c>
      <c r="O20" s="80">
        <f>SUM(O2:O19)</f>
        <v>27026146.310179446</v>
      </c>
    </row>
    <row r="23" spans="1:16" x14ac:dyDescent="0.3">
      <c r="B23" s="80"/>
      <c r="C23" s="109"/>
    </row>
    <row r="24" spans="1:16" x14ac:dyDescent="0.3">
      <c r="A24" s="89"/>
      <c r="B24" s="89"/>
      <c r="C24" s="89"/>
      <c r="D24" s="8"/>
      <c r="F24" s="108"/>
      <c r="G24" s="80"/>
      <c r="H24" s="79"/>
      <c r="I24" s="79"/>
      <c r="J24" s="79"/>
      <c r="K24" s="79"/>
      <c r="L24" s="79"/>
      <c r="M24" s="79"/>
    </row>
    <row r="25" spans="1:16" x14ac:dyDescent="0.3">
      <c r="A25" s="89"/>
      <c r="B25" s="89"/>
      <c r="C25" s="89"/>
      <c r="D25" s="107"/>
      <c r="E25" s="8"/>
      <c r="F25" s="8"/>
      <c r="I25" s="89"/>
      <c r="J25" s="80"/>
      <c r="K25" s="79"/>
      <c r="N25" s="81"/>
      <c r="O25" s="81"/>
      <c r="P25" s="79"/>
    </row>
    <row r="26" spans="1:16" x14ac:dyDescent="0.3">
      <c r="D26" s="89"/>
      <c r="H26" s="106"/>
      <c r="I26" s="81"/>
      <c r="J26" s="79"/>
      <c r="K26" s="79"/>
      <c r="L26" s="80"/>
      <c r="M26" s="80"/>
    </row>
    <row r="27" spans="1:16" x14ac:dyDescent="0.3">
      <c r="H27" s="8"/>
      <c r="J27" s="79"/>
      <c r="K27" s="79"/>
      <c r="L27" s="80"/>
    </row>
    <row r="28" spans="1:16" x14ac:dyDescent="0.3">
      <c r="G28" s="80"/>
      <c r="H28" s="8"/>
      <c r="J28" s="80"/>
      <c r="L28" s="80"/>
    </row>
    <row r="29" spans="1:16" x14ac:dyDescent="0.3">
      <c r="J29" s="80"/>
      <c r="L29" s="80"/>
    </row>
    <row r="30" spans="1:16" x14ac:dyDescent="0.3">
      <c r="B30" s="80"/>
      <c r="C30" s="80"/>
      <c r="D30" s="89"/>
      <c r="E30" s="80"/>
      <c r="H30" s="89"/>
      <c r="I30" s="89"/>
      <c r="J30" s="79"/>
    </row>
    <row r="31" spans="1:16" x14ac:dyDescent="0.3">
      <c r="B31" s="80"/>
      <c r="C31" s="80"/>
      <c r="D31" s="89"/>
      <c r="E31" s="80"/>
      <c r="H31" s="89"/>
      <c r="I31" s="89"/>
    </row>
    <row r="32" spans="1:16" x14ac:dyDescent="0.3">
      <c r="B32" s="80"/>
      <c r="C32" s="80"/>
      <c r="D32" s="89"/>
      <c r="G32" s="80"/>
      <c r="H32" s="80"/>
    </row>
  </sheetData>
  <pageMargins left="0.7" right="0.7" top="0.75" bottom="0.75" header="0.3" footer="0.3"/>
  <pageSetup orientation="portrait" r:id="rId1"/>
  <customProperties>
    <customPr name="OrphanNamesChecke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9043-78A8-4350-B346-6E3A89A746A4}">
  <dimension ref="A1:LM70"/>
  <sheetViews>
    <sheetView workbookViewId="0">
      <selection activeCell="G3" sqref="G3:G69"/>
    </sheetView>
  </sheetViews>
  <sheetFormatPr defaultColWidth="12.5546875" defaultRowHeight="15.6" x14ac:dyDescent="0.3"/>
  <cols>
    <col min="1" max="1" width="16.5546875" style="1" customWidth="1"/>
    <col min="2" max="2" width="25.109375" style="1" customWidth="1"/>
    <col min="3" max="3" width="22" style="1" customWidth="1"/>
    <col min="4" max="4" width="23.109375" style="1" customWidth="1"/>
    <col min="5" max="10" width="20" style="1" customWidth="1"/>
    <col min="11" max="11" width="19.5546875" style="1" customWidth="1"/>
    <col min="12" max="12" width="20.5546875" style="1" customWidth="1"/>
    <col min="13" max="16" width="21.109375" style="1" customWidth="1"/>
    <col min="17" max="17" width="21.33203125" style="1" customWidth="1"/>
    <col min="18" max="19" width="21.109375" style="1" customWidth="1"/>
    <col min="20" max="20" width="20.5546875" style="1" customWidth="1"/>
    <col min="21" max="21" width="18.109375" style="1" customWidth="1"/>
    <col min="22" max="16384" width="12.5546875" style="1"/>
  </cols>
  <sheetData>
    <row r="1" spans="1:325" x14ac:dyDescent="0.3">
      <c r="A1" s="87" t="s">
        <v>4</v>
      </c>
      <c r="B1" s="87" t="s">
        <v>318</v>
      </c>
      <c r="C1" s="87" t="s">
        <v>435</v>
      </c>
      <c r="D1" s="87" t="s">
        <v>434</v>
      </c>
      <c r="E1" s="87" t="s">
        <v>433</v>
      </c>
      <c r="F1" s="87" t="s">
        <v>432</v>
      </c>
      <c r="G1" s="87" t="s">
        <v>431</v>
      </c>
      <c r="H1" s="121" t="s">
        <v>430</v>
      </c>
      <c r="I1" s="121" t="s">
        <v>429</v>
      </c>
      <c r="J1" s="121" t="s">
        <v>428</v>
      </c>
      <c r="K1" s="121" t="s">
        <v>427</v>
      </c>
      <c r="L1" s="121" t="s">
        <v>426</v>
      </c>
      <c r="M1" s="121" t="s">
        <v>425</v>
      </c>
      <c r="N1" s="121" t="s">
        <v>424</v>
      </c>
      <c r="O1" s="121" t="s">
        <v>423</v>
      </c>
      <c r="P1" s="121" t="s">
        <v>422</v>
      </c>
      <c r="Q1" s="121" t="s">
        <v>421</v>
      </c>
      <c r="R1" s="121" t="s">
        <v>420</v>
      </c>
      <c r="S1" s="121" t="s">
        <v>419</v>
      </c>
      <c r="T1" s="121" t="s">
        <v>418</v>
      </c>
      <c r="U1" s="121" t="s">
        <v>6</v>
      </c>
    </row>
    <row r="2" spans="1:325" ht="16.2" thickBot="1" x14ac:dyDescent="0.35">
      <c r="A2" s="87" t="s">
        <v>25</v>
      </c>
      <c r="B2" s="87"/>
      <c r="C2" s="4">
        <v>28635688.899999999</v>
      </c>
      <c r="D2" s="4">
        <v>43205154</v>
      </c>
      <c r="E2" s="4">
        <v>41852108.748508386</v>
      </c>
      <c r="F2" s="4">
        <v>52400993.090279803</v>
      </c>
      <c r="G2" s="4">
        <v>54223231.690279804</v>
      </c>
      <c r="H2" s="4">
        <v>30563627.890279792</v>
      </c>
      <c r="I2" s="4">
        <v>38624622.947091997</v>
      </c>
      <c r="J2" s="4">
        <v>44521947.180815995</v>
      </c>
      <c r="K2" s="4">
        <v>45926071.580816001</v>
      </c>
      <c r="L2" s="4">
        <v>45926071.580816001</v>
      </c>
      <c r="M2" s="4">
        <v>39648628.826407999</v>
      </c>
      <c r="N2" s="4">
        <v>33104483.526407998</v>
      </c>
      <c r="O2" s="4">
        <v>33104483.526407998</v>
      </c>
      <c r="P2" s="4">
        <v>33104483.526407998</v>
      </c>
      <c r="Q2" s="4">
        <v>33104483.526407998</v>
      </c>
      <c r="R2" s="4">
        <v>33104483.526407998</v>
      </c>
      <c r="S2" s="4">
        <v>33104483.526407998</v>
      </c>
      <c r="T2" s="4">
        <v>33104483.526407998</v>
      </c>
      <c r="U2" s="4">
        <f>SUM(Table623[[#This Row],[Payment 1 - 9/1/22]:[Payment 18 -2038]])</f>
        <v>697259531.12015164</v>
      </c>
    </row>
    <row r="3" spans="1:325" ht="16.2" thickBot="1" x14ac:dyDescent="0.35">
      <c r="A3" s="120" t="s">
        <v>26</v>
      </c>
      <c r="B3" s="1">
        <v>3.4185894747622387E-3</v>
      </c>
      <c r="C3" s="80">
        <f t="shared" ref="C3:C34" si="0">B3*$C$2</f>
        <v>97893.664676105866</v>
      </c>
      <c r="D3" s="80">
        <f t="shared" ref="D3:D34" si="1">B3*$D$2</f>
        <v>147700.68471988162</v>
      </c>
      <c r="E3" s="80">
        <f t="shared" ref="E3:E34" si="2">B3*$E$2</f>
        <v>143075.17846425538</v>
      </c>
      <c r="F3" s="80">
        <f t="shared" ref="F3:F34" si="3">B3*$F$2</f>
        <v>179137.48344551932</v>
      </c>
      <c r="G3" s="80">
        <f t="shared" ref="G3:G34" si="4">B3*$G$2</f>
        <v>185366.96914398481</v>
      </c>
      <c r="H3" s="80">
        <f t="shared" ref="H3:H34" si="5">B3*$H$2</f>
        <v>104484.4966162601</v>
      </c>
      <c r="I3" s="80">
        <f t="shared" ref="I3:I34" si="6">B3*$I$2</f>
        <v>132041.72947358876</v>
      </c>
      <c r="J3" s="80">
        <f t="shared" ref="J3:J34" si="7">B3*$J$2</f>
        <v>152202.26002825788</v>
      </c>
      <c r="K3" s="80">
        <f t="shared" ref="K3:K34" si="8">B3*$K$2</f>
        <v>157002.38492335475</v>
      </c>
      <c r="L3" s="80">
        <f t="shared" ref="L3:L34" si="9">B3*$L$2</f>
        <v>157002.38492335475</v>
      </c>
      <c r="M3" s="80">
        <f t="shared" ref="M3:M34" si="10">B3*$M$2</f>
        <v>135542.38519471308</v>
      </c>
      <c r="N3" s="80">
        <f t="shared" ref="N3:N34" si="11">B3*$N$2</f>
        <v>113170.63895081831</v>
      </c>
      <c r="O3" s="80">
        <f t="shared" ref="O3:O34" si="12">B3*$O$2</f>
        <v>113170.63895081831</v>
      </c>
      <c r="P3" s="80">
        <f t="shared" ref="P3:P34" si="13">B3*$P$2</f>
        <v>113170.63895081831</v>
      </c>
      <c r="Q3" s="80">
        <f t="shared" ref="Q3:Q34" si="14">B3*$Q$2</f>
        <v>113170.63895081831</v>
      </c>
      <c r="R3" s="80">
        <f t="shared" ref="R3:R34" si="15">B3*$R$2</f>
        <v>113170.63895081831</v>
      </c>
      <c r="S3" s="80">
        <f t="shared" ref="S3:S34" si="16">B3*$S$2</f>
        <v>113170.63895081831</v>
      </c>
      <c r="T3" s="80">
        <f t="shared" ref="T3:T34" si="17">B3*$T$2</f>
        <v>113170.63895081831</v>
      </c>
      <c r="U3" s="80">
        <f>SUM(Table623[[#This Row],[Payment 1 - 9/1/22]:[Payment 18 -2038]])</f>
        <v>2383644.0942650042</v>
      </c>
    </row>
    <row r="4" spans="1:325" s="119" customFormat="1" ht="16.2" thickBot="1" x14ac:dyDescent="0.35">
      <c r="A4" s="117" t="s">
        <v>27</v>
      </c>
      <c r="B4" s="1">
        <v>0.11452275526177516</v>
      </c>
      <c r="C4" s="80">
        <f t="shared" si="0"/>
        <v>3279437.9916470316</v>
      </c>
      <c r="D4" s="80">
        <f t="shared" si="1"/>
        <v>4947973.2775893062</v>
      </c>
      <c r="E4" s="80">
        <f t="shared" si="2"/>
        <v>4793018.8073946247</v>
      </c>
      <c r="F4" s="80">
        <f t="shared" si="3"/>
        <v>6001106.1071520848</v>
      </c>
      <c r="G4" s="80">
        <f t="shared" si="4"/>
        <v>6209793.8923684452</v>
      </c>
      <c r="H4" s="80">
        <f t="shared" si="5"/>
        <v>3500230.8767904784</v>
      </c>
      <c r="I4" s="80">
        <f t="shared" si="6"/>
        <v>4423398.2408481613</v>
      </c>
      <c r="J4" s="80">
        <f t="shared" si="7"/>
        <v>5098776.0607662704</v>
      </c>
      <c r="K4" s="80">
        <f t="shared" si="8"/>
        <v>5259580.2557845581</v>
      </c>
      <c r="L4" s="80">
        <f t="shared" si="9"/>
        <v>5259580.2557845581</v>
      </c>
      <c r="M4" s="80">
        <f t="shared" si="10"/>
        <v>4540670.2155516874</v>
      </c>
      <c r="N4" s="80">
        <f t="shared" si="11"/>
        <v>3791216.6649622908</v>
      </c>
      <c r="O4" s="80">
        <f t="shared" si="12"/>
        <v>3791216.6649622908</v>
      </c>
      <c r="P4" s="80">
        <f t="shared" si="13"/>
        <v>3791216.6649622908</v>
      </c>
      <c r="Q4" s="80">
        <f t="shared" si="14"/>
        <v>3791216.6649622908</v>
      </c>
      <c r="R4" s="80">
        <f t="shared" si="15"/>
        <v>3791216.6649622908</v>
      </c>
      <c r="S4" s="80">
        <f t="shared" si="16"/>
        <v>3791216.6649622908</v>
      </c>
      <c r="T4" s="80">
        <f t="shared" si="17"/>
        <v>3791216.6649622908</v>
      </c>
      <c r="U4" s="80">
        <f>SUM(Table623[[#This Row],[Payment 1 - 9/1/22]:[Payment 18 -2038]])</f>
        <v>79852082.636413246</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row>
    <row r="5" spans="1:325" ht="16.2" thickBot="1" x14ac:dyDescent="0.35">
      <c r="A5" s="117" t="s">
        <v>28</v>
      </c>
      <c r="B5" s="1">
        <v>6.0222831445004236E-3</v>
      </c>
      <c r="C5" s="80">
        <f t="shared" si="0"/>
        <v>172452.22659362786</v>
      </c>
      <c r="D5" s="80">
        <f t="shared" si="1"/>
        <v>260193.67068974505</v>
      </c>
      <c r="E5" s="80">
        <f t="shared" si="2"/>
        <v>252045.24907794077</v>
      </c>
      <c r="F5" s="80">
        <f t="shared" si="3"/>
        <v>315573.61744267523</v>
      </c>
      <c r="G5" s="80">
        <f t="shared" si="4"/>
        <v>326547.65424871328</v>
      </c>
      <c r="H5" s="80">
        <f t="shared" si="5"/>
        <v>184062.82107841503</v>
      </c>
      <c r="I5" s="80">
        <f t="shared" si="6"/>
        <v>232608.41573695641</v>
      </c>
      <c r="J5" s="80">
        <f t="shared" si="7"/>
        <v>268123.77206736634</v>
      </c>
      <c r="K5" s="80">
        <f t="shared" si="8"/>
        <v>276579.8067742681</v>
      </c>
      <c r="L5" s="80">
        <f t="shared" si="9"/>
        <v>276579.8067742681</v>
      </c>
      <c r="M5" s="80">
        <f t="shared" si="10"/>
        <v>238775.2690838305</v>
      </c>
      <c r="N5" s="80">
        <f t="shared" si="11"/>
        <v>199364.57314847884</v>
      </c>
      <c r="O5" s="80">
        <f t="shared" si="12"/>
        <v>199364.57314847884</v>
      </c>
      <c r="P5" s="80">
        <f t="shared" si="13"/>
        <v>199364.57314847884</v>
      </c>
      <c r="Q5" s="80">
        <f t="shared" si="14"/>
        <v>199364.57314847884</v>
      </c>
      <c r="R5" s="80">
        <f t="shared" si="15"/>
        <v>199364.57314847884</v>
      </c>
      <c r="S5" s="80">
        <f t="shared" si="16"/>
        <v>199364.57314847884</v>
      </c>
      <c r="T5" s="80">
        <f t="shared" si="17"/>
        <v>199364.57314847884</v>
      </c>
      <c r="U5" s="80">
        <f>SUM(Table623[[#This Row],[Payment 1 - 9/1/22]:[Payment 18 -2038]])</f>
        <v>4199094.3216071585</v>
      </c>
    </row>
    <row r="6" spans="1:325" ht="16.2" thickBot="1" x14ac:dyDescent="0.35">
      <c r="A6" s="117" t="s">
        <v>29</v>
      </c>
      <c r="B6" s="1">
        <v>1.2660706775723332E-2</v>
      </c>
      <c r="C6" s="80">
        <f t="shared" si="0"/>
        <v>362548.0604837354</v>
      </c>
      <c r="D6" s="80">
        <f t="shared" si="1"/>
        <v>547007.78599397</v>
      </c>
      <c r="E6" s="80">
        <f t="shared" si="2"/>
        <v>529877.2768105499</v>
      </c>
      <c r="F6" s="80">
        <f t="shared" si="3"/>
        <v>663433.60827273701</v>
      </c>
      <c r="G6" s="80">
        <f t="shared" si="4"/>
        <v>686504.4368627416</v>
      </c>
      <c r="H6" s="80">
        <f t="shared" si="5"/>
        <v>386957.13072115195</v>
      </c>
      <c r="I6" s="80">
        <f t="shared" si="6"/>
        <v>489015.02545600652</v>
      </c>
      <c r="J6" s="80">
        <f t="shared" si="7"/>
        <v>563679.31834055332</v>
      </c>
      <c r="K6" s="80">
        <f t="shared" si="8"/>
        <v>581456.5256455919</v>
      </c>
      <c r="L6" s="80">
        <f t="shared" si="9"/>
        <v>581456.5256455919</v>
      </c>
      <c r="M6" s="80">
        <f t="shared" si="10"/>
        <v>501979.66363064316</v>
      </c>
      <c r="N6" s="80">
        <f t="shared" si="11"/>
        <v>419126.15888961515</v>
      </c>
      <c r="O6" s="80">
        <f t="shared" si="12"/>
        <v>419126.15888961515</v>
      </c>
      <c r="P6" s="80">
        <f t="shared" si="13"/>
        <v>419126.15888961515</v>
      </c>
      <c r="Q6" s="80">
        <f t="shared" si="14"/>
        <v>419126.15888961515</v>
      </c>
      <c r="R6" s="80">
        <f t="shared" si="15"/>
        <v>419126.15888961515</v>
      </c>
      <c r="S6" s="80">
        <f t="shared" si="16"/>
        <v>419126.15888961515</v>
      </c>
      <c r="T6" s="80">
        <f t="shared" si="17"/>
        <v>419126.15888961515</v>
      </c>
      <c r="U6" s="80">
        <f>SUM(Table623[[#This Row],[Payment 1 - 9/1/22]:[Payment 18 -2038]])</f>
        <v>8827798.4700905792</v>
      </c>
    </row>
    <row r="7" spans="1:325" ht="16.2" thickBot="1" x14ac:dyDescent="0.35">
      <c r="A7" s="117" t="s">
        <v>30</v>
      </c>
      <c r="B7" s="1">
        <v>1.9080507699772487E-3</v>
      </c>
      <c r="C7" s="80">
        <f t="shared" si="0"/>
        <v>54638.348254473953</v>
      </c>
      <c r="D7" s="80">
        <f t="shared" si="1"/>
        <v>82437.627356685611</v>
      </c>
      <c r="E7" s="80">
        <f t="shared" si="2"/>
        <v>79855.948322762968</v>
      </c>
      <c r="F7" s="80">
        <f t="shared" si="3"/>
        <v>99983.755213480865</v>
      </c>
      <c r="G7" s="80">
        <f t="shared" si="4"/>
        <v>103460.67897729314</v>
      </c>
      <c r="H7" s="80">
        <f t="shared" si="5"/>
        <v>58316.953729346475</v>
      </c>
      <c r="I7" s="80">
        <f t="shared" si="6"/>
        <v>73697.741554279797</v>
      </c>
      <c r="J7" s="80">
        <f t="shared" si="7"/>
        <v>84950.135599242363</v>
      </c>
      <c r="K7" s="80">
        <f t="shared" si="8"/>
        <v>87629.276241806205</v>
      </c>
      <c r="L7" s="80">
        <f t="shared" si="9"/>
        <v>87629.276241806205</v>
      </c>
      <c r="M7" s="80">
        <f t="shared" si="10"/>
        <v>75651.596760769928</v>
      </c>
      <c r="N7" s="80">
        <f t="shared" si="11"/>
        <v>63165.035282261924</v>
      </c>
      <c r="O7" s="80">
        <f t="shared" si="12"/>
        <v>63165.035282261924</v>
      </c>
      <c r="P7" s="80">
        <f t="shared" si="13"/>
        <v>63165.035282261924</v>
      </c>
      <c r="Q7" s="80">
        <f t="shared" si="14"/>
        <v>63165.035282261924</v>
      </c>
      <c r="R7" s="80">
        <f t="shared" si="15"/>
        <v>63165.035282261924</v>
      </c>
      <c r="S7" s="80">
        <f t="shared" si="16"/>
        <v>63165.035282261924</v>
      </c>
      <c r="T7" s="80">
        <f t="shared" si="17"/>
        <v>63165.035282261924</v>
      </c>
      <c r="U7" s="80">
        <f>SUM(Table623[[#This Row],[Payment 1 - 9/1/22]:[Payment 18 -2038]])</f>
        <v>1330406.585227781</v>
      </c>
    </row>
    <row r="8" spans="1:325" ht="16.2" thickBot="1" x14ac:dyDescent="0.35">
      <c r="A8" s="117" t="s">
        <v>31</v>
      </c>
      <c r="B8" s="1">
        <v>1.8792305559577987E-2</v>
      </c>
      <c r="C8" s="80">
        <f t="shared" si="0"/>
        <v>538130.61571781558</v>
      </c>
      <c r="D8" s="80">
        <f t="shared" si="1"/>
        <v>811924.45571662311</v>
      </c>
      <c r="E8" s="80">
        <f t="shared" si="2"/>
        <v>786497.61591465666</v>
      </c>
      <c r="F8" s="80">
        <f t="shared" si="3"/>
        <v>984735.47377787286</v>
      </c>
      <c r="G8" s="80">
        <f t="shared" si="4"/>
        <v>1018979.5383515304</v>
      </c>
      <c r="H8" s="80">
        <f t="shared" si="5"/>
        <v>574361.03432337777</v>
      </c>
      <c r="I8" s="80">
        <f t="shared" si="6"/>
        <v>725845.71654524037</v>
      </c>
      <c r="J8" s="80">
        <f t="shared" si="7"/>
        <v>836670.0355292859</v>
      </c>
      <c r="K8" s="80">
        <f t="shared" si="8"/>
        <v>863056.77029774513</v>
      </c>
      <c r="L8" s="80">
        <f t="shared" si="9"/>
        <v>863056.77029774513</v>
      </c>
      <c r="M8" s="80">
        <f t="shared" si="10"/>
        <v>745089.14792415104</v>
      </c>
      <c r="N8" s="80">
        <f t="shared" si="11"/>
        <v>622109.56982027495</v>
      </c>
      <c r="O8" s="80">
        <f t="shared" si="12"/>
        <v>622109.56982027495</v>
      </c>
      <c r="P8" s="80">
        <f t="shared" si="13"/>
        <v>622109.56982027495</v>
      </c>
      <c r="Q8" s="80">
        <f t="shared" si="14"/>
        <v>622109.56982027495</v>
      </c>
      <c r="R8" s="80">
        <f t="shared" si="15"/>
        <v>622109.56982027495</v>
      </c>
      <c r="S8" s="80">
        <f t="shared" si="16"/>
        <v>622109.56982027495</v>
      </c>
      <c r="T8" s="80">
        <f t="shared" si="17"/>
        <v>622109.56982027495</v>
      </c>
      <c r="U8" s="80">
        <f>SUM(Table623[[#This Row],[Payment 1 - 9/1/22]:[Payment 18 -2038]])</f>
        <v>13103114.163137972</v>
      </c>
    </row>
    <row r="9" spans="1:325" ht="16.2" thickBot="1" x14ac:dyDescent="0.35">
      <c r="A9" s="117" t="s">
        <v>32</v>
      </c>
      <c r="B9" s="1">
        <v>8.0197735934250114E-3</v>
      </c>
      <c r="C9" s="80">
        <f t="shared" si="0"/>
        <v>229651.74166975371</v>
      </c>
      <c r="D9" s="80">
        <f t="shared" si="1"/>
        <v>346495.55314906099</v>
      </c>
      <c r="E9" s="80">
        <f t="shared" si="2"/>
        <v>335644.43657043943</v>
      </c>
      <c r="F9" s="80">
        <f t="shared" si="3"/>
        <v>420244.10065467242</v>
      </c>
      <c r="G9" s="80">
        <f t="shared" si="4"/>
        <v>434858.04165987222</v>
      </c>
      <c r="H9" s="80">
        <f t="shared" si="5"/>
        <v>245113.37587373407</v>
      </c>
      <c r="I9" s="80">
        <f t="shared" si="6"/>
        <v>309760.73116708611</v>
      </c>
      <c r="J9" s="80">
        <f t="shared" si="7"/>
        <v>357055.93632857123</v>
      </c>
      <c r="K9" s="80">
        <f t="shared" si="8"/>
        <v>368316.69611357502</v>
      </c>
      <c r="L9" s="80">
        <f t="shared" si="9"/>
        <v>368316.69611357502</v>
      </c>
      <c r="M9" s="80">
        <f t="shared" si="10"/>
        <v>317973.02647753659</v>
      </c>
      <c r="N9" s="80">
        <f t="shared" si="11"/>
        <v>265490.46280906018</v>
      </c>
      <c r="O9" s="80">
        <f t="shared" si="12"/>
        <v>265490.46280906018</v>
      </c>
      <c r="P9" s="80">
        <f t="shared" si="13"/>
        <v>265490.46280906018</v>
      </c>
      <c r="Q9" s="80">
        <f t="shared" si="14"/>
        <v>265490.46280906018</v>
      </c>
      <c r="R9" s="80">
        <f t="shared" si="15"/>
        <v>265490.46280906018</v>
      </c>
      <c r="S9" s="80">
        <f t="shared" si="16"/>
        <v>265490.46280906018</v>
      </c>
      <c r="T9" s="80">
        <f t="shared" si="17"/>
        <v>265490.46280906018</v>
      </c>
      <c r="U9" s="80">
        <f>SUM(Table623[[#This Row],[Payment 1 - 9/1/22]:[Payment 18 -2038]])</f>
        <v>5591863.5754412962</v>
      </c>
    </row>
    <row r="10" spans="1:325" ht="16.2" thickBot="1" x14ac:dyDescent="0.35">
      <c r="A10" s="117" t="s">
        <v>33</v>
      </c>
      <c r="B10" s="1">
        <v>2.2359962594508242E-3</v>
      </c>
      <c r="C10" s="80">
        <f t="shared" si="0"/>
        <v>64029.293267197485</v>
      </c>
      <c r="D10" s="80">
        <f t="shared" si="1"/>
        <v>96606.562732996812</v>
      </c>
      <c r="E10" s="80">
        <f t="shared" si="2"/>
        <v>93581.158611793871</v>
      </c>
      <c r="F10" s="80">
        <f t="shared" si="3"/>
        <v>117168.42454137413</v>
      </c>
      <c r="G10" s="80">
        <f t="shared" si="4"/>
        <v>121242.94323480103</v>
      </c>
      <c r="H10" s="80">
        <f t="shared" si="5"/>
        <v>68340.157637912504</v>
      </c>
      <c r="I10" s="80">
        <f t="shared" si="6"/>
        <v>86364.512432396179</v>
      </c>
      <c r="J10" s="80">
        <f t="shared" si="7"/>
        <v>99550.907359771736</v>
      </c>
      <c r="K10" s="80">
        <f t="shared" si="8"/>
        <v>102690.52426597537</v>
      </c>
      <c r="L10" s="80">
        <f t="shared" si="9"/>
        <v>102690.52426597537</v>
      </c>
      <c r="M10" s="80">
        <f t="shared" si="10"/>
        <v>88654.185748202406</v>
      </c>
      <c r="N10" s="80">
        <f t="shared" si="11"/>
        <v>74021.501336099711</v>
      </c>
      <c r="O10" s="80">
        <f t="shared" si="12"/>
        <v>74021.501336099711</v>
      </c>
      <c r="P10" s="80">
        <f t="shared" si="13"/>
        <v>74021.501336099711</v>
      </c>
      <c r="Q10" s="80">
        <f t="shared" si="14"/>
        <v>74021.501336099711</v>
      </c>
      <c r="R10" s="80">
        <f t="shared" si="15"/>
        <v>74021.501336099711</v>
      </c>
      <c r="S10" s="80">
        <f t="shared" si="16"/>
        <v>74021.501336099711</v>
      </c>
      <c r="T10" s="80">
        <f t="shared" si="17"/>
        <v>74021.501336099711</v>
      </c>
      <c r="U10" s="80">
        <f>SUM(Table623[[#This Row],[Payment 1 - 9/1/22]:[Payment 18 -2038]])</f>
        <v>1559069.7034510956</v>
      </c>
    </row>
    <row r="11" spans="1:325" ht="16.2" thickBot="1" x14ac:dyDescent="0.35">
      <c r="A11" s="117" t="s">
        <v>34</v>
      </c>
      <c r="B11" s="1">
        <v>5.7668825533399602E-2</v>
      </c>
      <c r="C11" s="80">
        <f t="shared" si="0"/>
        <v>1651386.5472028074</v>
      </c>
      <c r="D11" s="80">
        <f t="shared" si="1"/>
        <v>2491590.4881696622</v>
      </c>
      <c r="E11" s="80">
        <f t="shared" si="2"/>
        <v>2413561.9576225975</v>
      </c>
      <c r="F11" s="80">
        <f t="shared" si="3"/>
        <v>3021903.7283002241</v>
      </c>
      <c r="G11" s="80">
        <f t="shared" si="4"/>
        <v>3126990.0882038507</v>
      </c>
      <c r="H11" s="80">
        <f t="shared" si="5"/>
        <v>1762568.5244722916</v>
      </c>
      <c r="I11" s="80">
        <f t="shared" si="6"/>
        <v>2227436.6420291909</v>
      </c>
      <c r="J11" s="80">
        <f t="shared" si="7"/>
        <v>2567528.4043777101</v>
      </c>
      <c r="K11" s="80">
        <f t="shared" si="8"/>
        <v>2648502.6094284998</v>
      </c>
      <c r="L11" s="80">
        <f t="shared" si="9"/>
        <v>2648502.6094284998</v>
      </c>
      <c r="M11" s="80">
        <f t="shared" si="10"/>
        <v>2286489.8584286412</v>
      </c>
      <c r="N11" s="80">
        <f t="shared" si="11"/>
        <v>1909096.684857724</v>
      </c>
      <c r="O11" s="80">
        <f t="shared" si="12"/>
        <v>1909096.684857724</v>
      </c>
      <c r="P11" s="80">
        <f t="shared" si="13"/>
        <v>1909096.684857724</v>
      </c>
      <c r="Q11" s="80">
        <f t="shared" si="14"/>
        <v>1909096.684857724</v>
      </c>
      <c r="R11" s="80">
        <f t="shared" si="15"/>
        <v>1909096.684857724</v>
      </c>
      <c r="S11" s="80">
        <f t="shared" si="16"/>
        <v>1909096.684857724</v>
      </c>
      <c r="T11" s="80">
        <f t="shared" si="17"/>
        <v>1909096.684857724</v>
      </c>
      <c r="U11" s="80">
        <f>SUM(Table623[[#This Row],[Payment 1 - 9/1/22]:[Payment 18 -2038]])</f>
        <v>40210138.251668043</v>
      </c>
    </row>
    <row r="12" spans="1:325" ht="16.2" thickBot="1" x14ac:dyDescent="0.35">
      <c r="A12" s="117" t="s">
        <v>35</v>
      </c>
      <c r="B12" s="1">
        <v>1.3604794180508509E-2</v>
      </c>
      <c r="C12" s="80">
        <f t="shared" si="0"/>
        <v>389582.6537015721</v>
      </c>
      <c r="D12" s="80">
        <f t="shared" si="1"/>
        <v>587797.22770717391</v>
      </c>
      <c r="E12" s="80">
        <f t="shared" si="2"/>
        <v>569389.3255437162</v>
      </c>
      <c r="F12" s="80">
        <f t="shared" si="3"/>
        <v>712904.72584750527</v>
      </c>
      <c r="G12" s="80">
        <f t="shared" si="4"/>
        <v>737695.9069482832</v>
      </c>
      <c r="H12" s="80">
        <f t="shared" si="5"/>
        <v>415811.8668569061</v>
      </c>
      <c r="I12" s="80">
        <f t="shared" si="6"/>
        <v>525480.04549493256</v>
      </c>
      <c r="J12" s="80">
        <f t="shared" si="7"/>
        <v>605711.92791047262</v>
      </c>
      <c r="K12" s="80">
        <f t="shared" si="8"/>
        <v>624814.7513763028</v>
      </c>
      <c r="L12" s="80">
        <f t="shared" si="9"/>
        <v>624814.7513763028</v>
      </c>
      <c r="M12" s="80">
        <f t="shared" si="10"/>
        <v>539411.43472265743</v>
      </c>
      <c r="N12" s="80">
        <f t="shared" si="11"/>
        <v>450379.68482881534</v>
      </c>
      <c r="O12" s="80">
        <f t="shared" si="12"/>
        <v>450379.68482881534</v>
      </c>
      <c r="P12" s="80">
        <f t="shared" si="13"/>
        <v>450379.68482881534</v>
      </c>
      <c r="Q12" s="80">
        <f t="shared" si="14"/>
        <v>450379.68482881534</v>
      </c>
      <c r="R12" s="80">
        <f t="shared" si="15"/>
        <v>450379.68482881534</v>
      </c>
      <c r="S12" s="80">
        <f t="shared" si="16"/>
        <v>450379.68482881534</v>
      </c>
      <c r="T12" s="80">
        <f t="shared" si="17"/>
        <v>450379.68482881534</v>
      </c>
      <c r="U12" s="80">
        <f>SUM(Table623[[#This Row],[Payment 1 - 9/1/22]:[Payment 18 -2038]])</f>
        <v>9486072.4112875331</v>
      </c>
    </row>
    <row r="13" spans="1:325" ht="16.2" thickBot="1" x14ac:dyDescent="0.35">
      <c r="A13" s="117" t="s">
        <v>36</v>
      </c>
      <c r="B13" s="1">
        <v>1.5771226721418889E-2</v>
      </c>
      <c r="C13" s="80">
        <f t="shared" si="0"/>
        <v>451619.94196591823</v>
      </c>
      <c r="D13" s="80">
        <f t="shared" si="1"/>
        <v>681398.2792678182</v>
      </c>
      <c r="E13" s="80">
        <f t="shared" si="2"/>
        <v>660059.09584220476</v>
      </c>
      <c r="F13" s="80">
        <f t="shared" si="3"/>
        <v>826427.94245430746</v>
      </c>
      <c r="G13" s="80">
        <f t="shared" si="4"/>
        <v>855166.88055542833</v>
      </c>
      <c r="H13" s="80">
        <f t="shared" si="5"/>
        <v>482025.90488668426</v>
      </c>
      <c r="I13" s="80">
        <f t="shared" si="6"/>
        <v>609157.68552790652</v>
      </c>
      <c r="J13" s="80">
        <f t="shared" si="7"/>
        <v>702165.72306768561</v>
      </c>
      <c r="K13" s="80">
        <f t="shared" si="8"/>
        <v>724310.48732516193</v>
      </c>
      <c r="L13" s="80">
        <f t="shared" si="9"/>
        <v>724310.48732516193</v>
      </c>
      <c r="M13" s="80">
        <f t="shared" si="10"/>
        <v>625307.51441466506</v>
      </c>
      <c r="N13" s="80">
        <f t="shared" si="11"/>
        <v>522098.31519045722</v>
      </c>
      <c r="O13" s="80">
        <f t="shared" si="12"/>
        <v>522098.31519045722</v>
      </c>
      <c r="P13" s="80">
        <f t="shared" si="13"/>
        <v>522098.31519045722</v>
      </c>
      <c r="Q13" s="80">
        <f t="shared" si="14"/>
        <v>522098.31519045722</v>
      </c>
      <c r="R13" s="80">
        <f t="shared" si="15"/>
        <v>522098.31519045722</v>
      </c>
      <c r="S13" s="80">
        <f t="shared" si="16"/>
        <v>522098.31519045722</v>
      </c>
      <c r="T13" s="80">
        <f t="shared" si="17"/>
        <v>522098.31519045722</v>
      </c>
      <c r="U13" s="80">
        <f>SUM(Table623[[#This Row],[Payment 1 - 9/1/22]:[Payment 18 -2038]])</f>
        <v>10996638.148966141</v>
      </c>
    </row>
    <row r="14" spans="1:325" ht="16.2" thickBot="1" x14ac:dyDescent="0.35">
      <c r="A14" s="117" t="s">
        <v>37</v>
      </c>
      <c r="B14" s="1">
        <v>1.4285891185864001E-3</v>
      </c>
      <c r="C14" s="80">
        <f t="shared" si="0"/>
        <v>40908.633565765362</v>
      </c>
      <c r="D14" s="80">
        <f t="shared" si="1"/>
        <v>61722.412871249682</v>
      </c>
      <c r="E14" s="80">
        <f t="shared" si="2"/>
        <v>59789.467148013762</v>
      </c>
      <c r="F14" s="80">
        <f t="shared" si="3"/>
        <v>74859.488531894865</v>
      </c>
      <c r="G14" s="80">
        <f t="shared" si="4"/>
        <v>77462.718767322978</v>
      </c>
      <c r="H14" s="80">
        <f t="shared" si="5"/>
        <v>43662.866228577521</v>
      </c>
      <c r="I14" s="80">
        <f t="shared" si="6"/>
        <v>55178.716051718198</v>
      </c>
      <c r="J14" s="80">
        <f t="shared" si="7"/>
        <v>63603.569280792181</v>
      </c>
      <c r="K14" s="80">
        <f t="shared" si="8"/>
        <v>65609.48611977385</v>
      </c>
      <c r="L14" s="80">
        <f t="shared" si="9"/>
        <v>65609.48611977385</v>
      </c>
      <c r="M14" s="80">
        <f t="shared" si="10"/>
        <v>56641.599708277536</v>
      </c>
      <c r="N14" s="80">
        <f t="shared" si="11"/>
        <v>47292.704942249205</v>
      </c>
      <c r="O14" s="80">
        <f t="shared" si="12"/>
        <v>47292.704942249205</v>
      </c>
      <c r="P14" s="80">
        <f t="shared" si="13"/>
        <v>47292.704942249205</v>
      </c>
      <c r="Q14" s="80">
        <f t="shared" si="14"/>
        <v>47292.704942249205</v>
      </c>
      <c r="R14" s="80">
        <f t="shared" si="15"/>
        <v>47292.704942249205</v>
      </c>
      <c r="S14" s="80">
        <f t="shared" si="16"/>
        <v>47292.704942249205</v>
      </c>
      <c r="T14" s="80">
        <f t="shared" si="17"/>
        <v>47292.704942249205</v>
      </c>
      <c r="U14" s="80">
        <f>SUM(Table623[[#This Row],[Payment 1 - 9/1/22]:[Payment 18 -2038]])</f>
        <v>996097.3789889043</v>
      </c>
    </row>
    <row r="15" spans="1:325" ht="16.2" thickBot="1" x14ac:dyDescent="0.35">
      <c r="A15" s="117" t="s">
        <v>38</v>
      </c>
      <c r="B15" s="1">
        <v>6.399917820696671E-3</v>
      </c>
      <c r="C15" s="80">
        <f t="shared" si="0"/>
        <v>183266.05569903585</v>
      </c>
      <c r="D15" s="80">
        <f t="shared" si="1"/>
        <v>276509.43503054406</v>
      </c>
      <c r="E15" s="80">
        <f t="shared" si="2"/>
        <v>267850.05661331385</v>
      </c>
      <c r="F15" s="80">
        <f t="shared" si="3"/>
        <v>335362.04950068484</v>
      </c>
      <c r="G15" s="80">
        <f t="shared" si="4"/>
        <v>347024.22679038619</v>
      </c>
      <c r="H15" s="80">
        <f t="shared" si="5"/>
        <v>195604.70680014344</v>
      </c>
      <c r="I15" s="80">
        <f t="shared" si="6"/>
        <v>247194.41271678364</v>
      </c>
      <c r="J15" s="80">
        <f t="shared" si="7"/>
        <v>284936.8031746202</v>
      </c>
      <c r="K15" s="80">
        <f t="shared" si="8"/>
        <v>293923.08394465526</v>
      </c>
      <c r="L15" s="80">
        <f t="shared" si="9"/>
        <v>293923.08394465526</v>
      </c>
      <c r="M15" s="80">
        <f t="shared" si="10"/>
        <v>253747.96619231629</v>
      </c>
      <c r="N15" s="80">
        <f t="shared" si="11"/>
        <v>211865.97406561792</v>
      </c>
      <c r="O15" s="80">
        <f t="shared" si="12"/>
        <v>211865.97406561792</v>
      </c>
      <c r="P15" s="80">
        <f t="shared" si="13"/>
        <v>211865.97406561792</v>
      </c>
      <c r="Q15" s="80">
        <f t="shared" si="14"/>
        <v>211865.97406561792</v>
      </c>
      <c r="R15" s="80">
        <f t="shared" si="15"/>
        <v>211865.97406561792</v>
      </c>
      <c r="S15" s="80">
        <f t="shared" si="16"/>
        <v>211865.97406561792</v>
      </c>
      <c r="T15" s="80">
        <f t="shared" si="17"/>
        <v>211865.97406561792</v>
      </c>
      <c r="U15" s="80">
        <f>SUM(Table623[[#This Row],[Payment 1 - 9/1/22]:[Payment 18 -2038]])</f>
        <v>4462403.6988664651</v>
      </c>
    </row>
    <row r="16" spans="1:325" ht="16.2" thickBot="1" x14ac:dyDescent="0.35">
      <c r="A16" s="117" t="s">
        <v>39</v>
      </c>
      <c r="B16" s="1">
        <v>2.4844407644750662E-3</v>
      </c>
      <c r="C16" s="80">
        <f t="shared" si="0"/>
        <v>71143.672821986169</v>
      </c>
      <c r="D16" s="80">
        <f t="shared" si="1"/>
        <v>107340.64583302297</v>
      </c>
      <c r="E16" s="80">
        <f t="shared" si="2"/>
        <v>103979.08505403779</v>
      </c>
      <c r="F16" s="80">
        <f t="shared" si="3"/>
        <v>130187.16333246742</v>
      </c>
      <c r="G16" s="80">
        <f t="shared" si="4"/>
        <v>134714.40719290738</v>
      </c>
      <c r="H16" s="80">
        <f t="shared" si="5"/>
        <v>75933.523040858185</v>
      </c>
      <c r="I16" s="80">
        <f t="shared" si="6"/>
        <v>95960.587762234427</v>
      </c>
      <c r="J16" s="80">
        <f t="shared" si="7"/>
        <v>110612.140489825</v>
      </c>
      <c r="K16" s="80">
        <f t="shared" si="8"/>
        <v>114100.60438757912</v>
      </c>
      <c r="L16" s="80">
        <f t="shared" si="9"/>
        <v>114100.60438757912</v>
      </c>
      <c r="M16" s="80">
        <f t="shared" si="10"/>
        <v>98504.669711869239</v>
      </c>
      <c r="N16" s="80">
        <f t="shared" si="11"/>
        <v>82246.128359901326</v>
      </c>
      <c r="O16" s="80">
        <f t="shared" si="12"/>
        <v>82246.128359901326</v>
      </c>
      <c r="P16" s="80">
        <f t="shared" si="13"/>
        <v>82246.128359901326</v>
      </c>
      <c r="Q16" s="80">
        <f t="shared" si="14"/>
        <v>82246.128359901326</v>
      </c>
      <c r="R16" s="80">
        <f t="shared" si="15"/>
        <v>82246.128359901326</v>
      </c>
      <c r="S16" s="80">
        <f t="shared" si="16"/>
        <v>82246.128359901326</v>
      </c>
      <c r="T16" s="80">
        <f t="shared" si="17"/>
        <v>82246.128359901326</v>
      </c>
      <c r="U16" s="80">
        <f>SUM(Table623[[#This Row],[Payment 1 - 9/1/22]:[Payment 18 -2038]])</f>
        <v>1732300.0025336756</v>
      </c>
    </row>
    <row r="17" spans="1:21" ht="16.2" thickBot="1" x14ac:dyDescent="0.35">
      <c r="A17" s="117" t="s">
        <v>40</v>
      </c>
      <c r="B17" s="1">
        <v>2.2161205847617552E-2</v>
      </c>
      <c r="C17" s="80">
        <f t="shared" si="0"/>
        <v>634601.39630123705</v>
      </c>
      <c r="D17" s="80">
        <f t="shared" si="1"/>
        <v>957478.31147201685</v>
      </c>
      <c r="E17" s="80">
        <f t="shared" si="2"/>
        <v>927493.19713256974</v>
      </c>
      <c r="F17" s="80">
        <f t="shared" si="3"/>
        <v>1161269.1944932756</v>
      </c>
      <c r="G17" s="80">
        <f t="shared" si="4"/>
        <v>1201652.1992113502</v>
      </c>
      <c r="H17" s="80">
        <f t="shared" si="5"/>
        <v>677326.8491264754</v>
      </c>
      <c r="I17" s="80">
        <f t="shared" si="6"/>
        <v>855968.2199171182</v>
      </c>
      <c r="J17" s="80">
        <f t="shared" si="7"/>
        <v>986660.03621081926</v>
      </c>
      <c r="K17" s="80">
        <f t="shared" si="8"/>
        <v>1017777.1260748819</v>
      </c>
      <c r="L17" s="80">
        <f t="shared" si="9"/>
        <v>1017777.1260748819</v>
      </c>
      <c r="M17" s="80">
        <f t="shared" si="10"/>
        <v>878661.42499781074</v>
      </c>
      <c r="N17" s="80">
        <f t="shared" si="11"/>
        <v>733635.27390779182</v>
      </c>
      <c r="O17" s="80">
        <f t="shared" si="12"/>
        <v>733635.27390779182</v>
      </c>
      <c r="P17" s="80">
        <f t="shared" si="13"/>
        <v>733635.27390779182</v>
      </c>
      <c r="Q17" s="80">
        <f t="shared" si="14"/>
        <v>733635.27390779182</v>
      </c>
      <c r="R17" s="80">
        <f t="shared" si="15"/>
        <v>733635.27390779182</v>
      </c>
      <c r="S17" s="80">
        <f t="shared" si="16"/>
        <v>733635.27390779182</v>
      </c>
      <c r="T17" s="80">
        <f t="shared" si="17"/>
        <v>733635.27390779182</v>
      </c>
      <c r="U17" s="80">
        <f>SUM(Table623[[#This Row],[Payment 1 - 9/1/22]:[Payment 18 -2038]])</f>
        <v>15452111.998366978</v>
      </c>
    </row>
    <row r="18" spans="1:21" ht="16.2" thickBot="1" x14ac:dyDescent="0.35">
      <c r="A18" s="117" t="s">
        <v>41</v>
      </c>
      <c r="B18" s="1">
        <v>1.4608509466514366E-3</v>
      </c>
      <c r="C18" s="80">
        <f t="shared" si="0"/>
        <v>41832.473237581034</v>
      </c>
      <c r="D18" s="80">
        <f t="shared" si="1"/>
        <v>63116.290121121099</v>
      </c>
      <c r="E18" s="80">
        <f t="shared" si="2"/>
        <v>61139.692684617345</v>
      </c>
      <c r="F18" s="80">
        <f t="shared" si="3"/>
        <v>76550.040361410633</v>
      </c>
      <c r="G18" s="80">
        <f t="shared" si="4"/>
        <v>79212.059345245434</v>
      </c>
      <c r="H18" s="80">
        <f t="shared" si="5"/>
        <v>44648.904736617485</v>
      </c>
      <c r="I18" s="80">
        <f t="shared" si="6"/>
        <v>56424.816996314141</v>
      </c>
      <c r="J18" s="80">
        <f t="shared" si="7"/>
        <v>65039.928685860301</v>
      </c>
      <c r="K18" s="80">
        <f t="shared" si="8"/>
        <v>67091.145144816692</v>
      </c>
      <c r="L18" s="80">
        <f t="shared" si="9"/>
        <v>67091.145144816692</v>
      </c>
      <c r="M18" s="80">
        <f t="shared" si="10"/>
        <v>57920.736954489563</v>
      </c>
      <c r="N18" s="80">
        <f t="shared" si="11"/>
        <v>48360.716097960008</v>
      </c>
      <c r="O18" s="80">
        <f t="shared" si="12"/>
        <v>48360.716097960008</v>
      </c>
      <c r="P18" s="80">
        <f t="shared" si="13"/>
        <v>48360.716097960008</v>
      </c>
      <c r="Q18" s="80">
        <f t="shared" si="14"/>
        <v>48360.716097960008</v>
      </c>
      <c r="R18" s="80">
        <f t="shared" si="15"/>
        <v>48360.716097960008</v>
      </c>
      <c r="S18" s="80">
        <f t="shared" si="16"/>
        <v>48360.716097960008</v>
      </c>
      <c r="T18" s="80">
        <f t="shared" si="17"/>
        <v>48360.716097960008</v>
      </c>
      <c r="U18" s="80">
        <f>SUM(Table623[[#This Row],[Payment 1 - 9/1/22]:[Payment 18 -2038]])</f>
        <v>1018592.2460986106</v>
      </c>
    </row>
    <row r="19" spans="1:21" ht="16.2" thickBot="1" x14ac:dyDescent="0.35">
      <c r="A19" s="117" t="s">
        <v>42</v>
      </c>
      <c r="B19" s="1">
        <v>2.9713910800255451E-3</v>
      </c>
      <c r="C19" s="80">
        <f t="shared" si="0"/>
        <v>85087.830567846511</v>
      </c>
      <c r="D19" s="80">
        <f t="shared" si="1"/>
        <v>128379.40920672999</v>
      </c>
      <c r="E19" s="80">
        <f t="shared" si="2"/>
        <v>124358.9826155769</v>
      </c>
      <c r="F19" s="80">
        <f t="shared" si="3"/>
        <v>155703.84345293764</v>
      </c>
      <c r="G19" s="80">
        <f t="shared" si="4"/>
        <v>161118.42697465586</v>
      </c>
      <c r="H19" s="80">
        <f t="shared" si="5"/>
        <v>90816.491286397344</v>
      </c>
      <c r="I19" s="80">
        <f t="shared" si="6"/>
        <v>114768.86009433914</v>
      </c>
      <c r="J19" s="80">
        <f t="shared" si="7"/>
        <v>132292.11671844512</v>
      </c>
      <c r="K19" s="80">
        <f t="shared" si="8"/>
        <v>136464.31943585136</v>
      </c>
      <c r="L19" s="80">
        <f t="shared" si="9"/>
        <v>136464.31943585136</v>
      </c>
      <c r="M19" s="80">
        <f t="shared" si="10"/>
        <v>117811.58203003243</v>
      </c>
      <c r="N19" s="80">
        <f t="shared" si="11"/>
        <v>98366.367059221331</v>
      </c>
      <c r="O19" s="80">
        <f t="shared" si="12"/>
        <v>98366.367059221331</v>
      </c>
      <c r="P19" s="80">
        <f t="shared" si="13"/>
        <v>98366.367059221331</v>
      </c>
      <c r="Q19" s="80">
        <f t="shared" si="14"/>
        <v>98366.367059221331</v>
      </c>
      <c r="R19" s="80">
        <f t="shared" si="15"/>
        <v>98366.367059221331</v>
      </c>
      <c r="S19" s="80">
        <f t="shared" si="16"/>
        <v>98366.367059221331</v>
      </c>
      <c r="T19" s="80">
        <f t="shared" si="17"/>
        <v>98366.367059221331</v>
      </c>
      <c r="U19" s="80">
        <f>SUM(Table623[[#This Row],[Payment 1 - 9/1/22]:[Payment 18 -2038]])</f>
        <v>2071830.7512332124</v>
      </c>
    </row>
    <row r="20" spans="1:21" ht="16.2" thickBot="1" x14ac:dyDescent="0.35">
      <c r="A20" s="117" t="s">
        <v>43</v>
      </c>
      <c r="B20" s="1">
        <v>1.4285891185863999E-3</v>
      </c>
      <c r="C20" s="80">
        <f t="shared" si="0"/>
        <v>40908.633565765354</v>
      </c>
      <c r="D20" s="80">
        <f t="shared" si="1"/>
        <v>61722.412871249668</v>
      </c>
      <c r="E20" s="80">
        <f t="shared" si="2"/>
        <v>59789.467148013755</v>
      </c>
      <c r="F20" s="80">
        <f t="shared" si="3"/>
        <v>74859.488531894851</v>
      </c>
      <c r="G20" s="80">
        <f t="shared" si="4"/>
        <v>77462.718767322978</v>
      </c>
      <c r="H20" s="80">
        <f t="shared" si="5"/>
        <v>43662.866228577514</v>
      </c>
      <c r="I20" s="80">
        <f t="shared" si="6"/>
        <v>55178.716051718191</v>
      </c>
      <c r="J20" s="80">
        <f t="shared" si="7"/>
        <v>63603.569280792173</v>
      </c>
      <c r="K20" s="80">
        <f t="shared" si="8"/>
        <v>65609.486119773836</v>
      </c>
      <c r="L20" s="80">
        <f t="shared" si="9"/>
        <v>65609.486119773836</v>
      </c>
      <c r="M20" s="80">
        <f t="shared" si="10"/>
        <v>56641.599708277528</v>
      </c>
      <c r="N20" s="80">
        <f t="shared" si="11"/>
        <v>47292.704942249198</v>
      </c>
      <c r="O20" s="80">
        <f t="shared" si="12"/>
        <v>47292.704942249198</v>
      </c>
      <c r="P20" s="80">
        <f t="shared" si="13"/>
        <v>47292.704942249198</v>
      </c>
      <c r="Q20" s="80">
        <f t="shared" si="14"/>
        <v>47292.704942249198</v>
      </c>
      <c r="R20" s="80">
        <f t="shared" si="15"/>
        <v>47292.704942249198</v>
      </c>
      <c r="S20" s="80">
        <f t="shared" si="16"/>
        <v>47292.704942249198</v>
      </c>
      <c r="T20" s="80">
        <f t="shared" si="17"/>
        <v>47292.704942249198</v>
      </c>
      <c r="U20" s="80">
        <f>SUM(Table623[[#This Row],[Payment 1 - 9/1/22]:[Payment 18 -2038]])</f>
        <v>996097.37898890418</v>
      </c>
    </row>
    <row r="21" spans="1:21" ht="16.2" thickBot="1" x14ac:dyDescent="0.35">
      <c r="A21" s="117" t="s">
        <v>44</v>
      </c>
      <c r="B21" s="1">
        <v>3.2595860772744538E-3</v>
      </c>
      <c r="C21" s="80">
        <f t="shared" si="0"/>
        <v>93340.492851602612</v>
      </c>
      <c r="D21" s="80">
        <f t="shared" si="1"/>
        <v>140830.91844489868</v>
      </c>
      <c r="E21" s="80">
        <f t="shared" si="2"/>
        <v>136420.5509812143</v>
      </c>
      <c r="F21" s="80">
        <f t="shared" si="3"/>
        <v>170805.5475124309</v>
      </c>
      <c r="G21" s="80">
        <f t="shared" si="4"/>
        <v>176745.29108246299</v>
      </c>
      <c r="H21" s="80">
        <f t="shared" si="5"/>
        <v>99624.775942153196</v>
      </c>
      <c r="I21" s="80">
        <f t="shared" si="6"/>
        <v>125900.28319831645</v>
      </c>
      <c r="J21" s="80">
        <f t="shared" si="7"/>
        <v>145123.11916373644</v>
      </c>
      <c r="K21" s="80">
        <f t="shared" si="8"/>
        <v>149699.98350873782</v>
      </c>
      <c r="L21" s="80">
        <f t="shared" si="9"/>
        <v>149699.98350873782</v>
      </c>
      <c r="M21" s="80">
        <f t="shared" si="10"/>
        <v>129238.11850558208</v>
      </c>
      <c r="N21" s="80">
        <f t="shared" si="11"/>
        <v>107906.91359804102</v>
      </c>
      <c r="O21" s="80">
        <f t="shared" si="12"/>
        <v>107906.91359804102</v>
      </c>
      <c r="P21" s="80">
        <f t="shared" si="13"/>
        <v>107906.91359804102</v>
      </c>
      <c r="Q21" s="80">
        <f t="shared" si="14"/>
        <v>107906.91359804102</v>
      </c>
      <c r="R21" s="80">
        <f t="shared" si="15"/>
        <v>107906.91359804102</v>
      </c>
      <c r="S21" s="80">
        <f t="shared" si="16"/>
        <v>107906.91359804102</v>
      </c>
      <c r="T21" s="80">
        <f t="shared" si="17"/>
        <v>107906.91359804102</v>
      </c>
      <c r="U21" s="80">
        <f>SUM(Table623[[#This Row],[Payment 1 - 9/1/22]:[Payment 18 -2038]])</f>
        <v>2272777.4598861602</v>
      </c>
    </row>
    <row r="22" spans="1:21" s="84" customFormat="1" ht="16.2" thickBot="1" x14ac:dyDescent="0.35">
      <c r="A22" s="118" t="s">
        <v>45</v>
      </c>
      <c r="B22" s="84">
        <v>6.6682368575386878E-3</v>
      </c>
      <c r="C22" s="83">
        <f t="shared" si="0"/>
        <v>190949.55616399148</v>
      </c>
      <c r="D22" s="83">
        <f t="shared" si="1"/>
        <v>288102.20033843507</v>
      </c>
      <c r="E22" s="83">
        <f t="shared" si="2"/>
        <v>279079.77412252099</v>
      </c>
      <c r="F22" s="83">
        <f t="shared" si="3"/>
        <v>349422.23349623388</v>
      </c>
      <c r="G22" s="83">
        <f t="shared" si="4"/>
        <v>361573.3520919836</v>
      </c>
      <c r="H22" s="83">
        <f t="shared" si="5"/>
        <v>203805.50999806111</v>
      </c>
      <c r="I22" s="83">
        <f t="shared" si="6"/>
        <v>257558.13434433343</v>
      </c>
      <c r="J22" s="83">
        <f t="shared" si="7"/>
        <v>296882.88916050788</v>
      </c>
      <c r="K22" s="83">
        <f t="shared" si="8"/>
        <v>306245.92323715735</v>
      </c>
      <c r="L22" s="83">
        <f t="shared" si="9"/>
        <v>306245.92323715735</v>
      </c>
      <c r="M22" s="83">
        <f t="shared" si="10"/>
        <v>264386.44809112471</v>
      </c>
      <c r="N22" s="83">
        <f t="shared" si="11"/>
        <v>220748.53720057613</v>
      </c>
      <c r="O22" s="83">
        <f t="shared" si="12"/>
        <v>220748.53720057613</v>
      </c>
      <c r="P22" s="83">
        <f t="shared" si="13"/>
        <v>220748.53720057613</v>
      </c>
      <c r="Q22" s="83">
        <f t="shared" si="14"/>
        <v>220748.53720057613</v>
      </c>
      <c r="R22" s="83">
        <f t="shared" si="15"/>
        <v>220748.53720057613</v>
      </c>
      <c r="S22" s="83">
        <f t="shared" si="16"/>
        <v>220748.53720057613</v>
      </c>
      <c r="T22" s="83">
        <f t="shared" si="17"/>
        <v>220748.53720057613</v>
      </c>
      <c r="U22" s="83">
        <f>SUM(Table623[[#This Row],[Payment 1 - 9/1/22]:[Payment 18 -2038]])</f>
        <v>4649491.704685539</v>
      </c>
    </row>
    <row r="23" spans="1:21" ht="16.2" thickBot="1" x14ac:dyDescent="0.35">
      <c r="A23" s="117" t="s">
        <v>46</v>
      </c>
      <c r="B23" s="1">
        <v>1.0414773250363621E-2</v>
      </c>
      <c r="C23" s="80">
        <f t="shared" si="0"/>
        <v>298234.20676145446</v>
      </c>
      <c r="D23" s="80">
        <f t="shared" si="1"/>
        <v>449971.88215704082</v>
      </c>
      <c r="E23" s="80">
        <f t="shared" si="2"/>
        <v>435880.2226652744</v>
      </c>
      <c r="F23" s="80">
        <f t="shared" si="3"/>
        <v>545744.46112913499</v>
      </c>
      <c r="G23" s="80">
        <f t="shared" si="4"/>
        <v>564722.66295619507</v>
      </c>
      <c r="H23" s="80">
        <f t="shared" si="5"/>
        <v>318313.25418575347</v>
      </c>
      <c r="I23" s="80">
        <f t="shared" si="6"/>
        <v>402266.68987475464</v>
      </c>
      <c r="J23" s="80">
        <f t="shared" si="7"/>
        <v>463685.98455286445</v>
      </c>
      <c r="K23" s="80">
        <f t="shared" si="8"/>
        <v>478309.62179416738</v>
      </c>
      <c r="L23" s="80">
        <f t="shared" si="9"/>
        <v>478309.62179416738</v>
      </c>
      <c r="M23" s="80">
        <f t="shared" si="10"/>
        <v>412931.47891487001</v>
      </c>
      <c r="N23" s="80">
        <f t="shared" si="11"/>
        <v>344775.68949793716</v>
      </c>
      <c r="O23" s="80">
        <f t="shared" si="12"/>
        <v>344775.68949793716</v>
      </c>
      <c r="P23" s="80">
        <f t="shared" si="13"/>
        <v>344775.68949793716</v>
      </c>
      <c r="Q23" s="80">
        <f t="shared" si="14"/>
        <v>344775.68949793716</v>
      </c>
      <c r="R23" s="80">
        <f t="shared" si="15"/>
        <v>344775.68949793716</v>
      </c>
      <c r="S23" s="80">
        <f t="shared" si="16"/>
        <v>344775.68949793716</v>
      </c>
      <c r="T23" s="80">
        <f t="shared" si="17"/>
        <v>344775.68949793716</v>
      </c>
      <c r="U23" s="80">
        <f>SUM(Table623[[#This Row],[Payment 1 - 9/1/22]:[Payment 18 -2038]])</f>
        <v>7261799.913271239</v>
      </c>
    </row>
    <row r="24" spans="1:21" ht="16.2" thickBot="1" x14ac:dyDescent="0.35">
      <c r="A24" s="117" t="s">
        <v>47</v>
      </c>
      <c r="B24" s="1">
        <v>1.6009732531945126E-2</v>
      </c>
      <c r="C24" s="80">
        <f t="shared" si="0"/>
        <v>458449.72015698988</v>
      </c>
      <c r="D24" s="80">
        <f t="shared" si="1"/>
        <v>691702.95954149903</v>
      </c>
      <c r="E24" s="80">
        <f t="shared" si="2"/>
        <v>670041.06696149986</v>
      </c>
      <c r="F24" s="80">
        <f t="shared" si="3"/>
        <v>838925.88378368434</v>
      </c>
      <c r="G24" s="80">
        <f t="shared" si="4"/>
        <v>868099.43637907051</v>
      </c>
      <c r="H24" s="80">
        <f t="shared" si="5"/>
        <v>489315.50772927777</v>
      </c>
      <c r="I24" s="80">
        <f t="shared" si="6"/>
        <v>618369.88253017294</v>
      </c>
      <c r="J24" s="80">
        <f t="shared" si="7"/>
        <v>712784.46616625239</v>
      </c>
      <c r="K24" s="80">
        <f t="shared" si="8"/>
        <v>735264.12225183041</v>
      </c>
      <c r="L24" s="80">
        <f t="shared" si="9"/>
        <v>735264.12225183041</v>
      </c>
      <c r="M24" s="80">
        <f t="shared" si="10"/>
        <v>634763.94276916143</v>
      </c>
      <c r="N24" s="80">
        <f t="shared" si="11"/>
        <v>529993.92686597561</v>
      </c>
      <c r="O24" s="80">
        <f t="shared" si="12"/>
        <v>529993.92686597561</v>
      </c>
      <c r="P24" s="80">
        <f t="shared" si="13"/>
        <v>529993.92686597561</v>
      </c>
      <c r="Q24" s="80">
        <f t="shared" si="14"/>
        <v>529993.92686597561</v>
      </c>
      <c r="R24" s="80">
        <f t="shared" si="15"/>
        <v>529993.92686597561</v>
      </c>
      <c r="S24" s="80">
        <f t="shared" si="16"/>
        <v>529993.92686597561</v>
      </c>
      <c r="T24" s="80">
        <f t="shared" si="17"/>
        <v>529993.92686597561</v>
      </c>
      <c r="U24" s="80">
        <f>SUM(Table623[[#This Row],[Payment 1 - 9/1/22]:[Payment 18 -2038]])</f>
        <v>11162938.5985831</v>
      </c>
    </row>
    <row r="25" spans="1:21" ht="16.2" thickBot="1" x14ac:dyDescent="0.35">
      <c r="A25" s="117" t="s">
        <v>48</v>
      </c>
      <c r="B25" s="1">
        <v>6.4277437366895854E-2</v>
      </c>
      <c r="C25" s="80">
        <f t="shared" si="0"/>
        <v>1840628.6997276647</v>
      </c>
      <c r="D25" s="80">
        <f t="shared" si="1"/>
        <v>2777116.5801620898</v>
      </c>
      <c r="E25" s="80">
        <f t="shared" si="2"/>
        <v>2690146.2987547619</v>
      </c>
      <c r="F25" s="80">
        <f t="shared" si="3"/>
        <v>3368201.5513236024</v>
      </c>
      <c r="G25" s="80">
        <f t="shared" si="4"/>
        <v>3485330.3788026427</v>
      </c>
      <c r="H25" s="80">
        <f t="shared" si="5"/>
        <v>1964551.6774225705</v>
      </c>
      <c r="I25" s="80">
        <f t="shared" si="6"/>
        <v>2482691.7823016741</v>
      </c>
      <c r="J25" s="80">
        <f t="shared" si="7"/>
        <v>2861756.6713671456</v>
      </c>
      <c r="K25" s="80">
        <f t="shared" si="8"/>
        <v>2952010.1895434763</v>
      </c>
      <c r="L25" s="80">
        <f t="shared" si="9"/>
        <v>2952010.1895434763</v>
      </c>
      <c r="M25" s="80">
        <f t="shared" si="10"/>
        <v>2548512.2560727415</v>
      </c>
      <c r="N25" s="80">
        <f t="shared" si="11"/>
        <v>2127871.3664321257</v>
      </c>
      <c r="O25" s="80">
        <f t="shared" si="12"/>
        <v>2127871.3664321257</v>
      </c>
      <c r="P25" s="80">
        <f t="shared" si="13"/>
        <v>2127871.3664321257</v>
      </c>
      <c r="Q25" s="80">
        <f t="shared" si="14"/>
        <v>2127871.3664321257</v>
      </c>
      <c r="R25" s="80">
        <f t="shared" si="15"/>
        <v>2127871.3664321257</v>
      </c>
      <c r="S25" s="80">
        <f t="shared" si="16"/>
        <v>2127871.3664321257</v>
      </c>
      <c r="T25" s="80">
        <f t="shared" si="17"/>
        <v>2127871.3664321257</v>
      </c>
      <c r="U25" s="80">
        <f>SUM(Table623[[#This Row],[Payment 1 - 9/1/22]:[Payment 18 -2038]])</f>
        <v>44818055.840046711</v>
      </c>
    </row>
    <row r="26" spans="1:21" ht="16.2" thickBot="1" x14ac:dyDescent="0.35">
      <c r="A26" s="117" t="s">
        <v>49</v>
      </c>
      <c r="B26" s="1">
        <v>1.6695435308618936E-3</v>
      </c>
      <c r="C26" s="80">
        <f t="shared" si="0"/>
        <v>47808.52915476873</v>
      </c>
      <c r="D26" s="80">
        <f t="shared" si="1"/>
        <v>72132.88536059187</v>
      </c>
      <c r="E26" s="80">
        <f t="shared" si="2"/>
        <v>69873.917414000636</v>
      </c>
      <c r="F26" s="80">
        <f t="shared" si="3"/>
        <v>87485.739024615439</v>
      </c>
      <c r="G26" s="80">
        <f t="shared" si="4"/>
        <v>90528.045690932267</v>
      </c>
      <c r="H26" s="80">
        <f t="shared" si="5"/>
        <v>51027.307223886775</v>
      </c>
      <c r="I26" s="80">
        <f t="shared" si="6"/>
        <v>64485.489373297292</v>
      </c>
      <c r="J26" s="80">
        <f t="shared" si="7"/>
        <v>74331.328897106272</v>
      </c>
      <c r="K26" s="80">
        <f t="shared" si="8"/>
        <v>76675.575705651616</v>
      </c>
      <c r="L26" s="80">
        <f t="shared" si="9"/>
        <v>76675.575705651616</v>
      </c>
      <c r="M26" s="80">
        <f t="shared" si="10"/>
        <v>66195.111764673871</v>
      </c>
      <c r="N26" s="80">
        <f t="shared" si="11"/>
        <v>55269.3763140386</v>
      </c>
      <c r="O26" s="80">
        <f t="shared" si="12"/>
        <v>55269.3763140386</v>
      </c>
      <c r="P26" s="80">
        <f t="shared" si="13"/>
        <v>55269.3763140386</v>
      </c>
      <c r="Q26" s="80">
        <f t="shared" si="14"/>
        <v>55269.3763140386</v>
      </c>
      <c r="R26" s="80">
        <f t="shared" si="15"/>
        <v>55269.3763140386</v>
      </c>
      <c r="S26" s="80">
        <f t="shared" si="16"/>
        <v>55269.3763140386</v>
      </c>
      <c r="T26" s="80">
        <f t="shared" si="17"/>
        <v>55269.3763140386</v>
      </c>
      <c r="U26" s="80">
        <f>SUM(Table623[[#This Row],[Payment 1 - 9/1/22]:[Payment 18 -2038]])</f>
        <v>1164105.1395134469</v>
      </c>
    </row>
    <row r="27" spans="1:21" ht="16.2" thickBot="1" x14ac:dyDescent="0.35">
      <c r="A27" s="117" t="s">
        <v>50</v>
      </c>
      <c r="B27" s="1">
        <v>2.0382346677401429E-2</v>
      </c>
      <c r="C27" s="80">
        <f t="shared" si="0"/>
        <v>583662.5385060159</v>
      </c>
      <c r="D27" s="80">
        <f t="shared" si="1"/>
        <v>880622.42707851704</v>
      </c>
      <c r="E27" s="80">
        <f t="shared" si="2"/>
        <v>853044.18969240319</v>
      </c>
      <c r="F27" s="80">
        <f t="shared" si="3"/>
        <v>1068055.2074061998</v>
      </c>
      <c r="G27" s="80">
        <f t="shared" si="4"/>
        <v>1105196.7062803425</v>
      </c>
      <c r="H27" s="80">
        <f t="shared" si="5"/>
        <v>622958.459378778</v>
      </c>
      <c r="I27" s="80">
        <f t="shared" si="6"/>
        <v>787260.45519154356</v>
      </c>
      <c r="J27" s="80">
        <f t="shared" si="7"/>
        <v>907461.76219234685</v>
      </c>
      <c r="K27" s="80">
        <f t="shared" si="8"/>
        <v>936081.11249134527</v>
      </c>
      <c r="L27" s="80">
        <f t="shared" si="9"/>
        <v>936081.11249134527</v>
      </c>
      <c r="M27" s="80">
        <f t="shared" si="10"/>
        <v>808132.09802345955</v>
      </c>
      <c r="N27" s="80">
        <f t="shared" si="11"/>
        <v>674747.05981157243</v>
      </c>
      <c r="O27" s="80">
        <f t="shared" si="12"/>
        <v>674747.05981157243</v>
      </c>
      <c r="P27" s="80">
        <f t="shared" si="13"/>
        <v>674747.05981157243</v>
      </c>
      <c r="Q27" s="80">
        <f t="shared" si="14"/>
        <v>674747.05981157243</v>
      </c>
      <c r="R27" s="80">
        <f t="shared" si="15"/>
        <v>674747.05981157243</v>
      </c>
      <c r="S27" s="80">
        <f t="shared" si="16"/>
        <v>674747.05981157243</v>
      </c>
      <c r="T27" s="80">
        <f t="shared" si="17"/>
        <v>674747.05981157243</v>
      </c>
      <c r="U27" s="80">
        <f>SUM(Table623[[#This Row],[Payment 1 - 9/1/22]:[Payment 18 -2038]])</f>
        <v>14211785.487413298</v>
      </c>
    </row>
    <row r="28" spans="1:21" ht="16.2" thickBot="1" x14ac:dyDescent="0.35">
      <c r="A28" s="117" t="s">
        <v>51</v>
      </c>
      <c r="B28" s="1">
        <v>1.3396101596298053E-2</v>
      </c>
      <c r="C28" s="80">
        <f t="shared" si="0"/>
        <v>383606.59778438444</v>
      </c>
      <c r="D28" s="80">
        <f t="shared" si="1"/>
        <v>578780.6324677032</v>
      </c>
      <c r="E28" s="80">
        <f t="shared" si="2"/>
        <v>560655.10081433295</v>
      </c>
      <c r="F28" s="80">
        <f t="shared" si="3"/>
        <v>701969.02718430047</v>
      </c>
      <c r="G28" s="80">
        <f t="shared" si="4"/>
        <v>726379.92060259648</v>
      </c>
      <c r="H28" s="80">
        <f t="shared" si="5"/>
        <v>409433.46436963684</v>
      </c>
      <c r="I28" s="80">
        <f t="shared" si="6"/>
        <v>517419.37311794952</v>
      </c>
      <c r="J28" s="80">
        <f t="shared" si="7"/>
        <v>596420.52769922675</v>
      </c>
      <c r="K28" s="80">
        <f t="shared" si="8"/>
        <v>615230.32081546786</v>
      </c>
      <c r="L28" s="80">
        <f t="shared" si="9"/>
        <v>615230.32081546786</v>
      </c>
      <c r="M28" s="80">
        <f t="shared" si="10"/>
        <v>531137.0599124732</v>
      </c>
      <c r="N28" s="80">
        <f t="shared" si="11"/>
        <v>443471.02461273677</v>
      </c>
      <c r="O28" s="80">
        <f t="shared" si="12"/>
        <v>443471.02461273677</v>
      </c>
      <c r="P28" s="80">
        <f t="shared" si="13"/>
        <v>443471.02461273677</v>
      </c>
      <c r="Q28" s="80">
        <f t="shared" si="14"/>
        <v>443471.02461273677</v>
      </c>
      <c r="R28" s="80">
        <f t="shared" si="15"/>
        <v>443471.02461273677</v>
      </c>
      <c r="S28" s="80">
        <f t="shared" si="16"/>
        <v>443471.02461273677</v>
      </c>
      <c r="T28" s="80">
        <f t="shared" si="17"/>
        <v>443471.02461273677</v>
      </c>
      <c r="U28" s="80">
        <f>SUM(Table623[[#This Row],[Payment 1 - 9/1/22]:[Payment 18 -2038]])</f>
        <v>9340559.5178726949</v>
      </c>
    </row>
    <row r="29" spans="1:21" ht="16.2" thickBot="1" x14ac:dyDescent="0.35">
      <c r="A29" s="117" t="s">
        <v>52</v>
      </c>
      <c r="B29" s="1">
        <v>1.4285891185863999E-3</v>
      </c>
      <c r="C29" s="80">
        <f t="shared" si="0"/>
        <v>40908.633565765354</v>
      </c>
      <c r="D29" s="80">
        <f t="shared" si="1"/>
        <v>61722.412871249668</v>
      </c>
      <c r="E29" s="80">
        <f t="shared" si="2"/>
        <v>59789.467148013755</v>
      </c>
      <c r="F29" s="80">
        <f t="shared" si="3"/>
        <v>74859.488531894851</v>
      </c>
      <c r="G29" s="80">
        <f t="shared" si="4"/>
        <v>77462.718767322978</v>
      </c>
      <c r="H29" s="80">
        <f t="shared" si="5"/>
        <v>43662.866228577514</v>
      </c>
      <c r="I29" s="80">
        <f t="shared" si="6"/>
        <v>55178.716051718191</v>
      </c>
      <c r="J29" s="80">
        <f t="shared" si="7"/>
        <v>63603.569280792173</v>
      </c>
      <c r="K29" s="80">
        <f t="shared" si="8"/>
        <v>65609.486119773836</v>
      </c>
      <c r="L29" s="80">
        <f t="shared" si="9"/>
        <v>65609.486119773836</v>
      </c>
      <c r="M29" s="80">
        <f t="shared" si="10"/>
        <v>56641.599708277528</v>
      </c>
      <c r="N29" s="80">
        <f t="shared" si="11"/>
        <v>47292.704942249198</v>
      </c>
      <c r="O29" s="80">
        <f t="shared" si="12"/>
        <v>47292.704942249198</v>
      </c>
      <c r="P29" s="80">
        <f t="shared" si="13"/>
        <v>47292.704942249198</v>
      </c>
      <c r="Q29" s="80">
        <f t="shared" si="14"/>
        <v>47292.704942249198</v>
      </c>
      <c r="R29" s="80">
        <f t="shared" si="15"/>
        <v>47292.704942249198</v>
      </c>
      <c r="S29" s="80">
        <f t="shared" si="16"/>
        <v>47292.704942249198</v>
      </c>
      <c r="T29" s="80">
        <f t="shared" si="17"/>
        <v>47292.704942249198</v>
      </c>
      <c r="U29" s="80">
        <f>SUM(Table623[[#This Row],[Payment 1 - 9/1/22]:[Payment 18 -2038]])</f>
        <v>996097.37898890418</v>
      </c>
    </row>
    <row r="30" spans="1:21" ht="16.2" thickBot="1" x14ac:dyDescent="0.35">
      <c r="A30" s="117" t="s">
        <v>53</v>
      </c>
      <c r="B30" s="1">
        <v>5.108008966031025E-3</v>
      </c>
      <c r="C30" s="80">
        <f t="shared" si="0"/>
        <v>146271.3556496751</v>
      </c>
      <c r="D30" s="80">
        <f t="shared" si="1"/>
        <v>220692.3140107512</v>
      </c>
      <c r="E30" s="80">
        <f t="shared" si="2"/>
        <v>213780.94673468632</v>
      </c>
      <c r="F30" s="80">
        <f t="shared" si="3"/>
        <v>267664.74253407901</v>
      </c>
      <c r="G30" s="80">
        <f t="shared" si="4"/>
        <v>276972.75364112685</v>
      </c>
      <c r="H30" s="80">
        <f t="shared" si="5"/>
        <v>156119.28529798507</v>
      </c>
      <c r="I30" s="80">
        <f t="shared" si="6"/>
        <v>197294.92032331359</v>
      </c>
      <c r="J30" s="80">
        <f t="shared" si="7"/>
        <v>227418.50538476781</v>
      </c>
      <c r="K30" s="80">
        <f t="shared" si="8"/>
        <v>234590.78540939078</v>
      </c>
      <c r="L30" s="80">
        <f t="shared" si="9"/>
        <v>234590.78540939078</v>
      </c>
      <c r="M30" s="80">
        <f t="shared" si="10"/>
        <v>202525.55153612822</v>
      </c>
      <c r="N30" s="80">
        <f t="shared" si="11"/>
        <v>169097.99866871841</v>
      </c>
      <c r="O30" s="80">
        <f t="shared" si="12"/>
        <v>169097.99866871841</v>
      </c>
      <c r="P30" s="80">
        <f t="shared" si="13"/>
        <v>169097.99866871841</v>
      </c>
      <c r="Q30" s="80">
        <f t="shared" si="14"/>
        <v>169097.99866871841</v>
      </c>
      <c r="R30" s="80">
        <f t="shared" si="15"/>
        <v>169097.99866871841</v>
      </c>
      <c r="S30" s="80">
        <f t="shared" si="16"/>
        <v>169097.99866871841</v>
      </c>
      <c r="T30" s="80">
        <f t="shared" si="17"/>
        <v>169097.99866871841</v>
      </c>
      <c r="U30" s="80">
        <f>SUM(Table623[[#This Row],[Payment 1 - 9/1/22]:[Payment 18 -2038]])</f>
        <v>3561607.9366123253</v>
      </c>
    </row>
    <row r="31" spans="1:21" ht="16.2" thickBot="1" x14ac:dyDescent="0.35">
      <c r="A31" s="117" t="s">
        <v>54</v>
      </c>
      <c r="B31" s="1">
        <v>1.4285891185863999E-3</v>
      </c>
      <c r="C31" s="80">
        <f t="shared" si="0"/>
        <v>40908.633565765354</v>
      </c>
      <c r="D31" s="80">
        <f t="shared" si="1"/>
        <v>61722.412871249668</v>
      </c>
      <c r="E31" s="80">
        <f t="shared" si="2"/>
        <v>59789.467148013755</v>
      </c>
      <c r="F31" s="80">
        <f t="shared" si="3"/>
        <v>74859.488531894851</v>
      </c>
      <c r="G31" s="80">
        <f t="shared" si="4"/>
        <v>77462.718767322978</v>
      </c>
      <c r="H31" s="80">
        <f t="shared" si="5"/>
        <v>43662.866228577514</v>
      </c>
      <c r="I31" s="80">
        <f t="shared" si="6"/>
        <v>55178.716051718191</v>
      </c>
      <c r="J31" s="80">
        <f t="shared" si="7"/>
        <v>63603.569280792173</v>
      </c>
      <c r="K31" s="80">
        <f t="shared" si="8"/>
        <v>65609.486119773836</v>
      </c>
      <c r="L31" s="80">
        <f t="shared" si="9"/>
        <v>65609.486119773836</v>
      </c>
      <c r="M31" s="80">
        <f t="shared" si="10"/>
        <v>56641.599708277528</v>
      </c>
      <c r="N31" s="80">
        <f t="shared" si="11"/>
        <v>47292.704942249198</v>
      </c>
      <c r="O31" s="80">
        <f t="shared" si="12"/>
        <v>47292.704942249198</v>
      </c>
      <c r="P31" s="80">
        <f t="shared" si="13"/>
        <v>47292.704942249198</v>
      </c>
      <c r="Q31" s="80">
        <f t="shared" si="14"/>
        <v>47292.704942249198</v>
      </c>
      <c r="R31" s="80">
        <f t="shared" si="15"/>
        <v>47292.704942249198</v>
      </c>
      <c r="S31" s="80">
        <f t="shared" si="16"/>
        <v>47292.704942249198</v>
      </c>
      <c r="T31" s="80">
        <f t="shared" si="17"/>
        <v>47292.704942249198</v>
      </c>
      <c r="U31" s="80">
        <f>SUM(Table623[[#This Row],[Payment 1 - 9/1/22]:[Payment 18 -2038]])</f>
        <v>996097.37898890418</v>
      </c>
    </row>
    <row r="32" spans="1:21" ht="16.2" thickBot="1" x14ac:dyDescent="0.35">
      <c r="A32" s="117" t="s">
        <v>55</v>
      </c>
      <c r="B32" s="1">
        <v>2.0372409411492541E-3</v>
      </c>
      <c r="C32" s="80">
        <f t="shared" si="0"/>
        <v>58337.797805093243</v>
      </c>
      <c r="D32" s="80">
        <f t="shared" si="1"/>
        <v>88019.308597458454</v>
      </c>
      <c r="E32" s="80">
        <f t="shared" si="2"/>
        <v>85262.829415892149</v>
      </c>
      <c r="F32" s="80">
        <f t="shared" si="3"/>
        <v>106753.44848039719</v>
      </c>
      <c r="G32" s="80">
        <f t="shared" si="4"/>
        <v>110465.78756085968</v>
      </c>
      <c r="H32" s="80">
        <f t="shared" si="5"/>
        <v>62265.474048129196</v>
      </c>
      <c r="I32" s="80">
        <f t="shared" si="6"/>
        <v>78687.663204268771</v>
      </c>
      <c r="J32" s="80">
        <f t="shared" si="7"/>
        <v>90701.933576442956</v>
      </c>
      <c r="K32" s="80">
        <f t="shared" si="8"/>
        <v>93562.473290589594</v>
      </c>
      <c r="L32" s="80">
        <f t="shared" si="9"/>
        <v>93562.473290589594</v>
      </c>
      <c r="M32" s="80">
        <f t="shared" si="10"/>
        <v>80773.809905588874</v>
      </c>
      <c r="N32" s="80">
        <f t="shared" si="11"/>
        <v>67441.80917559941</v>
      </c>
      <c r="O32" s="80">
        <f t="shared" si="12"/>
        <v>67441.80917559941</v>
      </c>
      <c r="P32" s="80">
        <f t="shared" si="13"/>
        <v>67441.80917559941</v>
      </c>
      <c r="Q32" s="80">
        <f t="shared" si="14"/>
        <v>67441.80917559941</v>
      </c>
      <c r="R32" s="80">
        <f t="shared" si="15"/>
        <v>67441.80917559941</v>
      </c>
      <c r="S32" s="80">
        <f t="shared" si="16"/>
        <v>67441.80917559941</v>
      </c>
      <c r="T32" s="80">
        <f t="shared" si="17"/>
        <v>67441.80917559941</v>
      </c>
      <c r="U32" s="80">
        <f>SUM(Table623[[#This Row],[Payment 1 - 9/1/22]:[Payment 18 -2038]])</f>
        <v>1420485.6634045055</v>
      </c>
    </row>
    <row r="33" spans="1:21" ht="16.2" thickBot="1" x14ac:dyDescent="0.35">
      <c r="A33" s="117" t="s">
        <v>56</v>
      </c>
      <c r="B33" s="1">
        <v>1.7788591702161249E-3</v>
      </c>
      <c r="C33" s="80">
        <f t="shared" si="0"/>
        <v>50938.857795221098</v>
      </c>
      <c r="D33" s="80">
        <f t="shared" si="1"/>
        <v>76855.884393499888</v>
      </c>
      <c r="E33" s="80">
        <f t="shared" si="2"/>
        <v>74449.00744016665</v>
      </c>
      <c r="F33" s="80">
        <f t="shared" si="3"/>
        <v>93213.987087076021</v>
      </c>
      <c r="G33" s="80">
        <f t="shared" si="4"/>
        <v>96455.492931007815</v>
      </c>
      <c r="H33" s="80">
        <f t="shared" si="5"/>
        <v>54368.389747697525</v>
      </c>
      <c r="I33" s="80">
        <f t="shared" si="6"/>
        <v>68707.764725574758</v>
      </c>
      <c r="J33" s="80">
        <f t="shared" si="7"/>
        <v>79198.274018472483</v>
      </c>
      <c r="K33" s="80">
        <f t="shared" si="8"/>
        <v>81696.013583536711</v>
      </c>
      <c r="L33" s="80">
        <f t="shared" si="9"/>
        <v>81696.013583536711</v>
      </c>
      <c r="M33" s="80">
        <f t="shared" si="10"/>
        <v>70529.326974351265</v>
      </c>
      <c r="N33" s="80">
        <f t="shared" si="11"/>
        <v>58888.214096219504</v>
      </c>
      <c r="O33" s="80">
        <f t="shared" si="12"/>
        <v>58888.214096219504</v>
      </c>
      <c r="P33" s="80">
        <f t="shared" si="13"/>
        <v>58888.214096219504</v>
      </c>
      <c r="Q33" s="80">
        <f t="shared" si="14"/>
        <v>58888.214096219504</v>
      </c>
      <c r="R33" s="80">
        <f t="shared" si="15"/>
        <v>58888.214096219504</v>
      </c>
      <c r="S33" s="80">
        <f t="shared" si="16"/>
        <v>58888.214096219504</v>
      </c>
      <c r="T33" s="80">
        <f t="shared" si="17"/>
        <v>58888.214096219504</v>
      </c>
      <c r="U33" s="80">
        <f>SUM(Table623[[#This Row],[Payment 1 - 9/1/22]:[Payment 18 -2038]])</f>
        <v>1240326.5109536776</v>
      </c>
    </row>
    <row r="34" spans="1:21" ht="16.2" thickBot="1" x14ac:dyDescent="0.35">
      <c r="A34" s="117" t="s">
        <v>57</v>
      </c>
      <c r="B34" s="1">
        <v>6.7874911913909245E-3</v>
      </c>
      <c r="C34" s="80">
        <f t="shared" si="0"/>
        <v>194364.48616816086</v>
      </c>
      <c r="D34" s="80">
        <f t="shared" si="1"/>
        <v>293254.60219768836</v>
      </c>
      <c r="E34" s="80">
        <f t="shared" si="2"/>
        <v>284070.81947163574</v>
      </c>
      <c r="F34" s="80">
        <f t="shared" si="3"/>
        <v>355671.27902041085</v>
      </c>
      <c r="G34" s="80">
        <f t="shared" si="4"/>
        <v>368039.7074665234</v>
      </c>
      <c r="H34" s="80">
        <f t="shared" si="5"/>
        <v>207450.35508222406</v>
      </c>
      <c r="I34" s="80">
        <f t="shared" si="6"/>
        <v>262164.28802418272</v>
      </c>
      <c r="J34" s="80">
        <f t="shared" si="7"/>
        <v>302192.32431336056</v>
      </c>
      <c r="K34" s="80">
        <f t="shared" si="8"/>
        <v>311722.80630997766</v>
      </c>
      <c r="L34" s="80">
        <f t="shared" si="9"/>
        <v>311722.80630997766</v>
      </c>
      <c r="M34" s="80">
        <f t="shared" si="10"/>
        <v>269114.71890997258</v>
      </c>
      <c r="N34" s="80">
        <f t="shared" si="11"/>
        <v>224696.39033104025</v>
      </c>
      <c r="O34" s="80">
        <f t="shared" si="12"/>
        <v>224696.39033104025</v>
      </c>
      <c r="P34" s="80">
        <f t="shared" si="13"/>
        <v>224696.39033104025</v>
      </c>
      <c r="Q34" s="80">
        <f t="shared" si="14"/>
        <v>224696.39033104025</v>
      </c>
      <c r="R34" s="80">
        <f t="shared" si="15"/>
        <v>224696.39033104025</v>
      </c>
      <c r="S34" s="80">
        <f t="shared" si="16"/>
        <v>224696.39033104025</v>
      </c>
      <c r="T34" s="80">
        <f t="shared" si="17"/>
        <v>224696.39033104025</v>
      </c>
      <c r="U34" s="80">
        <f>SUM(Table623[[#This Row],[Payment 1 - 9/1/22]:[Payment 18 -2038]])</f>
        <v>4732642.9255913952</v>
      </c>
    </row>
    <row r="35" spans="1:21" ht="16.2" thickBot="1" x14ac:dyDescent="0.35">
      <c r="A35" s="117" t="s">
        <v>58</v>
      </c>
      <c r="B35" s="1">
        <v>1.8782361150723507E-3</v>
      </c>
      <c r="C35" s="80">
        <f t="shared" ref="C35:C66" si="18">B35*$C$2</f>
        <v>53784.585071956433</v>
      </c>
      <c r="D35" s="80">
        <f t="shared" ref="D35:D69" si="19">B35*$D$2</f>
        <v>81149.480600062627</v>
      </c>
      <c r="E35" s="80">
        <f t="shared" ref="E35:E69" si="20">B35*$E$2</f>
        <v>78608.142143383928</v>
      </c>
      <c r="F35" s="80">
        <f t="shared" ref="F35:F69" si="21">B35*$F$2</f>
        <v>98421.437687820231</v>
      </c>
      <c r="G35" s="80">
        <f t="shared" ref="G35:G69" si="22">B35*$G$2</f>
        <v>101844.03203661912</v>
      </c>
      <c r="H35" s="80">
        <f t="shared" ref="H35:H69" si="23">B35*$H$2</f>
        <v>57405.709711156065</v>
      </c>
      <c r="I35" s="80">
        <f t="shared" ref="I35:I69" si="24">B35*$I$2</f>
        <v>72546.161750280444</v>
      </c>
      <c r="J35" s="80">
        <f t="shared" ref="J35:J69" si="25">B35*$J$2</f>
        <v>83622.729108352229</v>
      </c>
      <c r="K35" s="80">
        <f t="shared" ref="K35:K69" si="26">B35*$K$2</f>
        <v>86260.00626648654</v>
      </c>
      <c r="L35" s="80">
        <f t="shared" ref="L35:L69" si="27">B35*$L$2</f>
        <v>86260.00626648654</v>
      </c>
      <c r="M35" s="80">
        <f t="shared" ref="M35:M69" si="28">B35*$M$2</f>
        <v>74469.48657485818</v>
      </c>
      <c r="N35" s="80">
        <f t="shared" ref="N35:N69" si="29">B35*$N$2</f>
        <v>62178.036530117191</v>
      </c>
      <c r="O35" s="80">
        <f t="shared" ref="O35:O69" si="30">B35*$O$2</f>
        <v>62178.036530117191</v>
      </c>
      <c r="P35" s="80">
        <f t="shared" ref="P35:P69" si="31">B35*$P$2</f>
        <v>62178.036530117191</v>
      </c>
      <c r="Q35" s="80">
        <f t="shared" ref="Q35:Q69" si="32">B35*$Q$2</f>
        <v>62178.036530117191</v>
      </c>
      <c r="R35" s="80">
        <f t="shared" ref="R35:R69" si="33">B35*$R$2</f>
        <v>62178.036530117191</v>
      </c>
      <c r="S35" s="80">
        <f t="shared" ref="S35:S69" si="34">B35*$S$2</f>
        <v>62178.036530117191</v>
      </c>
      <c r="T35" s="80">
        <f t="shared" ref="T35:T69" si="35">B35*$T$2</f>
        <v>62178.036530117191</v>
      </c>
      <c r="U35" s="80">
        <f>SUM(Table623[[#This Row],[Payment 1 - 9/1/22]:[Payment 18 -2038]])</f>
        <v>1309618.0329282831</v>
      </c>
    </row>
    <row r="36" spans="1:21" ht="16.2" thickBot="1" x14ac:dyDescent="0.35">
      <c r="A36" s="117" t="s">
        <v>59</v>
      </c>
      <c r="B36" s="1">
        <v>1.4285891185863999E-3</v>
      </c>
      <c r="C36" s="80">
        <f t="shared" si="18"/>
        <v>40908.633565765354</v>
      </c>
      <c r="D36" s="80">
        <f t="shared" si="19"/>
        <v>61722.412871249668</v>
      </c>
      <c r="E36" s="80">
        <f t="shared" si="20"/>
        <v>59789.467148013755</v>
      </c>
      <c r="F36" s="80">
        <f t="shared" si="21"/>
        <v>74859.488531894851</v>
      </c>
      <c r="G36" s="80">
        <f t="shared" si="22"/>
        <v>77462.718767322978</v>
      </c>
      <c r="H36" s="80">
        <f t="shared" si="23"/>
        <v>43662.866228577514</v>
      </c>
      <c r="I36" s="80">
        <f t="shared" si="24"/>
        <v>55178.716051718191</v>
      </c>
      <c r="J36" s="80">
        <f t="shared" si="25"/>
        <v>63603.569280792173</v>
      </c>
      <c r="K36" s="80">
        <f t="shared" si="26"/>
        <v>65609.486119773836</v>
      </c>
      <c r="L36" s="80">
        <f t="shared" si="27"/>
        <v>65609.486119773836</v>
      </c>
      <c r="M36" s="80">
        <f t="shared" si="28"/>
        <v>56641.599708277528</v>
      </c>
      <c r="N36" s="80">
        <f t="shared" si="29"/>
        <v>47292.704942249198</v>
      </c>
      <c r="O36" s="80">
        <f t="shared" si="30"/>
        <v>47292.704942249198</v>
      </c>
      <c r="P36" s="80">
        <f t="shared" si="31"/>
        <v>47292.704942249198</v>
      </c>
      <c r="Q36" s="80">
        <f t="shared" si="32"/>
        <v>47292.704942249198</v>
      </c>
      <c r="R36" s="80">
        <f t="shared" si="33"/>
        <v>47292.704942249198</v>
      </c>
      <c r="S36" s="80">
        <f t="shared" si="34"/>
        <v>47292.704942249198</v>
      </c>
      <c r="T36" s="80">
        <f t="shared" si="35"/>
        <v>47292.704942249198</v>
      </c>
      <c r="U36" s="80">
        <f>SUM(Table623[[#This Row],[Payment 1 - 9/1/22]:[Payment 18 -2038]])</f>
        <v>996097.37898890418</v>
      </c>
    </row>
    <row r="37" spans="1:21" ht="16.2" thickBot="1" x14ac:dyDescent="0.35">
      <c r="A37" s="117" t="s">
        <v>60</v>
      </c>
      <c r="B37" s="1">
        <v>1.3843301419623864E-2</v>
      </c>
      <c r="C37" s="80">
        <f t="shared" si="18"/>
        <v>396412.4728012773</v>
      </c>
      <c r="D37" s="80">
        <f t="shared" si="19"/>
        <v>598101.96970326768</v>
      </c>
      <c r="E37" s="80">
        <f t="shared" si="20"/>
        <v>579371.35645247845</v>
      </c>
      <c r="F37" s="80">
        <f t="shared" si="21"/>
        <v>725402.74203637068</v>
      </c>
      <c r="G37" s="80">
        <f t="shared" si="22"/>
        <v>750628.54023464408</v>
      </c>
      <c r="H37" s="80">
        <f t="shared" si="23"/>
        <v>423101.51336236577</v>
      </c>
      <c r="I37" s="80">
        <f t="shared" si="24"/>
        <v>534692.29767591506</v>
      </c>
      <c r="J37" s="80">
        <f t="shared" si="25"/>
        <v>616330.73461260879</v>
      </c>
      <c r="K37" s="80">
        <f t="shared" si="26"/>
        <v>635768.45191245736</v>
      </c>
      <c r="L37" s="80">
        <f t="shared" si="27"/>
        <v>635768.45191245736</v>
      </c>
      <c r="M37" s="80">
        <f t="shared" si="28"/>
        <v>548867.91971875355</v>
      </c>
      <c r="N37" s="80">
        <f t="shared" si="29"/>
        <v>458275.34379703866</v>
      </c>
      <c r="O37" s="80">
        <f t="shared" si="30"/>
        <v>458275.34379703866</v>
      </c>
      <c r="P37" s="80">
        <f t="shared" si="31"/>
        <v>458275.34379703866</v>
      </c>
      <c r="Q37" s="80">
        <f t="shared" si="32"/>
        <v>458275.34379703866</v>
      </c>
      <c r="R37" s="80">
        <f t="shared" si="33"/>
        <v>458275.34379703866</v>
      </c>
      <c r="S37" s="80">
        <f t="shared" si="34"/>
        <v>458275.34379703866</v>
      </c>
      <c r="T37" s="80">
        <f t="shared" si="35"/>
        <v>458275.34379703866</v>
      </c>
      <c r="U37" s="80">
        <f>SUM(Table623[[#This Row],[Payment 1 - 9/1/22]:[Payment 18 -2038]])</f>
        <v>9652373.8570018653</v>
      </c>
    </row>
    <row r="38" spans="1:21" ht="16.2" thickBot="1" x14ac:dyDescent="0.35">
      <c r="A38" s="117" t="s">
        <v>61</v>
      </c>
      <c r="B38" s="1">
        <v>2.2518965991996025E-2</v>
      </c>
      <c r="C38" s="80">
        <f t="shared" si="18"/>
        <v>644846.10449647799</v>
      </c>
      <c r="D38" s="80">
        <f t="shared" si="19"/>
        <v>972935.3936049511</v>
      </c>
      <c r="E38" s="80">
        <f t="shared" si="20"/>
        <v>942466.21360097965</v>
      </c>
      <c r="F38" s="80">
        <f t="shared" si="21"/>
        <v>1180016.1813468295</v>
      </c>
      <c r="G38" s="80">
        <f t="shared" si="22"/>
        <v>1221051.110409532</v>
      </c>
      <c r="H38" s="80">
        <f t="shared" si="23"/>
        <v>688261.29705323186</v>
      </c>
      <c r="I38" s="80">
        <f t="shared" si="24"/>
        <v>869786.57059923396</v>
      </c>
      <c r="J38" s="80">
        <f t="shared" si="25"/>
        <v>1002588.2144622387</v>
      </c>
      <c r="K38" s="80">
        <f t="shared" si="26"/>
        <v>1034207.6440743706</v>
      </c>
      <c r="L38" s="80">
        <f t="shared" si="27"/>
        <v>1034207.6440743706</v>
      </c>
      <c r="M38" s="80">
        <f t="shared" si="28"/>
        <v>892846.12417115504</v>
      </c>
      <c r="N38" s="80">
        <f t="shared" si="29"/>
        <v>745478.73871377436</v>
      </c>
      <c r="O38" s="80">
        <f t="shared" si="30"/>
        <v>745478.73871377436</v>
      </c>
      <c r="P38" s="80">
        <f t="shared" si="31"/>
        <v>745478.73871377436</v>
      </c>
      <c r="Q38" s="80">
        <f t="shared" si="32"/>
        <v>745478.73871377436</v>
      </c>
      <c r="R38" s="80">
        <f t="shared" si="33"/>
        <v>745478.73871377436</v>
      </c>
      <c r="S38" s="80">
        <f t="shared" si="34"/>
        <v>745478.73871377436</v>
      </c>
      <c r="T38" s="80">
        <f t="shared" si="35"/>
        <v>745478.73871377436</v>
      </c>
      <c r="U38" s="80">
        <f>SUM(Table623[[#This Row],[Payment 1 - 9/1/22]:[Payment 18 -2038]])</f>
        <v>15701563.668889794</v>
      </c>
    </row>
    <row r="39" spans="1:21" ht="16.2" thickBot="1" x14ac:dyDescent="0.35">
      <c r="A39" s="117" t="s">
        <v>62</v>
      </c>
      <c r="B39" s="1">
        <v>9.8284459899569149E-3</v>
      </c>
      <c r="C39" s="80">
        <f t="shared" si="18"/>
        <v>281444.32173885871</v>
      </c>
      <c r="D39" s="80">
        <f t="shared" si="19"/>
        <v>424639.52257677098</v>
      </c>
      <c r="E39" s="80">
        <f t="shared" si="20"/>
        <v>411341.19040051795</v>
      </c>
      <c r="F39" s="80">
        <f t="shared" si="21"/>
        <v>515020.33040792053</v>
      </c>
      <c r="G39" s="80">
        <f t="shared" si="22"/>
        <v>532930.10406883527</v>
      </c>
      <c r="H39" s="80">
        <f t="shared" si="23"/>
        <v>300392.96597675578</v>
      </c>
      <c r="I39" s="80">
        <f t="shared" si="24"/>
        <v>379620.02051794418</v>
      </c>
      <c r="J39" s="80">
        <f t="shared" si="25"/>
        <v>437581.55323436455</v>
      </c>
      <c r="K39" s="80">
        <f t="shared" si="26"/>
        <v>451381.91406294523</v>
      </c>
      <c r="L39" s="80">
        <f t="shared" si="27"/>
        <v>451381.91406294523</v>
      </c>
      <c r="M39" s="80">
        <f t="shared" si="28"/>
        <v>389684.40699619986</v>
      </c>
      <c r="N39" s="80">
        <f t="shared" si="29"/>
        <v>325365.62836471945</v>
      </c>
      <c r="O39" s="80">
        <f t="shared" si="30"/>
        <v>325365.62836471945</v>
      </c>
      <c r="P39" s="80">
        <f t="shared" si="31"/>
        <v>325365.62836471945</v>
      </c>
      <c r="Q39" s="80">
        <f t="shared" si="32"/>
        <v>325365.62836471945</v>
      </c>
      <c r="R39" s="80">
        <f t="shared" si="33"/>
        <v>325365.62836471945</v>
      </c>
      <c r="S39" s="80">
        <f t="shared" si="34"/>
        <v>325365.62836471945</v>
      </c>
      <c r="T39" s="80">
        <f t="shared" si="35"/>
        <v>325365.62836471945</v>
      </c>
      <c r="U39" s="80">
        <f>SUM(Table623[[#This Row],[Payment 1 - 9/1/22]:[Payment 18 -2038]])</f>
        <v>6852977.6425970942</v>
      </c>
    </row>
    <row r="40" spans="1:21" ht="16.2" thickBot="1" x14ac:dyDescent="0.35">
      <c r="A40" s="117" t="s">
        <v>63</v>
      </c>
      <c r="B40" s="1">
        <v>5.992469918184644E-3</v>
      </c>
      <c r="C40" s="80">
        <f t="shared" si="18"/>
        <v>171598.50431974392</v>
      </c>
      <c r="D40" s="80">
        <f t="shared" si="19"/>
        <v>258905.58565553496</v>
      </c>
      <c r="E40" s="80">
        <f t="shared" si="20"/>
        <v>250797.50268802888</v>
      </c>
      <c r="F40" s="80">
        <f t="shared" si="21"/>
        <v>314011.37477650313</v>
      </c>
      <c r="G40" s="80">
        <f t="shared" si="22"/>
        <v>324931.084770758</v>
      </c>
      <c r="H40" s="80">
        <f t="shared" si="23"/>
        <v>183151.62072309086</v>
      </c>
      <c r="I40" s="80">
        <f t="shared" si="24"/>
        <v>231456.89111167309</v>
      </c>
      <c r="J40" s="80">
        <f t="shared" si="25"/>
        <v>266796.4291800455</v>
      </c>
      <c r="K40" s="80">
        <f t="shared" si="26"/>
        <v>275210.60240843456</v>
      </c>
      <c r="L40" s="80">
        <f t="shared" si="27"/>
        <v>275210.60240843456</v>
      </c>
      <c r="M40" s="80">
        <f t="shared" si="28"/>
        <v>237593.21553951845</v>
      </c>
      <c r="N40" s="80">
        <f t="shared" si="29"/>
        <v>198377.62168903902</v>
      </c>
      <c r="O40" s="80">
        <f t="shared" si="30"/>
        <v>198377.62168903902</v>
      </c>
      <c r="P40" s="80">
        <f t="shared" si="31"/>
        <v>198377.62168903902</v>
      </c>
      <c r="Q40" s="80">
        <f t="shared" si="32"/>
        <v>198377.62168903902</v>
      </c>
      <c r="R40" s="80">
        <f t="shared" si="33"/>
        <v>198377.62168903902</v>
      </c>
      <c r="S40" s="80">
        <f t="shared" si="34"/>
        <v>198377.62168903902</v>
      </c>
      <c r="T40" s="80">
        <f t="shared" si="35"/>
        <v>198377.62168903902</v>
      </c>
      <c r="U40" s="80">
        <f>SUM(Table623[[#This Row],[Payment 1 - 9/1/22]:[Payment 18 -2038]])</f>
        <v>4178306.7654050379</v>
      </c>
    </row>
    <row r="41" spans="1:21" ht="16.2" thickBot="1" x14ac:dyDescent="0.35">
      <c r="A41" s="117" t="s">
        <v>64</v>
      </c>
      <c r="B41" s="1">
        <v>2.0938862140081473E-2</v>
      </c>
      <c r="C41" s="80">
        <f t="shared" si="18"/>
        <v>599598.74216336128</v>
      </c>
      <c r="D41" s="80">
        <f t="shared" si="19"/>
        <v>904666.76334698964</v>
      </c>
      <c r="E41" s="80">
        <f t="shared" si="20"/>
        <v>876335.53535671486</v>
      </c>
      <c r="F41" s="80">
        <f t="shared" si="21"/>
        <v>1097217.1703207307</v>
      </c>
      <c r="G41" s="80">
        <f t="shared" si="22"/>
        <v>1135372.7731524657</v>
      </c>
      <c r="H41" s="80">
        <f t="shared" si="23"/>
        <v>639967.59089531773</v>
      </c>
      <c r="I41" s="80">
        <f t="shared" si="24"/>
        <v>808755.65510178672</v>
      </c>
      <c r="J41" s="80">
        <f t="shared" si="25"/>
        <v>932238.91422709508</v>
      </c>
      <c r="K41" s="80">
        <f t="shared" si="26"/>
        <v>961639.68146621983</v>
      </c>
      <c r="L41" s="80">
        <f t="shared" si="27"/>
        <v>961639.68146621983</v>
      </c>
      <c r="M41" s="80">
        <f t="shared" si="28"/>
        <v>830197.17303941736</v>
      </c>
      <c r="N41" s="80">
        <f t="shared" si="29"/>
        <v>693170.2167780553</v>
      </c>
      <c r="O41" s="80">
        <f t="shared" si="30"/>
        <v>693170.2167780553</v>
      </c>
      <c r="P41" s="80">
        <f t="shared" si="31"/>
        <v>693170.2167780553</v>
      </c>
      <c r="Q41" s="80">
        <f t="shared" si="32"/>
        <v>693170.2167780553</v>
      </c>
      <c r="R41" s="80">
        <f t="shared" si="33"/>
        <v>693170.2167780553</v>
      </c>
      <c r="S41" s="80">
        <f t="shared" si="34"/>
        <v>693170.2167780553</v>
      </c>
      <c r="T41" s="80">
        <f t="shared" si="35"/>
        <v>693170.2167780553</v>
      </c>
      <c r="U41" s="80">
        <f>SUM(Table623[[#This Row],[Payment 1 - 9/1/22]:[Payment 18 -2038]])</f>
        <v>14599821.197982702</v>
      </c>
    </row>
    <row r="42" spans="1:21" ht="16.2" thickBot="1" x14ac:dyDescent="0.35">
      <c r="A42" s="117" t="s">
        <v>65</v>
      </c>
      <c r="B42" s="1">
        <v>3.2615731018794961E-2</v>
      </c>
      <c r="C42" s="80">
        <f t="shared" si="18"/>
        <v>933973.9267002925</v>
      </c>
      <c r="D42" s="80">
        <f t="shared" si="19"/>
        <v>1409167.6814896131</v>
      </c>
      <c r="E42" s="80">
        <f t="shared" si="20"/>
        <v>1365037.121510705</v>
      </c>
      <c r="F42" s="80">
        <f t="shared" si="21"/>
        <v>1709096.6957502994</v>
      </c>
      <c r="G42" s="80">
        <f t="shared" si="22"/>
        <v>1768530.3397799649</v>
      </c>
      <c r="H42" s="80">
        <f t="shared" si="23"/>
        <v>996855.06622790545</v>
      </c>
      <c r="I42" s="80">
        <f t="shared" si="24"/>
        <v>1259770.3127447281</v>
      </c>
      <c r="J42" s="80">
        <f t="shared" si="25"/>
        <v>1452115.853682491</v>
      </c>
      <c r="K42" s="80">
        <f t="shared" si="26"/>
        <v>1497912.3974298181</v>
      </c>
      <c r="L42" s="80">
        <f t="shared" si="27"/>
        <v>1497912.3974298181</v>
      </c>
      <c r="M42" s="80">
        <f t="shared" si="28"/>
        <v>1293169.0130661633</v>
      </c>
      <c r="N42" s="80">
        <f t="shared" si="29"/>
        <v>1079726.9302134521</v>
      </c>
      <c r="O42" s="80">
        <f t="shared" si="30"/>
        <v>1079726.9302134521</v>
      </c>
      <c r="P42" s="80">
        <f t="shared" si="31"/>
        <v>1079726.9302134521</v>
      </c>
      <c r="Q42" s="80">
        <f t="shared" si="32"/>
        <v>1079726.9302134521</v>
      </c>
      <c r="R42" s="80">
        <f t="shared" si="33"/>
        <v>1079726.9302134521</v>
      </c>
      <c r="S42" s="80">
        <f t="shared" si="34"/>
        <v>1079726.9302134521</v>
      </c>
      <c r="T42" s="80">
        <f t="shared" si="35"/>
        <v>1079726.9302134521</v>
      </c>
      <c r="U42" s="80">
        <f>SUM(Table623[[#This Row],[Payment 1 - 9/1/22]:[Payment 18 -2038]])</f>
        <v>22741629.31730596</v>
      </c>
    </row>
    <row r="43" spans="1:21" ht="16.2" thickBot="1" x14ac:dyDescent="0.35">
      <c r="A43" s="117" t="s">
        <v>66</v>
      </c>
      <c r="B43" s="1">
        <v>6.3800418602897781E-3</v>
      </c>
      <c r="C43" s="80">
        <f t="shared" si="18"/>
        <v>182696.89388023535</v>
      </c>
      <c r="D43" s="80">
        <f t="shared" si="19"/>
        <v>275650.69110026635</v>
      </c>
      <c r="E43" s="80">
        <f t="shared" si="20"/>
        <v>267018.20575688354</v>
      </c>
      <c r="F43" s="80">
        <f t="shared" si="21"/>
        <v>334320.52943674056</v>
      </c>
      <c r="G43" s="80">
        <f t="shared" si="22"/>
        <v>345946.48798417643</v>
      </c>
      <c r="H43" s="80">
        <f t="shared" si="23"/>
        <v>194997.22534230523</v>
      </c>
      <c r="I43" s="80">
        <f t="shared" si="24"/>
        <v>246426.71124035609</v>
      </c>
      <c r="J43" s="80">
        <f t="shared" si="25"/>
        <v>284051.8867152165</v>
      </c>
      <c r="K43" s="80">
        <f t="shared" si="26"/>
        <v>293010.25916427083</v>
      </c>
      <c r="L43" s="80">
        <f t="shared" si="27"/>
        <v>293010.25916427083</v>
      </c>
      <c r="M43" s="80">
        <f t="shared" si="28"/>
        <v>252959.91161557502</v>
      </c>
      <c r="N43" s="80">
        <f t="shared" si="29"/>
        <v>211207.9906617564</v>
      </c>
      <c r="O43" s="80">
        <f t="shared" si="30"/>
        <v>211207.9906617564</v>
      </c>
      <c r="P43" s="80">
        <f t="shared" si="31"/>
        <v>211207.9906617564</v>
      </c>
      <c r="Q43" s="80">
        <f t="shared" si="32"/>
        <v>211207.9906617564</v>
      </c>
      <c r="R43" s="80">
        <f t="shared" si="33"/>
        <v>211207.9906617564</v>
      </c>
      <c r="S43" s="80">
        <f t="shared" si="34"/>
        <v>211207.9906617564</v>
      </c>
      <c r="T43" s="80">
        <f t="shared" si="35"/>
        <v>211207.9906617564</v>
      </c>
      <c r="U43" s="80">
        <f>SUM(Table623[[#This Row],[Payment 1 - 9/1/22]:[Payment 18 -2038]])</f>
        <v>4448544.9960325928</v>
      </c>
    </row>
    <row r="44" spans="1:21" ht="16.2" thickBot="1" x14ac:dyDescent="0.35">
      <c r="A44" s="117" t="s">
        <v>67</v>
      </c>
      <c r="B44" s="1">
        <v>1.7887964361250118E-3</v>
      </c>
      <c r="C44" s="80">
        <f t="shared" si="18"/>
        <v>51223.418250304559</v>
      </c>
      <c r="D44" s="80">
        <f t="shared" si="19"/>
        <v>77285.2254974323</v>
      </c>
      <c r="E44" s="80">
        <f t="shared" si="20"/>
        <v>74864.902973648233</v>
      </c>
      <c r="F44" s="80">
        <f t="shared" si="21"/>
        <v>93734.709689303883</v>
      </c>
      <c r="G44" s="80">
        <f t="shared" si="22"/>
        <v>96994.323602753313</v>
      </c>
      <c r="H44" s="80">
        <f t="shared" si="23"/>
        <v>54672.108645183507</v>
      </c>
      <c r="I44" s="80">
        <f t="shared" si="24"/>
        <v>69091.587874430508</v>
      </c>
      <c r="J44" s="80">
        <f t="shared" si="25"/>
        <v>79640.700446389674</v>
      </c>
      <c r="K44" s="80">
        <f t="shared" si="26"/>
        <v>82152.393168985844</v>
      </c>
      <c r="L44" s="80">
        <f t="shared" si="27"/>
        <v>82152.393168985844</v>
      </c>
      <c r="M44" s="80">
        <f t="shared" si="28"/>
        <v>70923.325941922041</v>
      </c>
      <c r="N44" s="80">
        <f t="shared" si="29"/>
        <v>59217.182151797788</v>
      </c>
      <c r="O44" s="80">
        <f t="shared" si="30"/>
        <v>59217.182151797788</v>
      </c>
      <c r="P44" s="80">
        <f t="shared" si="31"/>
        <v>59217.182151797788</v>
      </c>
      <c r="Q44" s="80">
        <f t="shared" si="32"/>
        <v>59217.182151797788</v>
      </c>
      <c r="R44" s="80">
        <f t="shared" si="33"/>
        <v>59217.182151797788</v>
      </c>
      <c r="S44" s="80">
        <f t="shared" si="34"/>
        <v>59217.182151797788</v>
      </c>
      <c r="T44" s="80">
        <f t="shared" si="35"/>
        <v>59217.182151797788</v>
      </c>
      <c r="U44" s="80">
        <f>SUM(Table623[[#This Row],[Payment 1 - 9/1/22]:[Payment 18 -2038]])</f>
        <v>1247255.364321924</v>
      </c>
    </row>
    <row r="45" spans="1:21" ht="16.2" thickBot="1" x14ac:dyDescent="0.35">
      <c r="A45" s="117" t="s">
        <v>68</v>
      </c>
      <c r="B45" s="1">
        <v>9.2520559954590974E-3</v>
      </c>
      <c r="C45" s="80">
        <f t="shared" si="18"/>
        <v>264938.99717134651</v>
      </c>
      <c r="D45" s="80">
        <f t="shared" si="19"/>
        <v>399736.50410043361</v>
      </c>
      <c r="E45" s="80">
        <f t="shared" si="20"/>
        <v>387218.05366924318</v>
      </c>
      <c r="F45" s="80">
        <f t="shared" si="21"/>
        <v>484816.922288934</v>
      </c>
      <c r="G45" s="80">
        <f t="shared" si="22"/>
        <v>501676.37585322099</v>
      </c>
      <c r="H45" s="80">
        <f t="shared" si="23"/>
        <v>282776.39666524401</v>
      </c>
      <c r="I45" s="80">
        <f t="shared" si="24"/>
        <v>357357.17430998955</v>
      </c>
      <c r="J45" s="80">
        <f t="shared" si="25"/>
        <v>411919.54834378191</v>
      </c>
      <c r="K45" s="80">
        <f t="shared" si="26"/>
        <v>424910.58591717237</v>
      </c>
      <c r="L45" s="80">
        <f t="shared" si="27"/>
        <v>424910.58591717237</v>
      </c>
      <c r="M45" s="80">
        <f t="shared" si="28"/>
        <v>366831.33404510055</v>
      </c>
      <c r="N45" s="80">
        <f t="shared" si="29"/>
        <v>306284.53528708004</v>
      </c>
      <c r="O45" s="80">
        <f t="shared" si="30"/>
        <v>306284.53528708004</v>
      </c>
      <c r="P45" s="80">
        <f t="shared" si="31"/>
        <v>306284.53528708004</v>
      </c>
      <c r="Q45" s="80">
        <f t="shared" si="32"/>
        <v>306284.53528708004</v>
      </c>
      <c r="R45" s="80">
        <f t="shared" si="33"/>
        <v>306284.53528708004</v>
      </c>
      <c r="S45" s="80">
        <f t="shared" si="34"/>
        <v>306284.53528708004</v>
      </c>
      <c r="T45" s="80">
        <f t="shared" si="35"/>
        <v>306284.53528708004</v>
      </c>
      <c r="U45" s="80">
        <f>SUM(Table623[[#This Row],[Payment 1 - 9/1/22]:[Payment 18 -2038]])</f>
        <v>6451084.2252912018</v>
      </c>
    </row>
    <row r="46" spans="1:21" ht="16.2" thickBot="1" x14ac:dyDescent="0.35">
      <c r="A46" s="117" t="s">
        <v>69</v>
      </c>
      <c r="B46" s="1">
        <v>1.7192327175845658E-3</v>
      </c>
      <c r="C46" s="80">
        <f t="shared" si="18"/>
        <v>49231.41324745318</v>
      </c>
      <c r="D46" s="80">
        <f t="shared" si="19"/>
        <v>74279.714325079665</v>
      </c>
      <c r="E46" s="80">
        <f t="shared" si="20"/>
        <v>71953.514660342858</v>
      </c>
      <c r="F46" s="80">
        <f t="shared" si="21"/>
        <v>90089.501754731798</v>
      </c>
      <c r="G46" s="80">
        <f t="shared" si="22"/>
        <v>93222.3539750973</v>
      </c>
      <c r="H46" s="80">
        <f t="shared" si="23"/>
        <v>52545.989037049156</v>
      </c>
      <c r="I46" s="80">
        <f t="shared" si="24"/>
        <v>66404.715475008154</v>
      </c>
      <c r="J46" s="80">
        <f t="shared" si="25"/>
        <v>76543.588243830774</v>
      </c>
      <c r="K46" s="80">
        <f t="shared" si="26"/>
        <v>78957.60485186959</v>
      </c>
      <c r="L46" s="80">
        <f t="shared" si="27"/>
        <v>78957.60485186959</v>
      </c>
      <c r="M46" s="80">
        <f t="shared" si="28"/>
        <v>68165.219885727172</v>
      </c>
      <c r="N46" s="80">
        <f t="shared" si="29"/>
        <v>56914.311177339914</v>
      </c>
      <c r="O46" s="80">
        <f t="shared" si="30"/>
        <v>56914.311177339914</v>
      </c>
      <c r="P46" s="80">
        <f t="shared" si="31"/>
        <v>56914.311177339914</v>
      </c>
      <c r="Q46" s="80">
        <f t="shared" si="32"/>
        <v>56914.311177339914</v>
      </c>
      <c r="R46" s="80">
        <f t="shared" si="33"/>
        <v>56914.311177339914</v>
      </c>
      <c r="S46" s="80">
        <f t="shared" si="34"/>
        <v>56914.311177339914</v>
      </c>
      <c r="T46" s="80">
        <f t="shared" si="35"/>
        <v>56914.311177339914</v>
      </c>
      <c r="U46" s="80">
        <f>SUM(Table623[[#This Row],[Payment 1 - 9/1/22]:[Payment 18 -2038]])</f>
        <v>1198751.3985494385</v>
      </c>
    </row>
    <row r="47" spans="1:21" ht="16.2" thickBot="1" x14ac:dyDescent="0.35">
      <c r="A47" s="117" t="s">
        <v>70</v>
      </c>
      <c r="B47" s="1">
        <v>8.2185274831374621E-3</v>
      </c>
      <c r="C47" s="80">
        <f t="shared" si="18"/>
        <v>235343.19622322434</v>
      </c>
      <c r="D47" s="80">
        <f t="shared" si="19"/>
        <v>355082.74556218646</v>
      </c>
      <c r="E47" s="80">
        <f t="shared" si="20"/>
        <v>343962.70597687399</v>
      </c>
      <c r="F47" s="80">
        <f t="shared" si="21"/>
        <v>430659.00185616082</v>
      </c>
      <c r="G47" s="80">
        <f t="shared" si="22"/>
        <v>445635.11987109476</v>
      </c>
      <c r="H47" s="80">
        <f t="shared" si="23"/>
        <v>251188.01580065113</v>
      </c>
      <c r="I47" s="80">
        <f t="shared" si="24"/>
        <v>317437.52521649742</v>
      </c>
      <c r="J47" s="80">
        <f t="shared" si="25"/>
        <v>365904.84650833072</v>
      </c>
      <c r="K47" s="80">
        <f t="shared" si="26"/>
        <v>377444.68147947465</v>
      </c>
      <c r="L47" s="80">
        <f t="shared" si="27"/>
        <v>377444.68147947465</v>
      </c>
      <c r="M47" s="80">
        <f t="shared" si="28"/>
        <v>325853.34567855037</v>
      </c>
      <c r="N47" s="80">
        <f t="shared" si="29"/>
        <v>272070.10767685552</v>
      </c>
      <c r="O47" s="80">
        <f t="shared" si="30"/>
        <v>272070.10767685552</v>
      </c>
      <c r="P47" s="80">
        <f t="shared" si="31"/>
        <v>272070.10767685552</v>
      </c>
      <c r="Q47" s="80">
        <f t="shared" si="32"/>
        <v>272070.10767685552</v>
      </c>
      <c r="R47" s="80">
        <f t="shared" si="33"/>
        <v>272070.10767685552</v>
      </c>
      <c r="S47" s="80">
        <f t="shared" si="34"/>
        <v>272070.10767685552</v>
      </c>
      <c r="T47" s="80">
        <f t="shared" si="35"/>
        <v>272070.10767685552</v>
      </c>
      <c r="U47" s="80">
        <f>SUM(Table623[[#This Row],[Payment 1 - 9/1/22]:[Payment 18 -2038]])</f>
        <v>5730446.6193905063</v>
      </c>
    </row>
    <row r="48" spans="1:21" ht="16.2" thickBot="1" x14ac:dyDescent="0.35">
      <c r="A48" s="117" t="s">
        <v>71</v>
      </c>
      <c r="B48" s="1">
        <v>5.0155878215931968E-2</v>
      </c>
      <c r="C48" s="80">
        <f t="shared" si="18"/>
        <v>1436248.1250977148</v>
      </c>
      <c r="D48" s="80">
        <f t="shared" si="19"/>
        <v>2166992.4423245857</v>
      </c>
      <c r="E48" s="80">
        <f t="shared" si="20"/>
        <v>2099129.2694701273</v>
      </c>
      <c r="F48" s="80">
        <f t="shared" si="21"/>
        <v>2628217.8278299663</v>
      </c>
      <c r="G48" s="80">
        <f t="shared" si="22"/>
        <v>2719613.8051319369</v>
      </c>
      <c r="H48" s="80">
        <f t="shared" si="23"/>
        <v>1532945.598301935</v>
      </c>
      <c r="I48" s="80">
        <f t="shared" si="24"/>
        <v>1937251.8846706375</v>
      </c>
      <c r="J48" s="80">
        <f t="shared" si="25"/>
        <v>2233037.3607371626</v>
      </c>
      <c r="K48" s="80">
        <f t="shared" si="26"/>
        <v>2303462.4531435813</v>
      </c>
      <c r="L48" s="80">
        <f t="shared" si="27"/>
        <v>2303462.4531435813</v>
      </c>
      <c r="M48" s="80">
        <f t="shared" si="28"/>
        <v>1988611.7988460092</v>
      </c>
      <c r="N48" s="80">
        <f t="shared" si="29"/>
        <v>1660384.4441518455</v>
      </c>
      <c r="O48" s="80">
        <f t="shared" si="30"/>
        <v>1660384.4441518455</v>
      </c>
      <c r="P48" s="80">
        <f t="shared" si="31"/>
        <v>1660384.4441518455</v>
      </c>
      <c r="Q48" s="80">
        <f t="shared" si="32"/>
        <v>1660384.4441518455</v>
      </c>
      <c r="R48" s="80">
        <f t="shared" si="33"/>
        <v>1660384.4441518455</v>
      </c>
      <c r="S48" s="80">
        <f t="shared" si="34"/>
        <v>1660384.4441518455</v>
      </c>
      <c r="T48" s="80">
        <f t="shared" si="35"/>
        <v>1660384.4441518455</v>
      </c>
      <c r="U48" s="80">
        <f>SUM(Table623[[#This Row],[Payment 1 - 9/1/22]:[Payment 18 -2038]])</f>
        <v>34971664.127760157</v>
      </c>
    </row>
    <row r="49" spans="1:21" ht="16.2" thickBot="1" x14ac:dyDescent="0.35">
      <c r="A49" s="117" t="s">
        <v>72</v>
      </c>
      <c r="B49" s="1">
        <v>1.4285891185863999E-3</v>
      </c>
      <c r="C49" s="80">
        <f t="shared" si="18"/>
        <v>40908.633565765354</v>
      </c>
      <c r="D49" s="80">
        <f t="shared" si="19"/>
        <v>61722.412871249668</v>
      </c>
      <c r="E49" s="80">
        <f t="shared" si="20"/>
        <v>59789.467148013755</v>
      </c>
      <c r="F49" s="80">
        <f t="shared" si="21"/>
        <v>74859.488531894851</v>
      </c>
      <c r="G49" s="80">
        <f t="shared" si="22"/>
        <v>77462.718767322978</v>
      </c>
      <c r="H49" s="80">
        <f t="shared" si="23"/>
        <v>43662.866228577514</v>
      </c>
      <c r="I49" s="80">
        <f t="shared" si="24"/>
        <v>55178.716051718191</v>
      </c>
      <c r="J49" s="80">
        <f t="shared" si="25"/>
        <v>63603.569280792173</v>
      </c>
      <c r="K49" s="80">
        <f t="shared" si="26"/>
        <v>65609.486119773836</v>
      </c>
      <c r="L49" s="80">
        <f t="shared" si="27"/>
        <v>65609.486119773836</v>
      </c>
      <c r="M49" s="80">
        <f t="shared" si="28"/>
        <v>56641.599708277528</v>
      </c>
      <c r="N49" s="80">
        <f t="shared" si="29"/>
        <v>47292.704942249198</v>
      </c>
      <c r="O49" s="80">
        <f t="shared" si="30"/>
        <v>47292.704942249198</v>
      </c>
      <c r="P49" s="80">
        <f t="shared" si="31"/>
        <v>47292.704942249198</v>
      </c>
      <c r="Q49" s="80">
        <f t="shared" si="32"/>
        <v>47292.704942249198</v>
      </c>
      <c r="R49" s="80">
        <f t="shared" si="33"/>
        <v>47292.704942249198</v>
      </c>
      <c r="S49" s="80">
        <f t="shared" si="34"/>
        <v>47292.704942249198</v>
      </c>
      <c r="T49" s="80">
        <f t="shared" si="35"/>
        <v>47292.704942249198</v>
      </c>
      <c r="U49" s="80">
        <f>SUM(Table623[[#This Row],[Payment 1 - 9/1/22]:[Payment 18 -2038]])</f>
        <v>996097.37898890418</v>
      </c>
    </row>
    <row r="50" spans="1:21" ht="16.2" thickBot="1" x14ac:dyDescent="0.35">
      <c r="A50" s="117" t="s">
        <v>73</v>
      </c>
      <c r="B50" s="1">
        <v>1.6755064618428732E-2</v>
      </c>
      <c r="C50" s="80">
        <f t="shared" si="18"/>
        <v>479792.81791272236</v>
      </c>
      <c r="D50" s="80">
        <f t="shared" si="19"/>
        <v>723905.14711916458</v>
      </c>
      <c r="E50" s="80">
        <f t="shared" si="20"/>
        <v>701234.78649876441</v>
      </c>
      <c r="F50" s="80">
        <f t="shared" si="21"/>
        <v>877982.02529747563</v>
      </c>
      <c r="G50" s="80">
        <f t="shared" si="22"/>
        <v>908513.75079067075</v>
      </c>
      <c r="H50" s="80">
        <f t="shared" si="23"/>
        <v>512095.56027524854</v>
      </c>
      <c r="I50" s="80">
        <f t="shared" si="24"/>
        <v>647158.05334097159</v>
      </c>
      <c r="J50" s="80">
        <f t="shared" si="25"/>
        <v>745968.1019528429</v>
      </c>
      <c r="K50" s="80">
        <f t="shared" si="26"/>
        <v>769494.29700715549</v>
      </c>
      <c r="L50" s="80">
        <f t="shared" si="27"/>
        <v>769494.29700715549</v>
      </c>
      <c r="M50" s="80">
        <f t="shared" si="28"/>
        <v>664315.33801856218</v>
      </c>
      <c r="N50" s="80">
        <f t="shared" si="29"/>
        <v>554667.76064467547</v>
      </c>
      <c r="O50" s="80">
        <f t="shared" si="30"/>
        <v>554667.76064467547</v>
      </c>
      <c r="P50" s="80">
        <f t="shared" si="31"/>
        <v>554667.76064467547</v>
      </c>
      <c r="Q50" s="80">
        <f t="shared" si="32"/>
        <v>554667.76064467547</v>
      </c>
      <c r="R50" s="80">
        <f t="shared" si="33"/>
        <v>554667.76064467547</v>
      </c>
      <c r="S50" s="80">
        <f t="shared" si="34"/>
        <v>554667.76064467547</v>
      </c>
      <c r="T50" s="80">
        <f t="shared" si="35"/>
        <v>554667.76064467547</v>
      </c>
      <c r="U50" s="80">
        <f>SUM(Table623[[#This Row],[Payment 1 - 9/1/22]:[Payment 18 -2038]])</f>
        <v>11682628.499733465</v>
      </c>
    </row>
    <row r="51" spans="1:21" ht="16.2" thickBot="1" x14ac:dyDescent="0.35">
      <c r="A51" s="117" t="s">
        <v>74</v>
      </c>
      <c r="B51" s="1">
        <v>5.7440254131604015E-3</v>
      </c>
      <c r="C51" s="80">
        <f t="shared" si="18"/>
        <v>164484.12476495522</v>
      </c>
      <c r="D51" s="80">
        <f t="shared" si="19"/>
        <v>248171.50255550878</v>
      </c>
      <c r="E51" s="80">
        <f t="shared" si="20"/>
        <v>240399.57624578493</v>
      </c>
      <c r="F51" s="80">
        <f t="shared" si="21"/>
        <v>300992.63598540978</v>
      </c>
      <c r="G51" s="80">
        <f t="shared" si="22"/>
        <v>311459.62081265164</v>
      </c>
      <c r="H51" s="80">
        <f t="shared" si="23"/>
        <v>175558.25532014517</v>
      </c>
      <c r="I51" s="80">
        <f t="shared" si="24"/>
        <v>221860.81578183483</v>
      </c>
      <c r="J51" s="80">
        <f t="shared" si="25"/>
        <v>255735.19604999217</v>
      </c>
      <c r="K51" s="80">
        <f t="shared" si="26"/>
        <v>263800.52228683082</v>
      </c>
      <c r="L51" s="80">
        <f t="shared" si="27"/>
        <v>263800.52228683082</v>
      </c>
      <c r="M51" s="80">
        <f t="shared" si="28"/>
        <v>227742.73157585162</v>
      </c>
      <c r="N51" s="80">
        <f t="shared" si="29"/>
        <v>190152.99466523741</v>
      </c>
      <c r="O51" s="80">
        <f t="shared" si="30"/>
        <v>190152.99466523741</v>
      </c>
      <c r="P51" s="80">
        <f t="shared" si="31"/>
        <v>190152.99466523741</v>
      </c>
      <c r="Q51" s="80">
        <f t="shared" si="32"/>
        <v>190152.99466523741</v>
      </c>
      <c r="R51" s="80">
        <f t="shared" si="33"/>
        <v>190152.99466523741</v>
      </c>
      <c r="S51" s="80">
        <f t="shared" si="34"/>
        <v>190152.99466523741</v>
      </c>
      <c r="T51" s="80">
        <f t="shared" si="35"/>
        <v>190152.99466523741</v>
      </c>
      <c r="U51" s="80">
        <f>SUM(Table623[[#This Row],[Payment 1 - 9/1/22]:[Payment 18 -2038]])</f>
        <v>4005076.4663224597</v>
      </c>
    </row>
    <row r="52" spans="1:21" ht="16.2" thickBot="1" x14ac:dyDescent="0.35">
      <c r="A52" s="117" t="s">
        <v>75</v>
      </c>
      <c r="B52" s="1">
        <v>2.2956227120823833E-3</v>
      </c>
      <c r="C52" s="80">
        <f t="shared" si="18"/>
        <v>65736.737814965396</v>
      </c>
      <c r="D52" s="80">
        <f t="shared" si="19"/>
        <v>99182.732801417034</v>
      </c>
      <c r="E52" s="80">
        <f t="shared" si="20"/>
        <v>96076.651391617663</v>
      </c>
      <c r="F52" s="80">
        <f t="shared" si="21"/>
        <v>120292.90987371835</v>
      </c>
      <c r="G52" s="80">
        <f t="shared" si="22"/>
        <v>124476.08219071156</v>
      </c>
      <c r="H52" s="80">
        <f t="shared" si="23"/>
        <v>70162.558348560866</v>
      </c>
      <c r="I52" s="80">
        <f t="shared" si="24"/>
        <v>88667.561682962783</v>
      </c>
      <c r="J52" s="80">
        <f t="shared" si="25"/>
        <v>102205.59313441343</v>
      </c>
      <c r="K52" s="80">
        <f t="shared" si="26"/>
        <v>105428.93299764249</v>
      </c>
      <c r="L52" s="80">
        <f t="shared" si="27"/>
        <v>105428.93299764249</v>
      </c>
      <c r="M52" s="80">
        <f t="shared" si="28"/>
        <v>91018.292836826498</v>
      </c>
      <c r="N52" s="80">
        <f t="shared" si="29"/>
        <v>75995.404254979308</v>
      </c>
      <c r="O52" s="80">
        <f t="shared" si="30"/>
        <v>75995.404254979308</v>
      </c>
      <c r="P52" s="80">
        <f t="shared" si="31"/>
        <v>75995.404254979308</v>
      </c>
      <c r="Q52" s="80">
        <f t="shared" si="32"/>
        <v>75995.404254979308</v>
      </c>
      <c r="R52" s="80">
        <f t="shared" si="33"/>
        <v>75995.404254979308</v>
      </c>
      <c r="S52" s="80">
        <f t="shared" si="34"/>
        <v>75995.404254979308</v>
      </c>
      <c r="T52" s="80">
        <f t="shared" si="35"/>
        <v>75995.404254979308</v>
      </c>
      <c r="U52" s="80">
        <f>SUM(Table623[[#This Row],[Payment 1 - 9/1/22]:[Payment 18 -2038]])</f>
        <v>1600644.8158553333</v>
      </c>
    </row>
    <row r="53" spans="1:21" ht="16.2" thickBot="1" x14ac:dyDescent="0.35">
      <c r="A53" s="117" t="s">
        <v>76</v>
      </c>
      <c r="B53" s="1">
        <v>0.23001941115465127</v>
      </c>
      <c r="C53" s="80">
        <f t="shared" si="18"/>
        <v>6586764.2987857834</v>
      </c>
      <c r="D53" s="80">
        <f t="shared" si="19"/>
        <v>9938024.0819260255</v>
      </c>
      <c r="E53" s="80">
        <f t="shared" si="20"/>
        <v>9626797.4099123273</v>
      </c>
      <c r="F53" s="80">
        <f t="shared" si="21"/>
        <v>12053245.57454511</v>
      </c>
      <c r="G53" s="80">
        <f t="shared" si="22"/>
        <v>12472395.824300386</v>
      </c>
      <c r="H53" s="80">
        <f t="shared" si="23"/>
        <v>7030227.6900720345</v>
      </c>
      <c r="I53" s="80">
        <f t="shared" si="24"/>
        <v>8884413.0263605323</v>
      </c>
      <c r="J53" s="80">
        <f t="shared" si="25"/>
        <v>10240912.073989781</v>
      </c>
      <c r="K53" s="80">
        <f t="shared" si="26"/>
        <v>10563887.941665661</v>
      </c>
      <c r="L53" s="80">
        <f t="shared" si="27"/>
        <v>10563887.941665661</v>
      </c>
      <c r="M53" s="80">
        <f t="shared" si="28"/>
        <v>9119954.2557397</v>
      </c>
      <c r="N53" s="80">
        <f t="shared" si="29"/>
        <v>7614673.8073232211</v>
      </c>
      <c r="O53" s="80">
        <f t="shared" si="30"/>
        <v>7614673.8073232211</v>
      </c>
      <c r="P53" s="80">
        <f t="shared" si="31"/>
        <v>7614673.8073232211</v>
      </c>
      <c r="Q53" s="80">
        <f t="shared" si="32"/>
        <v>7614673.8073232211</v>
      </c>
      <c r="R53" s="80">
        <f t="shared" si="33"/>
        <v>7614673.8073232211</v>
      </c>
      <c r="S53" s="80">
        <f t="shared" si="34"/>
        <v>7614673.8073232211</v>
      </c>
      <c r="T53" s="80">
        <f t="shared" si="35"/>
        <v>7614673.8073232211</v>
      </c>
      <c r="U53" s="80">
        <f>SUM(Table623[[#This Row],[Payment 1 - 9/1/22]:[Payment 18 -2038]])</f>
        <v>160383226.77022555</v>
      </c>
    </row>
    <row r="54" spans="1:21" ht="16.2" thickBot="1" x14ac:dyDescent="0.35">
      <c r="A54" s="117" t="s">
        <v>77</v>
      </c>
      <c r="B54" s="1">
        <v>2.8123862539486417E-3</v>
      </c>
      <c r="C54" s="80">
        <f t="shared" si="18"/>
        <v>80534.617834709701</v>
      </c>
      <c r="D54" s="80">
        <f t="shared" si="19"/>
        <v>121509.58120933417</v>
      </c>
      <c r="E54" s="80">
        <f t="shared" si="20"/>
        <v>117704.29534306868</v>
      </c>
      <c r="F54" s="80">
        <f t="shared" si="21"/>
        <v>147371.83266036067</v>
      </c>
      <c r="G54" s="80">
        <f t="shared" si="22"/>
        <v>152496.67145041531</v>
      </c>
      <c r="H54" s="80">
        <f t="shared" si="23"/>
        <v>85956.726949424206</v>
      </c>
      <c r="I54" s="80">
        <f t="shared" si="24"/>
        <v>108627.35864035081</v>
      </c>
      <c r="J54" s="80">
        <f t="shared" si="25"/>
        <v>125212.91225035438</v>
      </c>
      <c r="K54" s="80">
        <f t="shared" si="26"/>
        <v>129161.85241174829</v>
      </c>
      <c r="L54" s="80">
        <f t="shared" si="27"/>
        <v>129161.85241174829</v>
      </c>
      <c r="M54" s="80">
        <f t="shared" si="28"/>
        <v>111507.25869930172</v>
      </c>
      <c r="N54" s="80">
        <f t="shared" si="29"/>
        <v>93102.594413739105</v>
      </c>
      <c r="O54" s="80">
        <f t="shared" si="30"/>
        <v>93102.594413739105</v>
      </c>
      <c r="P54" s="80">
        <f t="shared" si="31"/>
        <v>93102.594413739105</v>
      </c>
      <c r="Q54" s="80">
        <f t="shared" si="32"/>
        <v>93102.594413739105</v>
      </c>
      <c r="R54" s="80">
        <f t="shared" si="33"/>
        <v>93102.594413739105</v>
      </c>
      <c r="S54" s="80">
        <f t="shared" si="34"/>
        <v>93102.594413739105</v>
      </c>
      <c r="T54" s="80">
        <f t="shared" si="35"/>
        <v>93102.594413739105</v>
      </c>
      <c r="U54" s="80">
        <f>SUM(Table623[[#This Row],[Payment 1 - 9/1/22]:[Payment 18 -2038]])</f>
        <v>1960963.1207569905</v>
      </c>
    </row>
    <row r="55" spans="1:21" ht="16.2" thickBot="1" x14ac:dyDescent="0.35">
      <c r="A55" s="117" t="s">
        <v>78</v>
      </c>
      <c r="B55" s="1">
        <v>1.4285891185863999E-3</v>
      </c>
      <c r="C55" s="80">
        <f t="shared" si="18"/>
        <v>40908.633565765354</v>
      </c>
      <c r="D55" s="80">
        <f t="shared" si="19"/>
        <v>61722.412871249668</v>
      </c>
      <c r="E55" s="80">
        <f t="shared" si="20"/>
        <v>59789.467148013755</v>
      </c>
      <c r="F55" s="80">
        <f t="shared" si="21"/>
        <v>74859.488531894851</v>
      </c>
      <c r="G55" s="80">
        <f t="shared" si="22"/>
        <v>77462.718767322978</v>
      </c>
      <c r="H55" s="80">
        <f t="shared" si="23"/>
        <v>43662.866228577514</v>
      </c>
      <c r="I55" s="80">
        <f t="shared" si="24"/>
        <v>55178.716051718191</v>
      </c>
      <c r="J55" s="80">
        <f t="shared" si="25"/>
        <v>63603.569280792173</v>
      </c>
      <c r="K55" s="80">
        <f t="shared" si="26"/>
        <v>65609.486119773836</v>
      </c>
      <c r="L55" s="80">
        <f t="shared" si="27"/>
        <v>65609.486119773836</v>
      </c>
      <c r="M55" s="80">
        <f t="shared" si="28"/>
        <v>56641.599708277528</v>
      </c>
      <c r="N55" s="80">
        <f t="shared" si="29"/>
        <v>47292.704942249198</v>
      </c>
      <c r="O55" s="80">
        <f t="shared" si="30"/>
        <v>47292.704942249198</v>
      </c>
      <c r="P55" s="80">
        <f t="shared" si="31"/>
        <v>47292.704942249198</v>
      </c>
      <c r="Q55" s="80">
        <f t="shared" si="32"/>
        <v>47292.704942249198</v>
      </c>
      <c r="R55" s="80">
        <f t="shared" si="33"/>
        <v>47292.704942249198</v>
      </c>
      <c r="S55" s="80">
        <f t="shared" si="34"/>
        <v>47292.704942249198</v>
      </c>
      <c r="T55" s="80">
        <f t="shared" si="35"/>
        <v>47292.704942249198</v>
      </c>
      <c r="U55" s="80">
        <f>SUM(Table623[[#This Row],[Payment 1 - 9/1/22]:[Payment 18 -2038]])</f>
        <v>996097.37898890418</v>
      </c>
    </row>
    <row r="56" spans="1:21" ht="16.2" thickBot="1" x14ac:dyDescent="0.35">
      <c r="A56" s="117" t="s">
        <v>79</v>
      </c>
      <c r="B56" s="1">
        <v>9.7986327636411363E-3</v>
      </c>
      <c r="C56" s="80">
        <f t="shared" si="18"/>
        <v>280590.59946497477</v>
      </c>
      <c r="D56" s="80">
        <f t="shared" si="19"/>
        <v>423351.43754256092</v>
      </c>
      <c r="E56" s="80">
        <f t="shared" si="20"/>
        <v>410093.44401060609</v>
      </c>
      <c r="F56" s="80">
        <f t="shared" si="21"/>
        <v>513458.08774174849</v>
      </c>
      <c r="G56" s="80">
        <f t="shared" si="22"/>
        <v>531313.53459088004</v>
      </c>
      <c r="H56" s="80">
        <f t="shared" si="23"/>
        <v>299481.76562143158</v>
      </c>
      <c r="I56" s="80">
        <f t="shared" si="24"/>
        <v>378468.49589266093</v>
      </c>
      <c r="J56" s="80">
        <f t="shared" si="25"/>
        <v>436254.2103470437</v>
      </c>
      <c r="K56" s="80">
        <f t="shared" si="26"/>
        <v>450012.70969711174</v>
      </c>
      <c r="L56" s="80">
        <f t="shared" si="27"/>
        <v>450012.70969711174</v>
      </c>
      <c r="M56" s="80">
        <f t="shared" si="28"/>
        <v>388502.35345188784</v>
      </c>
      <c r="N56" s="80">
        <f t="shared" si="29"/>
        <v>324378.67690527969</v>
      </c>
      <c r="O56" s="80">
        <f t="shared" si="30"/>
        <v>324378.67690527969</v>
      </c>
      <c r="P56" s="80">
        <f t="shared" si="31"/>
        <v>324378.67690527969</v>
      </c>
      <c r="Q56" s="80">
        <f t="shared" si="32"/>
        <v>324378.67690527969</v>
      </c>
      <c r="R56" s="80">
        <f t="shared" si="33"/>
        <v>324378.67690527969</v>
      </c>
      <c r="S56" s="80">
        <f t="shared" si="34"/>
        <v>324378.67690527969</v>
      </c>
      <c r="T56" s="80">
        <f t="shared" si="35"/>
        <v>324378.67690527969</v>
      </c>
      <c r="U56" s="80">
        <f>SUM(Table623[[#This Row],[Payment 1 - 9/1/22]:[Payment 18 -2038]])</f>
        <v>6832190.0863949778</v>
      </c>
    </row>
    <row r="57" spans="1:21" ht="16.2" thickBot="1" x14ac:dyDescent="0.35">
      <c r="A57" s="117" t="s">
        <v>80</v>
      </c>
      <c r="B57" s="1">
        <v>1.4285891185863999E-3</v>
      </c>
      <c r="C57" s="80">
        <f t="shared" si="18"/>
        <v>40908.633565765354</v>
      </c>
      <c r="D57" s="80">
        <f t="shared" si="19"/>
        <v>61722.412871249668</v>
      </c>
      <c r="E57" s="80">
        <f t="shared" si="20"/>
        <v>59789.467148013755</v>
      </c>
      <c r="F57" s="80">
        <f t="shared" si="21"/>
        <v>74859.488531894851</v>
      </c>
      <c r="G57" s="80">
        <f t="shared" si="22"/>
        <v>77462.718767322978</v>
      </c>
      <c r="H57" s="80">
        <f t="shared" si="23"/>
        <v>43662.866228577514</v>
      </c>
      <c r="I57" s="80">
        <f t="shared" si="24"/>
        <v>55178.716051718191</v>
      </c>
      <c r="J57" s="80">
        <f t="shared" si="25"/>
        <v>63603.569280792173</v>
      </c>
      <c r="K57" s="80">
        <f t="shared" si="26"/>
        <v>65609.486119773836</v>
      </c>
      <c r="L57" s="80">
        <f t="shared" si="27"/>
        <v>65609.486119773836</v>
      </c>
      <c r="M57" s="80">
        <f t="shared" si="28"/>
        <v>56641.599708277528</v>
      </c>
      <c r="N57" s="80">
        <f t="shared" si="29"/>
        <v>47292.704942249198</v>
      </c>
      <c r="O57" s="80">
        <f t="shared" si="30"/>
        <v>47292.704942249198</v>
      </c>
      <c r="P57" s="80">
        <f t="shared" si="31"/>
        <v>47292.704942249198</v>
      </c>
      <c r="Q57" s="80">
        <f t="shared" si="32"/>
        <v>47292.704942249198</v>
      </c>
      <c r="R57" s="80">
        <f t="shared" si="33"/>
        <v>47292.704942249198</v>
      </c>
      <c r="S57" s="80">
        <f t="shared" si="34"/>
        <v>47292.704942249198</v>
      </c>
      <c r="T57" s="80">
        <f t="shared" si="35"/>
        <v>47292.704942249198</v>
      </c>
      <c r="U57" s="80">
        <f>SUM(Table623[[#This Row],[Payment 1 - 9/1/22]:[Payment 18 -2038]])</f>
        <v>996097.37898890418</v>
      </c>
    </row>
    <row r="58" spans="1:21" ht="16.2" thickBot="1" x14ac:dyDescent="0.35">
      <c r="A58" s="117" t="s">
        <v>81</v>
      </c>
      <c r="B58" s="1">
        <v>4.2235480138774059E-3</v>
      </c>
      <c r="C58" s="80">
        <f t="shared" si="18"/>
        <v>120944.20697960627</v>
      </c>
      <c r="D58" s="80">
        <f t="shared" si="19"/>
        <v>182479.04236596747</v>
      </c>
      <c r="E58" s="80">
        <f t="shared" si="20"/>
        <v>176764.3907813438</v>
      </c>
      <c r="F58" s="80">
        <f t="shared" si="21"/>
        <v>221318.11029165494</v>
      </c>
      <c r="G58" s="80">
        <f t="shared" si="22"/>
        <v>229014.42251149568</v>
      </c>
      <c r="H58" s="80">
        <f t="shared" si="23"/>
        <v>129086.94987287931</v>
      </c>
      <c r="I58" s="80">
        <f t="shared" si="24"/>
        <v>163132.94953495407</v>
      </c>
      <c r="J58" s="80">
        <f t="shared" si="25"/>
        <v>188040.58158949018</v>
      </c>
      <c r="K58" s="80">
        <f t="shared" si="26"/>
        <v>193970.96841034701</v>
      </c>
      <c r="L58" s="80">
        <f t="shared" si="27"/>
        <v>193970.96841034701</v>
      </c>
      <c r="M58" s="80">
        <f t="shared" si="28"/>
        <v>167457.88753273798</v>
      </c>
      <c r="N58" s="80">
        <f t="shared" si="29"/>
        <v>139818.37564839781</v>
      </c>
      <c r="O58" s="80">
        <f t="shared" si="30"/>
        <v>139818.37564839781</v>
      </c>
      <c r="P58" s="80">
        <f t="shared" si="31"/>
        <v>139818.37564839781</v>
      </c>
      <c r="Q58" s="80">
        <f t="shared" si="32"/>
        <v>139818.37564839781</v>
      </c>
      <c r="R58" s="80">
        <f t="shared" si="33"/>
        <v>139818.37564839781</v>
      </c>
      <c r="S58" s="80">
        <f t="shared" si="34"/>
        <v>139818.37564839781</v>
      </c>
      <c r="T58" s="80">
        <f t="shared" si="35"/>
        <v>139818.37564839781</v>
      </c>
      <c r="U58" s="80">
        <f>SUM(Table623[[#This Row],[Payment 1 - 9/1/22]:[Payment 18 -2038]])</f>
        <v>2944909.1078196093</v>
      </c>
    </row>
    <row r="59" spans="1:21" ht="16.2" thickBot="1" x14ac:dyDescent="0.35">
      <c r="A59" s="117" t="s">
        <v>82</v>
      </c>
      <c r="B59" s="1">
        <v>1.4285891185863999E-3</v>
      </c>
      <c r="C59" s="80">
        <f t="shared" si="18"/>
        <v>40908.633565765354</v>
      </c>
      <c r="D59" s="80">
        <f t="shared" si="19"/>
        <v>61722.412871249668</v>
      </c>
      <c r="E59" s="80">
        <f t="shared" si="20"/>
        <v>59789.467148013755</v>
      </c>
      <c r="F59" s="80">
        <f t="shared" si="21"/>
        <v>74859.488531894851</v>
      </c>
      <c r="G59" s="80">
        <f t="shared" si="22"/>
        <v>77462.718767322978</v>
      </c>
      <c r="H59" s="80">
        <f t="shared" si="23"/>
        <v>43662.866228577514</v>
      </c>
      <c r="I59" s="80">
        <f t="shared" si="24"/>
        <v>55178.716051718191</v>
      </c>
      <c r="J59" s="80">
        <f t="shared" si="25"/>
        <v>63603.569280792173</v>
      </c>
      <c r="K59" s="80">
        <f t="shared" si="26"/>
        <v>65609.486119773836</v>
      </c>
      <c r="L59" s="80">
        <f t="shared" si="27"/>
        <v>65609.486119773836</v>
      </c>
      <c r="M59" s="80">
        <f t="shared" si="28"/>
        <v>56641.599708277528</v>
      </c>
      <c r="N59" s="80">
        <f t="shared" si="29"/>
        <v>47292.704942249198</v>
      </c>
      <c r="O59" s="80">
        <f t="shared" si="30"/>
        <v>47292.704942249198</v>
      </c>
      <c r="P59" s="80">
        <f t="shared" si="31"/>
        <v>47292.704942249198</v>
      </c>
      <c r="Q59" s="80">
        <f t="shared" si="32"/>
        <v>47292.704942249198</v>
      </c>
      <c r="R59" s="80">
        <f t="shared" si="33"/>
        <v>47292.704942249198</v>
      </c>
      <c r="S59" s="80">
        <f t="shared" si="34"/>
        <v>47292.704942249198</v>
      </c>
      <c r="T59" s="80">
        <f t="shared" si="35"/>
        <v>47292.704942249198</v>
      </c>
      <c r="U59" s="80">
        <f>SUM(Table623[[#This Row],[Payment 1 - 9/1/22]:[Payment 18 -2038]])</f>
        <v>996097.37898890418</v>
      </c>
    </row>
    <row r="60" spans="1:21" ht="16.2" thickBot="1" x14ac:dyDescent="0.35">
      <c r="A60" s="117" t="s">
        <v>83</v>
      </c>
      <c r="B60" s="1">
        <v>1.6496689990441195E-3</v>
      </c>
      <c r="C60" s="80">
        <f t="shared" si="18"/>
        <v>47239.4082446018</v>
      </c>
      <c r="D60" s="80">
        <f t="shared" si="19"/>
        <v>71274.20315272703</v>
      </c>
      <c r="E60" s="80">
        <f t="shared" si="20"/>
        <v>69042.126347037469</v>
      </c>
      <c r="F60" s="80">
        <f t="shared" si="21"/>
        <v>86444.293820159699</v>
      </c>
      <c r="G60" s="80">
        <f t="shared" si="22"/>
        <v>89450.384347441272</v>
      </c>
      <c r="H60" s="80">
        <f t="shared" si="23"/>
        <v>50419.869428914797</v>
      </c>
      <c r="I60" s="80">
        <f t="shared" si="24"/>
        <v>63717.843075585784</v>
      </c>
      <c r="J60" s="80">
        <f t="shared" si="25"/>
        <v>73446.476041271875</v>
      </c>
      <c r="K60" s="80">
        <f t="shared" si="26"/>
        <v>75762.816534753321</v>
      </c>
      <c r="L60" s="80">
        <f t="shared" si="27"/>
        <v>75762.816534753321</v>
      </c>
      <c r="M60" s="80">
        <f t="shared" si="28"/>
        <v>65407.113829532311</v>
      </c>
      <c r="N60" s="80">
        <f t="shared" si="29"/>
        <v>54611.440202882026</v>
      </c>
      <c r="O60" s="80">
        <f t="shared" si="30"/>
        <v>54611.440202882026</v>
      </c>
      <c r="P60" s="80">
        <f t="shared" si="31"/>
        <v>54611.440202882026</v>
      </c>
      <c r="Q60" s="80">
        <f t="shared" si="32"/>
        <v>54611.440202882026</v>
      </c>
      <c r="R60" s="80">
        <f t="shared" si="33"/>
        <v>54611.440202882026</v>
      </c>
      <c r="S60" s="80">
        <f t="shared" si="34"/>
        <v>54611.440202882026</v>
      </c>
      <c r="T60" s="80">
        <f t="shared" si="35"/>
        <v>54611.440202882026</v>
      </c>
      <c r="U60" s="80">
        <f>SUM(Table623[[#This Row],[Payment 1 - 9/1/22]:[Payment 18 -2038]])</f>
        <v>1150247.4327769529</v>
      </c>
    </row>
    <row r="61" spans="1:21" ht="16.2" thickBot="1" x14ac:dyDescent="0.35">
      <c r="A61" s="117" t="s">
        <v>84</v>
      </c>
      <c r="B61" s="1">
        <v>1.4807269070583292E-3</v>
      </c>
      <c r="C61" s="80">
        <f t="shared" si="18"/>
        <v>42401.635056381529</v>
      </c>
      <c r="D61" s="80">
        <f t="shared" si="19"/>
        <v>63975.034051398798</v>
      </c>
      <c r="E61" s="80">
        <f t="shared" si="20"/>
        <v>61971.543541047664</v>
      </c>
      <c r="F61" s="80">
        <f t="shared" si="21"/>
        <v>77591.560425354895</v>
      </c>
      <c r="G61" s="80">
        <f t="shared" si="22"/>
        <v>80289.798151455194</v>
      </c>
      <c r="H61" s="80">
        <f t="shared" si="23"/>
        <v>45256.386194455685</v>
      </c>
      <c r="I61" s="80">
        <f t="shared" si="24"/>
        <v>57192.5184727417</v>
      </c>
      <c r="J61" s="80">
        <f t="shared" si="25"/>
        <v>65924.845145263971</v>
      </c>
      <c r="K61" s="80">
        <f t="shared" si="26"/>
        <v>68003.969925201105</v>
      </c>
      <c r="L61" s="80">
        <f t="shared" si="27"/>
        <v>68003.969925201105</v>
      </c>
      <c r="M61" s="80">
        <f t="shared" si="28"/>
        <v>58708.791531230825</v>
      </c>
      <c r="N61" s="80">
        <f t="shared" si="29"/>
        <v>49018.699501821524</v>
      </c>
      <c r="O61" s="80">
        <f t="shared" si="30"/>
        <v>49018.699501821524</v>
      </c>
      <c r="P61" s="80">
        <f t="shared" si="31"/>
        <v>49018.699501821524</v>
      </c>
      <c r="Q61" s="80">
        <f t="shared" si="32"/>
        <v>49018.699501821524</v>
      </c>
      <c r="R61" s="80">
        <f t="shared" si="33"/>
        <v>49018.699501821524</v>
      </c>
      <c r="S61" s="80">
        <f t="shared" si="34"/>
        <v>49018.699501821524</v>
      </c>
      <c r="T61" s="80">
        <f t="shared" si="35"/>
        <v>49018.699501821524</v>
      </c>
      <c r="U61" s="80">
        <f>SUM(Table623[[#This Row],[Payment 1 - 9/1/22]:[Payment 18 -2038]])</f>
        <v>1032450.9489324833</v>
      </c>
    </row>
    <row r="62" spans="1:21" ht="16.2" thickBot="1" x14ac:dyDescent="0.35">
      <c r="A62" s="117" t="s">
        <v>85</v>
      </c>
      <c r="B62" s="1">
        <v>1.4285891185863999E-3</v>
      </c>
      <c r="C62" s="80">
        <f t="shared" si="18"/>
        <v>40908.633565765354</v>
      </c>
      <c r="D62" s="80">
        <f t="shared" si="19"/>
        <v>61722.412871249668</v>
      </c>
      <c r="E62" s="80">
        <f t="shared" si="20"/>
        <v>59789.467148013755</v>
      </c>
      <c r="F62" s="80">
        <f t="shared" si="21"/>
        <v>74859.488531894851</v>
      </c>
      <c r="G62" s="80">
        <f t="shared" si="22"/>
        <v>77462.718767322978</v>
      </c>
      <c r="H62" s="80">
        <f t="shared" si="23"/>
        <v>43662.866228577514</v>
      </c>
      <c r="I62" s="80">
        <f t="shared" si="24"/>
        <v>55178.716051718191</v>
      </c>
      <c r="J62" s="80">
        <f t="shared" si="25"/>
        <v>63603.569280792173</v>
      </c>
      <c r="K62" s="80">
        <f t="shared" si="26"/>
        <v>65609.486119773836</v>
      </c>
      <c r="L62" s="80">
        <f t="shared" si="27"/>
        <v>65609.486119773836</v>
      </c>
      <c r="M62" s="80">
        <f t="shared" si="28"/>
        <v>56641.599708277528</v>
      </c>
      <c r="N62" s="80">
        <f t="shared" si="29"/>
        <v>47292.704942249198</v>
      </c>
      <c r="O62" s="80">
        <f t="shared" si="30"/>
        <v>47292.704942249198</v>
      </c>
      <c r="P62" s="80">
        <f t="shared" si="31"/>
        <v>47292.704942249198</v>
      </c>
      <c r="Q62" s="80">
        <f t="shared" si="32"/>
        <v>47292.704942249198</v>
      </c>
      <c r="R62" s="80">
        <f t="shared" si="33"/>
        <v>47292.704942249198</v>
      </c>
      <c r="S62" s="80">
        <f t="shared" si="34"/>
        <v>47292.704942249198</v>
      </c>
      <c r="T62" s="80">
        <f t="shared" si="35"/>
        <v>47292.704942249198</v>
      </c>
      <c r="U62" s="80">
        <f>SUM(Table623[[#This Row],[Payment 1 - 9/1/22]:[Payment 18 -2038]])</f>
        <v>996097.37898890418</v>
      </c>
    </row>
    <row r="63" spans="1:21" ht="16.2" thickBot="1" x14ac:dyDescent="0.35">
      <c r="A63" s="117" t="s">
        <v>86</v>
      </c>
      <c r="B63" s="1">
        <v>3.3390870617237872E-3</v>
      </c>
      <c r="C63" s="80">
        <f t="shared" si="18"/>
        <v>95617.05830953746</v>
      </c>
      <c r="D63" s="80">
        <f t="shared" si="19"/>
        <v>144265.77072118374</v>
      </c>
      <c r="E63" s="80">
        <f t="shared" si="20"/>
        <v>139747.83482800127</v>
      </c>
      <c r="F63" s="80">
        <f t="shared" si="21"/>
        <v>174971.47804923088</v>
      </c>
      <c r="G63" s="80">
        <f t="shared" si="22"/>
        <v>181056.09138186453</v>
      </c>
      <c r="H63" s="80">
        <f t="shared" si="23"/>
        <v>102054.61444777355</v>
      </c>
      <c r="I63" s="80">
        <f t="shared" si="24"/>
        <v>128970.97874659458</v>
      </c>
      <c r="J63" s="80">
        <f t="shared" si="25"/>
        <v>148662.65779421254</v>
      </c>
      <c r="K63" s="80">
        <f t="shared" si="26"/>
        <v>153351.15141130323</v>
      </c>
      <c r="L63" s="80">
        <f t="shared" si="27"/>
        <v>153351.15141130323</v>
      </c>
      <c r="M63" s="80">
        <f t="shared" si="28"/>
        <v>132390.22352934774</v>
      </c>
      <c r="N63" s="80">
        <f t="shared" si="29"/>
        <v>110538.7526280772</v>
      </c>
      <c r="O63" s="80">
        <f t="shared" si="30"/>
        <v>110538.7526280772</v>
      </c>
      <c r="P63" s="80">
        <f t="shared" si="31"/>
        <v>110538.7526280772</v>
      </c>
      <c r="Q63" s="80">
        <f t="shared" si="32"/>
        <v>110538.7526280772</v>
      </c>
      <c r="R63" s="80">
        <f t="shared" si="33"/>
        <v>110538.7526280772</v>
      </c>
      <c r="S63" s="80">
        <f t="shared" si="34"/>
        <v>110538.7526280772</v>
      </c>
      <c r="T63" s="80">
        <f t="shared" si="35"/>
        <v>110538.7526280772</v>
      </c>
      <c r="U63" s="80">
        <f>SUM(Table623[[#This Row],[Payment 1 - 9/1/22]:[Payment 18 -2038]])</f>
        <v>2328210.2790268939</v>
      </c>
    </row>
    <row r="64" spans="1:21" ht="16.2" thickBot="1" x14ac:dyDescent="0.35">
      <c r="A64" s="117" t="s">
        <v>87</v>
      </c>
      <c r="B64" s="1">
        <v>1.4285891185863999E-3</v>
      </c>
      <c r="C64" s="80">
        <f t="shared" si="18"/>
        <v>40908.633565765354</v>
      </c>
      <c r="D64" s="80">
        <f t="shared" si="19"/>
        <v>61722.412871249668</v>
      </c>
      <c r="E64" s="80">
        <f t="shared" si="20"/>
        <v>59789.467148013755</v>
      </c>
      <c r="F64" s="80">
        <f t="shared" si="21"/>
        <v>74859.488531894851</v>
      </c>
      <c r="G64" s="80">
        <f t="shared" si="22"/>
        <v>77462.718767322978</v>
      </c>
      <c r="H64" s="80">
        <f t="shared" si="23"/>
        <v>43662.866228577514</v>
      </c>
      <c r="I64" s="80">
        <f t="shared" si="24"/>
        <v>55178.716051718191</v>
      </c>
      <c r="J64" s="80">
        <f t="shared" si="25"/>
        <v>63603.569280792173</v>
      </c>
      <c r="K64" s="80">
        <f t="shared" si="26"/>
        <v>65609.486119773836</v>
      </c>
      <c r="L64" s="80">
        <f t="shared" si="27"/>
        <v>65609.486119773836</v>
      </c>
      <c r="M64" s="80">
        <f t="shared" si="28"/>
        <v>56641.599708277528</v>
      </c>
      <c r="N64" s="80">
        <f t="shared" si="29"/>
        <v>47292.704942249198</v>
      </c>
      <c r="O64" s="80">
        <f t="shared" si="30"/>
        <v>47292.704942249198</v>
      </c>
      <c r="P64" s="80">
        <f t="shared" si="31"/>
        <v>47292.704942249198</v>
      </c>
      <c r="Q64" s="80">
        <f t="shared" si="32"/>
        <v>47292.704942249198</v>
      </c>
      <c r="R64" s="80">
        <f t="shared" si="33"/>
        <v>47292.704942249198</v>
      </c>
      <c r="S64" s="80">
        <f t="shared" si="34"/>
        <v>47292.704942249198</v>
      </c>
      <c r="T64" s="80">
        <f t="shared" si="35"/>
        <v>47292.704942249198</v>
      </c>
      <c r="U64" s="80">
        <f>SUM(Table623[[#This Row],[Payment 1 - 9/1/22]:[Payment 18 -2038]])</f>
        <v>996097.37898890418</v>
      </c>
    </row>
    <row r="65" spans="1:21" ht="16.2" thickBot="1" x14ac:dyDescent="0.35">
      <c r="A65" s="117" t="s">
        <v>88</v>
      </c>
      <c r="B65" s="1">
        <v>1.6367492676323599E-2</v>
      </c>
      <c r="C65" s="80">
        <f t="shared" si="18"/>
        <v>468694.42835223093</v>
      </c>
      <c r="D65" s="80">
        <f t="shared" si="19"/>
        <v>707160.04167443328</v>
      </c>
      <c r="E65" s="80">
        <f t="shared" si="20"/>
        <v>685014.08342990978</v>
      </c>
      <c r="F65" s="80">
        <f t="shared" si="21"/>
        <v>857672.87063723814</v>
      </c>
      <c r="G65" s="80">
        <f t="shared" si="22"/>
        <v>887498.34757725231</v>
      </c>
      <c r="H65" s="80">
        <f t="shared" si="23"/>
        <v>500249.95565603417</v>
      </c>
      <c r="I65" s="80">
        <f t="shared" si="24"/>
        <v>632188.2332122887</v>
      </c>
      <c r="J65" s="80">
        <f t="shared" si="25"/>
        <v>728712.64441767184</v>
      </c>
      <c r="K65" s="80">
        <f t="shared" si="26"/>
        <v>751694.64025131927</v>
      </c>
      <c r="L65" s="80">
        <f t="shared" si="27"/>
        <v>751694.64025131927</v>
      </c>
      <c r="M65" s="80">
        <f t="shared" si="28"/>
        <v>648948.64194250561</v>
      </c>
      <c r="N65" s="80">
        <f t="shared" si="29"/>
        <v>541837.39167195815</v>
      </c>
      <c r="O65" s="80">
        <f t="shared" si="30"/>
        <v>541837.39167195815</v>
      </c>
      <c r="P65" s="80">
        <f t="shared" si="31"/>
        <v>541837.39167195815</v>
      </c>
      <c r="Q65" s="80">
        <f t="shared" si="32"/>
        <v>541837.39167195815</v>
      </c>
      <c r="R65" s="80">
        <f t="shared" si="33"/>
        <v>541837.39167195815</v>
      </c>
      <c r="S65" s="80">
        <f t="shared" si="34"/>
        <v>541837.39167195815</v>
      </c>
      <c r="T65" s="80">
        <f t="shared" si="35"/>
        <v>541837.39167195815</v>
      </c>
      <c r="U65" s="80">
        <f>SUM(Table623[[#This Row],[Payment 1 - 9/1/22]:[Payment 18 -2038]])</f>
        <v>11412390.269105906</v>
      </c>
    </row>
    <row r="66" spans="1:21" ht="16.2" thickBot="1" x14ac:dyDescent="0.35">
      <c r="A66" s="117" t="s">
        <v>89</v>
      </c>
      <c r="B66" s="1">
        <v>3.13039447751333E-3</v>
      </c>
      <c r="C66" s="80">
        <f t="shared" si="18"/>
        <v>89641.002392349765</v>
      </c>
      <c r="D66" s="80">
        <f t="shared" si="19"/>
        <v>135249.17548171297</v>
      </c>
      <c r="E66" s="80">
        <f t="shared" si="20"/>
        <v>131013.61009861798</v>
      </c>
      <c r="F66" s="80">
        <f t="shared" si="21"/>
        <v>164035.77938602606</v>
      </c>
      <c r="G66" s="80">
        <f t="shared" si="22"/>
        <v>169740.10503617767</v>
      </c>
      <c r="H66" s="80">
        <f t="shared" si="23"/>
        <v>95676.211960504254</v>
      </c>
      <c r="I66" s="80">
        <f t="shared" si="24"/>
        <v>120910.30636961143</v>
      </c>
      <c r="J66" s="80">
        <f t="shared" si="25"/>
        <v>139371.25758296656</v>
      </c>
      <c r="K66" s="80">
        <f t="shared" si="26"/>
        <v>143766.72085046829</v>
      </c>
      <c r="L66" s="80">
        <f t="shared" si="27"/>
        <v>143766.72085046829</v>
      </c>
      <c r="M66" s="80">
        <f t="shared" si="28"/>
        <v>124115.84871916342</v>
      </c>
      <c r="N66" s="80">
        <f t="shared" si="29"/>
        <v>103630.0924119986</v>
      </c>
      <c r="O66" s="80">
        <f t="shared" si="30"/>
        <v>103630.0924119986</v>
      </c>
      <c r="P66" s="80">
        <f t="shared" si="31"/>
        <v>103630.0924119986</v>
      </c>
      <c r="Q66" s="80">
        <f t="shared" si="32"/>
        <v>103630.0924119986</v>
      </c>
      <c r="R66" s="80">
        <f t="shared" si="33"/>
        <v>103630.0924119986</v>
      </c>
      <c r="S66" s="80">
        <f t="shared" si="34"/>
        <v>103630.0924119986</v>
      </c>
      <c r="T66" s="80">
        <f t="shared" si="35"/>
        <v>103630.0924119986</v>
      </c>
      <c r="U66" s="80">
        <f>SUM(Table623[[#This Row],[Payment 1 - 9/1/22]:[Payment 18 -2038]])</f>
        <v>2182697.3856120571</v>
      </c>
    </row>
    <row r="67" spans="1:21" ht="16.2" thickBot="1" x14ac:dyDescent="0.35">
      <c r="A67" s="117" t="s">
        <v>90</v>
      </c>
      <c r="B67" s="1">
        <v>3.2069154250612922E-2</v>
      </c>
      <c r="C67" s="80">
        <f t="shared" ref="C67:C69" si="36">B67*$C$2</f>
        <v>918322.32440666424</v>
      </c>
      <c r="D67" s="80">
        <f t="shared" si="19"/>
        <v>1385552.7480474859</v>
      </c>
      <c r="E67" s="80">
        <f t="shared" si="20"/>
        <v>1342161.7311693421</v>
      </c>
      <c r="F67" s="80">
        <f t="shared" si="21"/>
        <v>1680455.5302974849</v>
      </c>
      <c r="G67" s="80">
        <f t="shared" si="22"/>
        <v>1738893.1810423059</v>
      </c>
      <c r="H67" s="80">
        <f t="shared" si="23"/>
        <v>980149.69727171783</v>
      </c>
      <c r="I67" s="80">
        <f t="shared" si="24"/>
        <v>1238658.9911620568</v>
      </c>
      <c r="J67" s="80">
        <f t="shared" si="25"/>
        <v>1427781.1916792293</v>
      </c>
      <c r="K67" s="80">
        <f t="shared" si="26"/>
        <v>1472810.2736498788</v>
      </c>
      <c r="L67" s="80">
        <f t="shared" si="27"/>
        <v>1472810.2736498788</v>
      </c>
      <c r="M67" s="80">
        <f t="shared" si="28"/>
        <v>1271497.9936593762</v>
      </c>
      <c r="N67" s="80">
        <f t="shared" si="29"/>
        <v>1061632.7885952524</v>
      </c>
      <c r="O67" s="80">
        <f t="shared" si="30"/>
        <v>1061632.7885952524</v>
      </c>
      <c r="P67" s="80">
        <f t="shared" si="31"/>
        <v>1061632.7885952524</v>
      </c>
      <c r="Q67" s="80">
        <f t="shared" si="32"/>
        <v>1061632.7885952524</v>
      </c>
      <c r="R67" s="80">
        <f t="shared" si="33"/>
        <v>1061632.7885952524</v>
      </c>
      <c r="S67" s="80">
        <f t="shared" si="34"/>
        <v>1061632.7885952524</v>
      </c>
      <c r="T67" s="80">
        <f t="shared" si="35"/>
        <v>1061632.7885952524</v>
      </c>
      <c r="U67" s="80">
        <f>SUM(Table623[[#This Row],[Payment 1 - 9/1/22]:[Payment 18 -2038]])</f>
        <v>22360523.456202183</v>
      </c>
    </row>
    <row r="68" spans="1:21" ht="16.2" thickBot="1" x14ac:dyDescent="0.35">
      <c r="A68" s="117" t="s">
        <v>91</v>
      </c>
      <c r="B68" s="1">
        <v>2.0273036752403669E-3</v>
      </c>
      <c r="C68" s="80">
        <f t="shared" si="36"/>
        <v>58053.237350009775</v>
      </c>
      <c r="D68" s="80">
        <f t="shared" si="19"/>
        <v>87589.967493526041</v>
      </c>
      <c r="E68" s="80">
        <f t="shared" si="20"/>
        <v>84846.933882410565</v>
      </c>
      <c r="F68" s="80">
        <f t="shared" si="21"/>
        <v>106232.72587816931</v>
      </c>
      <c r="G68" s="80">
        <f t="shared" si="22"/>
        <v>109926.95688911418</v>
      </c>
      <c r="H68" s="80">
        <f t="shared" si="23"/>
        <v>61961.755150643206</v>
      </c>
      <c r="I68" s="80">
        <f t="shared" si="24"/>
        <v>78303.84005541302</v>
      </c>
      <c r="J68" s="80">
        <f t="shared" si="25"/>
        <v>90259.507148525765</v>
      </c>
      <c r="K68" s="80">
        <f t="shared" si="26"/>
        <v>93106.093705140447</v>
      </c>
      <c r="L68" s="80">
        <f t="shared" si="27"/>
        <v>93106.093705140447</v>
      </c>
      <c r="M68" s="80">
        <f t="shared" si="28"/>
        <v>80379.810938018098</v>
      </c>
      <c r="N68" s="80">
        <f t="shared" si="29"/>
        <v>67112.841120021112</v>
      </c>
      <c r="O68" s="80">
        <f t="shared" si="30"/>
        <v>67112.841120021112</v>
      </c>
      <c r="P68" s="80">
        <f t="shared" si="31"/>
        <v>67112.841120021112</v>
      </c>
      <c r="Q68" s="80">
        <f t="shared" si="32"/>
        <v>67112.841120021112</v>
      </c>
      <c r="R68" s="80">
        <f t="shared" si="33"/>
        <v>67112.841120021112</v>
      </c>
      <c r="S68" s="80">
        <f t="shared" si="34"/>
        <v>67112.841120021112</v>
      </c>
      <c r="T68" s="80">
        <f t="shared" si="35"/>
        <v>67112.841120021112</v>
      </c>
      <c r="U68" s="80">
        <f>SUM(Table623[[#This Row],[Payment 1 - 9/1/22]:[Payment 18 -2038]])</f>
        <v>1413556.810036259</v>
      </c>
    </row>
    <row r="69" spans="1:21" ht="16.2" thickBot="1" x14ac:dyDescent="0.35">
      <c r="A69" s="117" t="s">
        <v>92</v>
      </c>
      <c r="B69" s="1">
        <v>2.5549983524653132E-2</v>
      </c>
      <c r="C69" s="80">
        <f t="shared" si="36"/>
        <v>731641.37961209251</v>
      </c>
      <c r="D69" s="80">
        <f t="shared" si="19"/>
        <v>1103890.9728801013</v>
      </c>
      <c r="E69" s="80">
        <f t="shared" si="20"/>
        <v>1069320.6889963804</v>
      </c>
      <c r="F69" s="80">
        <f t="shared" si="21"/>
        <v>1338844.5101321116</v>
      </c>
      <c r="G69" s="80">
        <f t="shared" si="22"/>
        <v>1385402.6763400985</v>
      </c>
      <c r="H69" s="80">
        <f t="shared" si="23"/>
        <v>780900.1890502777</v>
      </c>
      <c r="I69" s="80">
        <f t="shared" si="24"/>
        <v>986858.47994413984</v>
      </c>
      <c r="J69" s="80">
        <f t="shared" si="25"/>
        <v>1137535.0169553256</v>
      </c>
      <c r="K69" s="80">
        <f t="shared" si="26"/>
        <v>1173410.3722418891</v>
      </c>
      <c r="L69" s="80">
        <f t="shared" si="27"/>
        <v>1173410.3722418891</v>
      </c>
      <c r="M69" s="80">
        <f t="shared" si="28"/>
        <v>1013021.8132898116</v>
      </c>
      <c r="N69" s="80">
        <f t="shared" si="29"/>
        <v>845819.00869187538</v>
      </c>
      <c r="O69" s="80">
        <f t="shared" si="30"/>
        <v>845819.00869187538</v>
      </c>
      <c r="P69" s="80">
        <f t="shared" si="31"/>
        <v>845819.00869187538</v>
      </c>
      <c r="Q69" s="80">
        <f t="shared" si="32"/>
        <v>845819.00869187538</v>
      </c>
      <c r="R69" s="80">
        <f t="shared" si="33"/>
        <v>845819.00869187538</v>
      </c>
      <c r="S69" s="80">
        <f t="shared" si="34"/>
        <v>845819.00869187538</v>
      </c>
      <c r="T69" s="80">
        <f t="shared" si="35"/>
        <v>845819.00869187538</v>
      </c>
      <c r="U69" s="80">
        <f>SUM(Table623[[#This Row],[Payment 1 - 9/1/22]:[Payment 18 -2038]])</f>
        <v>17814969.532527246</v>
      </c>
    </row>
    <row r="70" spans="1:21" x14ac:dyDescent="0.3">
      <c r="A70" s="116"/>
      <c r="C70" s="80"/>
    </row>
  </sheetData>
  <pageMargins left="0.7" right="0.7" top="0.75" bottom="0.75" header="0.3" footer="0.3"/>
  <pageSetup orientation="portrait" r:id="rId1"/>
  <customProperties>
    <customPr name="OrphanNamesChecked" r:id="rId2"/>
  </customProperties>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9157-B862-4FE6-B5E6-3BF106B1E54D}">
  <dimension ref="A1:V90"/>
  <sheetViews>
    <sheetView topLeftCell="A28" workbookViewId="0">
      <selection activeCell="H12" sqref="H12:H49"/>
    </sheetView>
  </sheetViews>
  <sheetFormatPr defaultColWidth="10.109375" defaultRowHeight="15.6" x14ac:dyDescent="0.3"/>
  <cols>
    <col min="1" max="1" width="23.5546875" style="1" customWidth="1"/>
    <col min="2" max="21" width="16.6640625" style="1" customWidth="1"/>
    <col min="22" max="16384" width="10.109375" style="1"/>
  </cols>
  <sheetData>
    <row r="1" spans="1:22" x14ac:dyDescent="0.3">
      <c r="A1" s="87" t="s">
        <v>117</v>
      </c>
      <c r="C1" s="87" t="s">
        <v>318</v>
      </c>
      <c r="D1" s="87" t="s">
        <v>435</v>
      </c>
      <c r="E1" s="87" t="s">
        <v>434</v>
      </c>
      <c r="F1" s="87" t="s">
        <v>433</v>
      </c>
      <c r="G1" s="87" t="s">
        <v>432</v>
      </c>
      <c r="H1" s="87" t="s">
        <v>431</v>
      </c>
      <c r="I1" s="94" t="s">
        <v>430</v>
      </c>
      <c r="J1" s="94" t="s">
        <v>429</v>
      </c>
      <c r="K1" s="94" t="s">
        <v>428</v>
      </c>
      <c r="L1" s="94" t="s">
        <v>427</v>
      </c>
      <c r="M1" s="94" t="s">
        <v>426</v>
      </c>
      <c r="N1" s="94" t="s">
        <v>425</v>
      </c>
      <c r="O1" s="94" t="s">
        <v>424</v>
      </c>
      <c r="P1" s="94" t="s">
        <v>423</v>
      </c>
      <c r="Q1" s="94" t="s">
        <v>422</v>
      </c>
      <c r="R1" s="94" t="s">
        <v>421</v>
      </c>
      <c r="S1" s="94" t="s">
        <v>420</v>
      </c>
      <c r="T1" s="94" t="s">
        <v>419</v>
      </c>
      <c r="U1" s="94" t="s">
        <v>418</v>
      </c>
    </row>
    <row r="2" spans="1:22" x14ac:dyDescent="0.3">
      <c r="D2" s="89">
        <v>6136219</v>
      </c>
      <c r="E2" s="89">
        <v>3078636.6570368893</v>
      </c>
      <c r="F2" s="89">
        <v>6610037.3394107344</v>
      </c>
      <c r="G2" s="89">
        <v>5871877</v>
      </c>
      <c r="H2" s="89">
        <v>5871877</v>
      </c>
      <c r="I2" s="89">
        <v>5871877</v>
      </c>
      <c r="J2" s="89">
        <v>7175271.8672339991</v>
      </c>
      <c r="K2" s="89">
        <v>8438984.2030319981</v>
      </c>
      <c r="L2" s="89">
        <v>8438984.203032</v>
      </c>
      <c r="M2" s="89">
        <v>8438984.203032</v>
      </c>
      <c r="N2" s="89">
        <v>7093817.8985159993</v>
      </c>
      <c r="O2" s="89">
        <v>7093817.8985160002</v>
      </c>
      <c r="P2" s="89">
        <v>7093817.8985160002</v>
      </c>
      <c r="Q2" s="89">
        <v>7093817.8985160002</v>
      </c>
      <c r="R2" s="89">
        <v>7093817.8985160002</v>
      </c>
      <c r="S2" s="89">
        <v>7093817.8985160002</v>
      </c>
      <c r="T2" s="89">
        <v>7093817.8985160002</v>
      </c>
      <c r="U2" s="89">
        <v>7093817.8985160002</v>
      </c>
    </row>
    <row r="3" spans="1:22" x14ac:dyDescent="0.3">
      <c r="D3" s="89"/>
      <c r="E3" s="89"/>
      <c r="F3" s="89"/>
      <c r="G3" s="89"/>
      <c r="H3" s="89"/>
      <c r="I3" s="89"/>
      <c r="J3" s="89"/>
      <c r="K3" s="89"/>
      <c r="L3" s="89"/>
      <c r="M3" s="89"/>
      <c r="N3" s="89"/>
      <c r="O3" s="89"/>
      <c r="P3" s="89"/>
      <c r="Q3" s="89"/>
      <c r="R3" s="89"/>
      <c r="S3" s="89"/>
      <c r="T3" s="89"/>
      <c r="U3" s="89"/>
    </row>
    <row r="4" spans="1:22" x14ac:dyDescent="0.3">
      <c r="A4" s="91">
        <v>0.25</v>
      </c>
      <c r="D4" s="89">
        <f t="shared" ref="D4:U4" si="0">D2*0.25</f>
        <v>1534054.75</v>
      </c>
      <c r="E4" s="89">
        <f t="shared" si="0"/>
        <v>769659.16425922234</v>
      </c>
      <c r="F4" s="89">
        <f t="shared" si="0"/>
        <v>1652509.3348526836</v>
      </c>
      <c r="G4" s="89">
        <f t="shared" si="0"/>
        <v>1467969.25</v>
      </c>
      <c r="H4" s="89">
        <f t="shared" si="0"/>
        <v>1467969.25</v>
      </c>
      <c r="I4" s="89">
        <f t="shared" si="0"/>
        <v>1467969.25</v>
      </c>
      <c r="J4" s="89">
        <f t="shared" si="0"/>
        <v>1793817.9668084998</v>
      </c>
      <c r="K4" s="89">
        <f t="shared" si="0"/>
        <v>2109746.0507579995</v>
      </c>
      <c r="L4" s="89">
        <f t="shared" si="0"/>
        <v>2109746.050758</v>
      </c>
      <c r="M4" s="89">
        <f t="shared" si="0"/>
        <v>2109746.050758</v>
      </c>
      <c r="N4" s="89">
        <f t="shared" si="0"/>
        <v>1773454.4746289998</v>
      </c>
      <c r="O4" s="89">
        <f t="shared" si="0"/>
        <v>1773454.4746290001</v>
      </c>
      <c r="P4" s="89">
        <f t="shared" si="0"/>
        <v>1773454.4746290001</v>
      </c>
      <c r="Q4" s="89">
        <f t="shared" si="0"/>
        <v>1773454.4746290001</v>
      </c>
      <c r="R4" s="89">
        <f t="shared" si="0"/>
        <v>1773454.4746290001</v>
      </c>
      <c r="S4" s="89">
        <f t="shared" si="0"/>
        <v>1773454.4746290001</v>
      </c>
      <c r="T4" s="89">
        <f t="shared" si="0"/>
        <v>1773454.4746290001</v>
      </c>
      <c r="U4" s="89">
        <f t="shared" si="0"/>
        <v>1773454.4746290001</v>
      </c>
    </row>
    <row r="5" spans="1:22" x14ac:dyDescent="0.3">
      <c r="A5" s="1" t="s">
        <v>117</v>
      </c>
      <c r="B5" s="1" t="s">
        <v>476</v>
      </c>
      <c r="C5" s="1" t="s">
        <v>24</v>
      </c>
      <c r="D5" s="79" t="s">
        <v>435</v>
      </c>
      <c r="E5" s="79" t="s">
        <v>434</v>
      </c>
      <c r="F5" s="79" t="s">
        <v>433</v>
      </c>
      <c r="G5" s="79" t="s">
        <v>432</v>
      </c>
      <c r="H5" s="79" t="s">
        <v>431</v>
      </c>
      <c r="I5" s="79" t="s">
        <v>430</v>
      </c>
      <c r="J5" s="79" t="s">
        <v>429</v>
      </c>
      <c r="K5" s="79" t="s">
        <v>428</v>
      </c>
      <c r="L5" s="79" t="s">
        <v>427</v>
      </c>
      <c r="M5" s="79" t="s">
        <v>426</v>
      </c>
      <c r="N5" s="79" t="s">
        <v>425</v>
      </c>
      <c r="O5" s="79" t="s">
        <v>424</v>
      </c>
      <c r="P5" s="79" t="s">
        <v>423</v>
      </c>
      <c r="Q5" s="79" t="s">
        <v>422</v>
      </c>
      <c r="R5" s="79" t="s">
        <v>421</v>
      </c>
      <c r="S5" s="79" t="s">
        <v>420</v>
      </c>
      <c r="T5" s="79" t="s">
        <v>419</v>
      </c>
      <c r="U5" s="79" t="s">
        <v>418</v>
      </c>
      <c r="V5" s="79" t="s">
        <v>475</v>
      </c>
    </row>
    <row r="6" spans="1:22" x14ac:dyDescent="0.3">
      <c r="A6" s="1" t="s">
        <v>76</v>
      </c>
      <c r="B6" s="1">
        <v>51</v>
      </c>
      <c r="C6" s="1">
        <v>0.7</v>
      </c>
      <c r="D6" s="89">
        <f t="shared" ref="D6:U6" si="1">$C$6*D4</f>
        <v>1073838.325</v>
      </c>
      <c r="E6" s="89">
        <f t="shared" si="1"/>
        <v>538761.41498145566</v>
      </c>
      <c r="F6" s="89">
        <f t="shared" si="1"/>
        <v>1156756.5343968784</v>
      </c>
      <c r="G6" s="89">
        <f t="shared" si="1"/>
        <v>1027578.475</v>
      </c>
      <c r="H6" s="149">
        <f t="shared" si="1"/>
        <v>1027578.475</v>
      </c>
      <c r="I6" s="89">
        <f t="shared" si="1"/>
        <v>1027578.475</v>
      </c>
      <c r="J6" s="89">
        <f t="shared" si="1"/>
        <v>1255672.5767659498</v>
      </c>
      <c r="K6" s="89">
        <f t="shared" si="1"/>
        <v>1476822.2355305995</v>
      </c>
      <c r="L6" s="89">
        <f t="shared" si="1"/>
        <v>1476822.2355306</v>
      </c>
      <c r="M6" s="89">
        <f t="shared" si="1"/>
        <v>1476822.2355306</v>
      </c>
      <c r="N6" s="89">
        <f t="shared" si="1"/>
        <v>1241418.1322402998</v>
      </c>
      <c r="O6" s="89">
        <f t="shared" si="1"/>
        <v>1241418.1322403001</v>
      </c>
      <c r="P6" s="89">
        <f t="shared" si="1"/>
        <v>1241418.1322403001</v>
      </c>
      <c r="Q6" s="89">
        <f t="shared" si="1"/>
        <v>1241418.1322403001</v>
      </c>
      <c r="R6" s="89">
        <f t="shared" si="1"/>
        <v>1241418.1322403001</v>
      </c>
      <c r="S6" s="89">
        <f t="shared" si="1"/>
        <v>1241418.1322403001</v>
      </c>
      <c r="T6" s="89">
        <f t="shared" si="1"/>
        <v>1241418.1322403001</v>
      </c>
      <c r="U6" s="89">
        <f t="shared" si="1"/>
        <v>1241418.1322403001</v>
      </c>
      <c r="V6" s="89">
        <f>SUM(Table525[[#This Row],[Payment 1 - 9/1/22]:[Payment 18 -2038]])</f>
        <v>21469576.040658478</v>
      </c>
    </row>
    <row r="7" spans="1:22" x14ac:dyDescent="0.3">
      <c r="A7" s="1" t="s">
        <v>48</v>
      </c>
      <c r="B7" s="1">
        <v>23</v>
      </c>
      <c r="C7" s="1">
        <v>0.25</v>
      </c>
      <c r="D7" s="89">
        <f t="shared" ref="D7:U7" si="2">$C$7*D4</f>
        <v>383513.6875</v>
      </c>
      <c r="E7" s="89">
        <f t="shared" si="2"/>
        <v>192414.79106480558</v>
      </c>
      <c r="F7" s="89">
        <f t="shared" si="2"/>
        <v>413127.3337131709</v>
      </c>
      <c r="G7" s="89">
        <f t="shared" si="2"/>
        <v>366992.3125</v>
      </c>
      <c r="H7" s="149">
        <f t="shared" si="2"/>
        <v>366992.3125</v>
      </c>
      <c r="I7" s="89">
        <f t="shared" si="2"/>
        <v>366992.3125</v>
      </c>
      <c r="J7" s="89">
        <f t="shared" si="2"/>
        <v>448454.49170212494</v>
      </c>
      <c r="K7" s="89">
        <f t="shared" si="2"/>
        <v>527436.51268949988</v>
      </c>
      <c r="L7" s="89">
        <f t="shared" si="2"/>
        <v>527436.5126895</v>
      </c>
      <c r="M7" s="89">
        <f t="shared" si="2"/>
        <v>527436.5126895</v>
      </c>
      <c r="N7" s="89">
        <f t="shared" si="2"/>
        <v>443363.61865724996</v>
      </c>
      <c r="O7" s="89">
        <f t="shared" si="2"/>
        <v>443363.61865725002</v>
      </c>
      <c r="P7" s="89">
        <f t="shared" si="2"/>
        <v>443363.61865725002</v>
      </c>
      <c r="Q7" s="89">
        <f t="shared" si="2"/>
        <v>443363.61865725002</v>
      </c>
      <c r="R7" s="89">
        <f t="shared" si="2"/>
        <v>443363.61865725002</v>
      </c>
      <c r="S7" s="89">
        <f t="shared" si="2"/>
        <v>443363.61865725002</v>
      </c>
      <c r="T7" s="89">
        <f t="shared" si="2"/>
        <v>443363.61865725002</v>
      </c>
      <c r="U7" s="89">
        <f t="shared" si="2"/>
        <v>443363.61865725002</v>
      </c>
      <c r="V7" s="89">
        <f>SUM(Table525[[#This Row],[Payment 1 - 9/1/22]:[Payment 18 -2038]])</f>
        <v>7667705.7288066009</v>
      </c>
    </row>
    <row r="8" spans="1:22" x14ac:dyDescent="0.3">
      <c r="A8" s="1" t="s">
        <v>38</v>
      </c>
      <c r="B8" s="1">
        <v>13</v>
      </c>
      <c r="C8" s="1">
        <v>0.05</v>
      </c>
      <c r="D8" s="89">
        <f t="shared" ref="D8:U8" si="3">$C$8*D4</f>
        <v>76702.737500000003</v>
      </c>
      <c r="E8" s="89">
        <f t="shared" si="3"/>
        <v>38482.958212961115</v>
      </c>
      <c r="F8" s="89">
        <f t="shared" si="3"/>
        <v>82625.466742634191</v>
      </c>
      <c r="G8" s="89">
        <f t="shared" si="3"/>
        <v>73398.462500000009</v>
      </c>
      <c r="H8" s="149">
        <f t="shared" si="3"/>
        <v>73398.462500000009</v>
      </c>
      <c r="I8" s="89">
        <f t="shared" si="3"/>
        <v>73398.462500000009</v>
      </c>
      <c r="J8" s="89">
        <f t="shared" si="3"/>
        <v>89690.898340424988</v>
      </c>
      <c r="K8" s="89">
        <f t="shared" si="3"/>
        <v>105487.30253789999</v>
      </c>
      <c r="L8" s="89">
        <f t="shared" si="3"/>
        <v>105487.3025379</v>
      </c>
      <c r="M8" s="89">
        <f t="shared" si="3"/>
        <v>105487.3025379</v>
      </c>
      <c r="N8" s="89">
        <f t="shared" si="3"/>
        <v>88672.723731449994</v>
      </c>
      <c r="O8" s="89">
        <f t="shared" si="3"/>
        <v>88672.723731450009</v>
      </c>
      <c r="P8" s="89">
        <f t="shared" si="3"/>
        <v>88672.723731450009</v>
      </c>
      <c r="Q8" s="89">
        <f t="shared" si="3"/>
        <v>88672.723731450009</v>
      </c>
      <c r="R8" s="89">
        <f t="shared" si="3"/>
        <v>88672.723731450009</v>
      </c>
      <c r="S8" s="89">
        <f t="shared" si="3"/>
        <v>88672.723731450009</v>
      </c>
      <c r="T8" s="89">
        <f t="shared" si="3"/>
        <v>88672.723731450009</v>
      </c>
      <c r="U8" s="89">
        <f t="shared" si="3"/>
        <v>88672.723731450009</v>
      </c>
      <c r="V8" s="89">
        <f>SUM(Table525[[#This Row],[Payment 1 - 9/1/22]:[Payment 18 -2038]])</f>
        <v>1533541.1457613206</v>
      </c>
    </row>
    <row r="9" spans="1:22" x14ac:dyDescent="0.3">
      <c r="A9" s="91">
        <v>0.75</v>
      </c>
      <c r="D9" s="89">
        <f t="shared" ref="D9:U9" si="4">D2*0.75</f>
        <v>4602164.25</v>
      </c>
      <c r="E9" s="89">
        <f t="shared" si="4"/>
        <v>2308977.492777667</v>
      </c>
      <c r="F9" s="89">
        <f t="shared" si="4"/>
        <v>4957528.004558051</v>
      </c>
      <c r="G9" s="89">
        <f t="shared" si="4"/>
        <v>4403907.75</v>
      </c>
      <c r="H9" s="149">
        <f t="shared" si="4"/>
        <v>4403907.75</v>
      </c>
      <c r="I9" s="89">
        <f t="shared" si="4"/>
        <v>4403907.75</v>
      </c>
      <c r="J9" s="89">
        <f t="shared" si="4"/>
        <v>5381453.9004254993</v>
      </c>
      <c r="K9" s="89">
        <f t="shared" si="4"/>
        <v>6329238.1522739986</v>
      </c>
      <c r="L9" s="89">
        <f t="shared" si="4"/>
        <v>6329238.1522739995</v>
      </c>
      <c r="M9" s="89">
        <f t="shared" si="4"/>
        <v>6329238.1522739995</v>
      </c>
      <c r="N9" s="89">
        <f t="shared" si="4"/>
        <v>5320363.4238869995</v>
      </c>
      <c r="O9" s="89">
        <f t="shared" si="4"/>
        <v>5320363.4238870004</v>
      </c>
      <c r="P9" s="89">
        <f t="shared" si="4"/>
        <v>5320363.4238870004</v>
      </c>
      <c r="Q9" s="89">
        <f t="shared" si="4"/>
        <v>5320363.4238870004</v>
      </c>
      <c r="R9" s="89">
        <f t="shared" si="4"/>
        <v>5320363.4238870004</v>
      </c>
      <c r="S9" s="89">
        <f t="shared" si="4"/>
        <v>5320363.4238870004</v>
      </c>
      <c r="T9" s="89">
        <f t="shared" si="4"/>
        <v>5320363.4238870004</v>
      </c>
      <c r="U9" s="89">
        <f t="shared" si="4"/>
        <v>5320363.4238870004</v>
      </c>
    </row>
    <row r="10" spans="1:22" x14ac:dyDescent="0.3">
      <c r="A10" s="91"/>
      <c r="C10" s="79"/>
      <c r="D10" s="79"/>
      <c r="E10" s="79"/>
      <c r="F10" s="79"/>
      <c r="G10" s="79"/>
      <c r="H10" s="79"/>
      <c r="I10" s="79"/>
      <c r="J10" s="79"/>
      <c r="K10" s="79"/>
      <c r="L10" s="79"/>
      <c r="M10" s="79"/>
      <c r="N10" s="79"/>
      <c r="O10" s="79"/>
      <c r="P10" s="79"/>
      <c r="Q10" s="79"/>
      <c r="R10" s="79"/>
      <c r="S10" s="79"/>
      <c r="T10" s="79"/>
    </row>
    <row r="11" spans="1:22" x14ac:dyDescent="0.3">
      <c r="A11" s="1" t="s">
        <v>117</v>
      </c>
      <c r="B11" s="1" t="s">
        <v>355</v>
      </c>
      <c r="C11" s="1" t="s">
        <v>24</v>
      </c>
      <c r="D11" s="79" t="s">
        <v>435</v>
      </c>
      <c r="E11" s="79" t="s">
        <v>434</v>
      </c>
      <c r="F11" s="79" t="s">
        <v>433</v>
      </c>
      <c r="G11" s="79" t="s">
        <v>432</v>
      </c>
      <c r="H11" s="79" t="s">
        <v>431</v>
      </c>
      <c r="I11" s="79" t="s">
        <v>430</v>
      </c>
      <c r="J11" s="79" t="s">
        <v>429</v>
      </c>
      <c r="K11" s="79" t="s">
        <v>428</v>
      </c>
      <c r="L11" s="79" t="s">
        <v>427</v>
      </c>
      <c r="M11" s="79" t="s">
        <v>426</v>
      </c>
      <c r="N11" s="79" t="s">
        <v>425</v>
      </c>
      <c r="O11" s="79" t="s">
        <v>424</v>
      </c>
      <c r="P11" s="79" t="s">
        <v>423</v>
      </c>
      <c r="Q11" s="79" t="s">
        <v>422</v>
      </c>
      <c r="R11" s="79" t="s">
        <v>421</v>
      </c>
      <c r="S11" s="79" t="s">
        <v>420</v>
      </c>
      <c r="T11" s="79" t="s">
        <v>419</v>
      </c>
      <c r="U11" s="79" t="s">
        <v>418</v>
      </c>
      <c r="V11" s="79" t="s">
        <v>6</v>
      </c>
    </row>
    <row r="12" spans="1:22" x14ac:dyDescent="0.3">
      <c r="A12" s="1" t="s">
        <v>474</v>
      </c>
      <c r="B12" s="1">
        <v>1</v>
      </c>
      <c r="C12" s="1">
        <v>8.8888888888888906E-3</v>
      </c>
      <c r="D12" s="89">
        <f t="shared" ref="D12:D43" si="5">C12*$D$9</f>
        <v>40908.126666666678</v>
      </c>
      <c r="E12" s="89">
        <f t="shared" ref="E12:E43" si="6">C12*$E$9</f>
        <v>20524.244380245935</v>
      </c>
      <c r="F12" s="89">
        <f t="shared" ref="F12:F43" si="7">C12*$F$9</f>
        <v>44066.915596071573</v>
      </c>
      <c r="G12" s="89">
        <f t="shared" ref="G12:G43" si="8">C12*$G$9</f>
        <v>39145.846666666672</v>
      </c>
      <c r="H12" s="149">
        <f t="shared" ref="H12:H43" si="9">C12*$H$9</f>
        <v>39145.846666666672</v>
      </c>
      <c r="I12" s="89">
        <f t="shared" ref="I12:I43" si="10">C12*$I$9</f>
        <v>39145.846666666672</v>
      </c>
      <c r="J12" s="89">
        <f t="shared" ref="J12:J43" si="11">C12*$J$9</f>
        <v>47835.145781560001</v>
      </c>
      <c r="K12" s="89">
        <f t="shared" ref="K12:K43" si="12">C12*$K$9</f>
        <v>56259.894686879998</v>
      </c>
      <c r="L12" s="89">
        <f t="shared" ref="L12:L43" si="13">C12*$L$9</f>
        <v>56259.894686880005</v>
      </c>
      <c r="M12" s="89">
        <f t="shared" ref="M12:M43" si="14">C12*$M$9</f>
        <v>56259.894686880005</v>
      </c>
      <c r="N12" s="89">
        <f t="shared" ref="N12:N43" si="15">C12*$N$9</f>
        <v>47292.119323440005</v>
      </c>
      <c r="O12" s="89">
        <f t="shared" ref="O12:O43" si="16">C12*$O$9</f>
        <v>47292.119323440013</v>
      </c>
      <c r="P12" s="89">
        <f t="shared" ref="P12:P43" si="17">C12*$P$9</f>
        <v>47292.119323440013</v>
      </c>
      <c r="Q12" s="89">
        <f t="shared" ref="Q12:Q43" si="18">C12*$Q$9</f>
        <v>47292.119323440013</v>
      </c>
      <c r="R12" s="89">
        <f t="shared" ref="R12:R43" si="19">C12*$R$9</f>
        <v>47292.119323440013</v>
      </c>
      <c r="S12" s="89">
        <f t="shared" ref="S12:S43" si="20">C12*$S$9</f>
        <v>47292.119323440013</v>
      </c>
      <c r="T12" s="89">
        <f t="shared" ref="T12:T43" si="21">C12*$T$9</f>
        <v>47292.119323440013</v>
      </c>
      <c r="U12" s="89">
        <f t="shared" ref="U12:U43" si="22">C12*$U$9</f>
        <v>47292.119323440013</v>
      </c>
      <c r="V12" s="89">
        <f>SUM(Table27[[#This Row],[Payment 1 - 9/1/22]:[Payment 18 -2038]])</f>
        <v>817888.61107270431</v>
      </c>
    </row>
    <row r="13" spans="1:22" x14ac:dyDescent="0.3">
      <c r="A13" s="1" t="s">
        <v>473</v>
      </c>
      <c r="B13" s="1">
        <v>2</v>
      </c>
      <c r="C13" s="1">
        <v>9.0441679275778855E-2</v>
      </c>
      <c r="D13" s="89">
        <f t="shared" si="5"/>
        <v>416227.46307295532</v>
      </c>
      <c r="E13" s="89">
        <f t="shared" si="6"/>
        <v>208827.80185678974</v>
      </c>
      <c r="F13" s="89">
        <f t="shared" si="7"/>
        <v>448367.15778893116</v>
      </c>
      <c r="G13" s="89">
        <f t="shared" si="8"/>
        <v>398296.81228561688</v>
      </c>
      <c r="H13" s="149">
        <f t="shared" si="9"/>
        <v>398296.81228561688</v>
      </c>
      <c r="I13" s="89">
        <f t="shared" si="10"/>
        <v>398296.81228561688</v>
      </c>
      <c r="J13" s="89">
        <f t="shared" si="11"/>
        <v>486707.72769967216</v>
      </c>
      <c r="K13" s="89">
        <f t="shared" si="12"/>
        <v>572426.92702798813</v>
      </c>
      <c r="L13" s="89">
        <f t="shared" si="13"/>
        <v>572426.92702798825</v>
      </c>
      <c r="M13" s="89">
        <f t="shared" si="14"/>
        <v>572426.92702798825</v>
      </c>
      <c r="N13" s="89">
        <f t="shared" si="15"/>
        <v>481182.60241377266</v>
      </c>
      <c r="O13" s="89">
        <f t="shared" si="16"/>
        <v>481182.60241377278</v>
      </c>
      <c r="P13" s="89">
        <f t="shared" si="17"/>
        <v>481182.60241377278</v>
      </c>
      <c r="Q13" s="89">
        <f t="shared" si="18"/>
        <v>481182.60241377278</v>
      </c>
      <c r="R13" s="89">
        <f t="shared" si="19"/>
        <v>481182.60241377278</v>
      </c>
      <c r="S13" s="89">
        <f t="shared" si="20"/>
        <v>481182.60241377278</v>
      </c>
      <c r="T13" s="89">
        <f t="shared" si="21"/>
        <v>481182.60241377278</v>
      </c>
      <c r="U13" s="89">
        <f t="shared" si="22"/>
        <v>481182.60241377278</v>
      </c>
      <c r="V13" s="89">
        <f>SUM(Table27[[#This Row],[Payment 1 - 9/1/22]:[Payment 18 -2038]])</f>
        <v>8321762.1876693452</v>
      </c>
    </row>
    <row r="14" spans="1:22" x14ac:dyDescent="0.3">
      <c r="A14" s="1" t="s">
        <v>472</v>
      </c>
      <c r="B14" s="1">
        <v>3</v>
      </c>
      <c r="C14" s="1">
        <v>4.7411481810502899E-3</v>
      </c>
      <c r="D14" s="89">
        <f t="shared" si="5"/>
        <v>21819.542662782173</v>
      </c>
      <c r="E14" s="89">
        <f t="shared" si="6"/>
        <v>10947.204439968895</v>
      </c>
      <c r="F14" s="89">
        <f t="shared" si="7"/>
        <v>23504.374881316278</v>
      </c>
      <c r="G14" s="89">
        <f t="shared" si="8"/>
        <v>20879.579218425773</v>
      </c>
      <c r="H14" s="149">
        <f t="shared" si="9"/>
        <v>20879.579218425773</v>
      </c>
      <c r="I14" s="89">
        <f t="shared" si="10"/>
        <v>20879.579218425773</v>
      </c>
      <c r="J14" s="89">
        <f t="shared" si="11"/>
        <v>25514.270371408344</v>
      </c>
      <c r="K14" s="89">
        <f t="shared" si="12"/>
        <v>30007.855953087965</v>
      </c>
      <c r="L14" s="89">
        <f t="shared" si="13"/>
        <v>30007.855953087972</v>
      </c>
      <c r="M14" s="89">
        <f t="shared" si="14"/>
        <v>30007.855953087972</v>
      </c>
      <c r="N14" s="89">
        <f t="shared" si="15"/>
        <v>25224.631369688341</v>
      </c>
      <c r="O14" s="89">
        <f t="shared" si="16"/>
        <v>25224.631369688344</v>
      </c>
      <c r="P14" s="89">
        <f t="shared" si="17"/>
        <v>25224.631369688344</v>
      </c>
      <c r="Q14" s="89">
        <f t="shared" si="18"/>
        <v>25224.631369688344</v>
      </c>
      <c r="R14" s="89">
        <f t="shared" si="19"/>
        <v>25224.631369688344</v>
      </c>
      <c r="S14" s="89">
        <f t="shared" si="20"/>
        <v>25224.631369688344</v>
      </c>
      <c r="T14" s="89">
        <f t="shared" si="21"/>
        <v>25224.631369688344</v>
      </c>
      <c r="U14" s="89">
        <f t="shared" si="22"/>
        <v>25224.631369688344</v>
      </c>
      <c r="V14" s="89">
        <f>SUM(Table27[[#This Row],[Payment 1 - 9/1/22]:[Payment 18 -2038]])</f>
        <v>436244.74882752355</v>
      </c>
    </row>
    <row r="15" spans="1:22" x14ac:dyDescent="0.3">
      <c r="A15" s="1" t="s">
        <v>471</v>
      </c>
      <c r="B15" s="1">
        <v>4</v>
      </c>
      <c r="C15" s="1">
        <v>1.2165292432279427E-2</v>
      </c>
      <c r="D15" s="89">
        <f t="shared" si="5"/>
        <v>55986.673922631926</v>
      </c>
      <c r="E15" s="89">
        <f t="shared" si="6"/>
        <v>28089.386419191676</v>
      </c>
      <c r="F15" s="89">
        <f t="shared" si="7"/>
        <v>60309.777916663385</v>
      </c>
      <c r="G15" s="89">
        <f t="shared" si="8"/>
        <v>53574.825623531717</v>
      </c>
      <c r="H15" s="149">
        <f t="shared" si="9"/>
        <v>53574.825623531717</v>
      </c>
      <c r="I15" s="89">
        <f t="shared" si="10"/>
        <v>53574.825623531717</v>
      </c>
      <c r="J15" s="89">
        <f t="shared" si="11"/>
        <v>65466.96040950693</v>
      </c>
      <c r="K15" s="89">
        <f t="shared" si="12"/>
        <v>76997.032995953094</v>
      </c>
      <c r="L15" s="89">
        <f t="shared" si="13"/>
        <v>76997.032995953108</v>
      </c>
      <c r="M15" s="89">
        <f t="shared" si="14"/>
        <v>76997.032995953108</v>
      </c>
      <c r="N15" s="89">
        <f t="shared" si="15"/>
        <v>64723.776897588774</v>
      </c>
      <c r="O15" s="89">
        <f t="shared" si="16"/>
        <v>64723.776897588788</v>
      </c>
      <c r="P15" s="89">
        <f t="shared" si="17"/>
        <v>64723.776897588788</v>
      </c>
      <c r="Q15" s="89">
        <f t="shared" si="18"/>
        <v>64723.776897588788</v>
      </c>
      <c r="R15" s="89">
        <f t="shared" si="19"/>
        <v>64723.776897588788</v>
      </c>
      <c r="S15" s="89">
        <f t="shared" si="20"/>
        <v>64723.776897588788</v>
      </c>
      <c r="T15" s="89">
        <f t="shared" si="21"/>
        <v>64723.776897588788</v>
      </c>
      <c r="U15" s="89">
        <f t="shared" si="22"/>
        <v>64723.776897588788</v>
      </c>
      <c r="V15" s="89">
        <f>SUM(Table27[[#This Row],[Payment 1 - 9/1/22]:[Payment 18 -2038]])</f>
        <v>1119358.5897071585</v>
      </c>
    </row>
    <row r="16" spans="1:22" x14ac:dyDescent="0.3">
      <c r="A16" s="1" t="s">
        <v>470</v>
      </c>
      <c r="B16" s="1">
        <v>5</v>
      </c>
      <c r="C16" s="1">
        <v>3.440764010644463E-3</v>
      </c>
      <c r="D16" s="89">
        <f t="shared" si="5"/>
        <v>15834.961122474568</v>
      </c>
      <c r="E16" s="89">
        <f t="shared" si="6"/>
        <v>7944.6466585374819</v>
      </c>
      <c r="F16" s="89">
        <f t="shared" si="7"/>
        <v>17057.683939845399</v>
      </c>
      <c r="G16" s="89">
        <f t="shared" si="8"/>
        <v>15152.807292398233</v>
      </c>
      <c r="H16" s="149">
        <f t="shared" si="9"/>
        <v>15152.807292398233</v>
      </c>
      <c r="I16" s="89">
        <f t="shared" si="10"/>
        <v>15152.807292398233</v>
      </c>
      <c r="J16" s="89">
        <f t="shared" si="11"/>
        <v>18516.312905526331</v>
      </c>
      <c r="K16" s="89">
        <f t="shared" si="12"/>
        <v>21777.414849142235</v>
      </c>
      <c r="L16" s="89">
        <f t="shared" si="13"/>
        <v>21777.414849142238</v>
      </c>
      <c r="M16" s="89">
        <f t="shared" si="14"/>
        <v>21777.414849142238</v>
      </c>
      <c r="N16" s="89">
        <f t="shared" si="15"/>
        <v>18306.114992459541</v>
      </c>
      <c r="O16" s="89">
        <f t="shared" si="16"/>
        <v>18306.114992459541</v>
      </c>
      <c r="P16" s="89">
        <f t="shared" si="17"/>
        <v>18306.114992459541</v>
      </c>
      <c r="Q16" s="89">
        <f t="shared" si="18"/>
        <v>18306.114992459541</v>
      </c>
      <c r="R16" s="89">
        <f t="shared" si="19"/>
        <v>18306.114992459541</v>
      </c>
      <c r="S16" s="89">
        <f t="shared" si="20"/>
        <v>18306.114992459541</v>
      </c>
      <c r="T16" s="89">
        <f t="shared" si="21"/>
        <v>18306.114992459541</v>
      </c>
      <c r="U16" s="89">
        <f t="shared" si="22"/>
        <v>18306.114992459541</v>
      </c>
      <c r="V16" s="89">
        <f>SUM(Table27[[#This Row],[Payment 1 - 9/1/22]:[Payment 18 -2038]])</f>
        <v>316593.19099068153</v>
      </c>
    </row>
    <row r="17" spans="1:22" x14ac:dyDescent="0.3">
      <c r="A17" s="1" t="s">
        <v>469</v>
      </c>
      <c r="B17" s="1">
        <v>8</v>
      </c>
      <c r="C17" s="1">
        <v>4.4444444444444453E-3</v>
      </c>
      <c r="D17" s="89">
        <f t="shared" si="5"/>
        <v>20454.063333333339</v>
      </c>
      <c r="E17" s="89">
        <f t="shared" si="6"/>
        <v>10262.122190122967</v>
      </c>
      <c r="F17" s="89">
        <f t="shared" si="7"/>
        <v>22033.457798035786</v>
      </c>
      <c r="G17" s="89">
        <f t="shared" si="8"/>
        <v>19572.923333333336</v>
      </c>
      <c r="H17" s="149">
        <f t="shared" si="9"/>
        <v>19572.923333333336</v>
      </c>
      <c r="I17" s="89">
        <f t="shared" si="10"/>
        <v>19572.923333333336</v>
      </c>
      <c r="J17" s="89">
        <f t="shared" si="11"/>
        <v>23917.57289078</v>
      </c>
      <c r="K17" s="89">
        <f t="shared" si="12"/>
        <v>28129.947343439999</v>
      </c>
      <c r="L17" s="89">
        <f t="shared" si="13"/>
        <v>28129.947343440002</v>
      </c>
      <c r="M17" s="89">
        <f t="shared" si="14"/>
        <v>28129.947343440002</v>
      </c>
      <c r="N17" s="89">
        <f t="shared" si="15"/>
        <v>23646.059661720003</v>
      </c>
      <c r="O17" s="89">
        <f t="shared" si="16"/>
        <v>23646.059661720006</v>
      </c>
      <c r="P17" s="89">
        <f t="shared" si="17"/>
        <v>23646.059661720006</v>
      </c>
      <c r="Q17" s="89">
        <f t="shared" si="18"/>
        <v>23646.059661720006</v>
      </c>
      <c r="R17" s="89">
        <f t="shared" si="19"/>
        <v>23646.059661720006</v>
      </c>
      <c r="S17" s="89">
        <f t="shared" si="20"/>
        <v>23646.059661720006</v>
      </c>
      <c r="T17" s="89">
        <f t="shared" si="21"/>
        <v>23646.059661720006</v>
      </c>
      <c r="U17" s="89">
        <f t="shared" si="22"/>
        <v>23646.059661720006</v>
      </c>
      <c r="V17" s="89">
        <f>SUM(Table27[[#This Row],[Payment 1 - 9/1/22]:[Payment 18 -2038]])</f>
        <v>408944.30553635216</v>
      </c>
    </row>
    <row r="18" spans="1:22" x14ac:dyDescent="0.3">
      <c r="A18" s="1" t="s">
        <v>468</v>
      </c>
      <c r="B18" s="1">
        <v>9</v>
      </c>
      <c r="C18" s="1">
        <v>4.6757565250311064E-2</v>
      </c>
      <c r="D18" s="89">
        <f t="shared" si="5"/>
        <v>215185.99521202387</v>
      </c>
      <c r="E18" s="89">
        <f t="shared" si="6"/>
        <v>107962.16578005141</v>
      </c>
      <c r="F18" s="89">
        <f t="shared" si="7"/>
        <v>231801.93915336748</v>
      </c>
      <c r="G18" s="89">
        <f t="shared" si="8"/>
        <v>205916.0039769756</v>
      </c>
      <c r="H18" s="149">
        <f t="shared" si="9"/>
        <v>205916.0039769756</v>
      </c>
      <c r="I18" s="89">
        <f t="shared" si="10"/>
        <v>205916.0039769756</v>
      </c>
      <c r="J18" s="89">
        <f t="shared" si="11"/>
        <v>251623.68189068628</v>
      </c>
      <c r="K18" s="89">
        <f t="shared" si="12"/>
        <v>295939.7658897097</v>
      </c>
      <c r="L18" s="89">
        <f t="shared" si="13"/>
        <v>295939.76588970976</v>
      </c>
      <c r="M18" s="89">
        <f t="shared" si="14"/>
        <v>295939.76588970976</v>
      </c>
      <c r="N18" s="89">
        <f t="shared" si="15"/>
        <v>248767.23994776476</v>
      </c>
      <c r="O18" s="89">
        <f t="shared" si="16"/>
        <v>248767.23994776481</v>
      </c>
      <c r="P18" s="89">
        <f t="shared" si="17"/>
        <v>248767.23994776481</v>
      </c>
      <c r="Q18" s="89">
        <f t="shared" si="18"/>
        <v>248767.23994776481</v>
      </c>
      <c r="R18" s="89">
        <f t="shared" si="19"/>
        <v>248767.23994776481</v>
      </c>
      <c r="S18" s="89">
        <f t="shared" si="20"/>
        <v>248767.23994776481</v>
      </c>
      <c r="T18" s="89">
        <f t="shared" si="21"/>
        <v>248767.23994776481</v>
      </c>
      <c r="U18" s="89">
        <f t="shared" si="22"/>
        <v>248767.23994776481</v>
      </c>
      <c r="V18" s="89">
        <f>SUM(Table27[[#This Row],[Payment 1 - 9/1/22]:[Payment 18 -2038]])</f>
        <v>4302279.0112183029</v>
      </c>
    </row>
    <row r="19" spans="1:22" x14ac:dyDescent="0.3">
      <c r="A19" s="1" t="s">
        <v>467</v>
      </c>
      <c r="B19" s="1">
        <v>11</v>
      </c>
      <c r="C19" s="1">
        <v>9.6526820528561649E-3</v>
      </c>
      <c r="D19" s="89">
        <f t="shared" si="5"/>
        <v>44423.228260271251</v>
      </c>
      <c r="E19" s="89">
        <f t="shared" si="6"/>
        <v>22287.825604983813</v>
      </c>
      <c r="F19" s="89">
        <f t="shared" si="7"/>
        <v>47853.441596129334</v>
      </c>
      <c r="G19" s="89">
        <f t="shared" si="8"/>
        <v>42509.521300859175</v>
      </c>
      <c r="H19" s="149">
        <f t="shared" si="9"/>
        <v>42509.521300859175</v>
      </c>
      <c r="I19" s="89">
        <f t="shared" si="10"/>
        <v>42509.521300859175</v>
      </c>
      <c r="J19" s="89">
        <f t="shared" si="11"/>
        <v>51945.463482910025</v>
      </c>
      <c r="K19" s="89">
        <f t="shared" si="12"/>
        <v>61094.123520707741</v>
      </c>
      <c r="L19" s="89">
        <f t="shared" si="13"/>
        <v>61094.123520707748</v>
      </c>
      <c r="M19" s="89">
        <f t="shared" si="14"/>
        <v>61094.123520707748</v>
      </c>
      <c r="N19" s="89">
        <f t="shared" si="15"/>
        <v>51355.77653642642</v>
      </c>
      <c r="O19" s="89">
        <f t="shared" si="16"/>
        <v>51355.776536426427</v>
      </c>
      <c r="P19" s="89">
        <f t="shared" si="17"/>
        <v>51355.776536426427</v>
      </c>
      <c r="Q19" s="89">
        <f t="shared" si="18"/>
        <v>51355.776536426427</v>
      </c>
      <c r="R19" s="89">
        <f t="shared" si="19"/>
        <v>51355.776536426427</v>
      </c>
      <c r="S19" s="89">
        <f t="shared" si="20"/>
        <v>51355.776536426427</v>
      </c>
      <c r="T19" s="89">
        <f t="shared" si="21"/>
        <v>51355.776536426427</v>
      </c>
      <c r="U19" s="89">
        <f t="shared" si="22"/>
        <v>51355.776536426427</v>
      </c>
      <c r="V19" s="89">
        <f>SUM(Table27[[#This Row],[Payment 1 - 9/1/22]:[Payment 18 -2038]])</f>
        <v>888167.10570040636</v>
      </c>
    </row>
    <row r="20" spans="1:22" x14ac:dyDescent="0.3">
      <c r="A20" s="1" t="s">
        <v>466</v>
      </c>
      <c r="B20" s="1">
        <v>13</v>
      </c>
      <c r="C20" s="1">
        <v>4.6826413797679198E-3</v>
      </c>
      <c r="D20" s="89">
        <f t="shared" si="5"/>
        <v>21550.284753538595</v>
      </c>
      <c r="E20" s="89">
        <f t="shared" si="6"/>
        <v>10812.113552633487</v>
      </c>
      <c r="F20" s="89">
        <f t="shared" si="7"/>
        <v>23214.325775501813</v>
      </c>
      <c r="G20" s="89">
        <f t="shared" si="8"/>
        <v>20621.920662830635</v>
      </c>
      <c r="H20" s="149">
        <f t="shared" si="9"/>
        <v>20621.920662830635</v>
      </c>
      <c r="I20" s="89">
        <f t="shared" si="10"/>
        <v>20621.920662830635</v>
      </c>
      <c r="J20" s="89">
        <f t="shared" si="11"/>
        <v>25199.418717445915</v>
      </c>
      <c r="K20" s="89">
        <f t="shared" si="12"/>
        <v>29637.552474244076</v>
      </c>
      <c r="L20" s="89">
        <f t="shared" si="13"/>
        <v>29637.552474244079</v>
      </c>
      <c r="M20" s="89">
        <f t="shared" si="14"/>
        <v>29637.552474244079</v>
      </c>
      <c r="N20" s="89">
        <f t="shared" si="15"/>
        <v>24913.353924096995</v>
      </c>
      <c r="O20" s="89">
        <f t="shared" si="16"/>
        <v>24913.353924096999</v>
      </c>
      <c r="P20" s="89">
        <f t="shared" si="17"/>
        <v>24913.353924096999</v>
      </c>
      <c r="Q20" s="89">
        <f t="shared" si="18"/>
        <v>24913.353924096999</v>
      </c>
      <c r="R20" s="89">
        <f t="shared" si="19"/>
        <v>24913.353924096999</v>
      </c>
      <c r="S20" s="89">
        <f t="shared" si="20"/>
        <v>24913.353924096999</v>
      </c>
      <c r="T20" s="89">
        <f t="shared" si="21"/>
        <v>24913.353924096999</v>
      </c>
      <c r="U20" s="89">
        <f t="shared" si="22"/>
        <v>24913.353924096999</v>
      </c>
      <c r="V20" s="89">
        <f>SUM(Table27[[#This Row],[Payment 1 - 9/1/22]:[Payment 18 -2038]])</f>
        <v>430861.39360312012</v>
      </c>
    </row>
    <row r="21" spans="1:22" x14ac:dyDescent="0.3">
      <c r="A21" s="1" t="s">
        <v>465</v>
      </c>
      <c r="B21" s="1">
        <v>15</v>
      </c>
      <c r="C21" s="1">
        <v>3.8648696160340903E-2</v>
      </c>
      <c r="D21" s="89">
        <f t="shared" si="5"/>
        <v>177867.64777823316</v>
      </c>
      <c r="E21" s="89">
        <f t="shared" si="6"/>
        <v>89238.969559429781</v>
      </c>
      <c r="F21" s="89">
        <f t="shared" si="7"/>
        <v>191601.99355454525</v>
      </c>
      <c r="G21" s="89">
        <f t="shared" si="8"/>
        <v>170205.29254792054</v>
      </c>
      <c r="H21" s="149">
        <f t="shared" si="9"/>
        <v>170205.29254792054</v>
      </c>
      <c r="I21" s="89">
        <f t="shared" si="10"/>
        <v>170205.29254792054</v>
      </c>
      <c r="J21" s="89">
        <f t="shared" si="11"/>
        <v>207986.17669842657</v>
      </c>
      <c r="K21" s="89">
        <f t="shared" si="12"/>
        <v>244616.80227367525</v>
      </c>
      <c r="L21" s="89">
        <f t="shared" si="13"/>
        <v>244616.80227367528</v>
      </c>
      <c r="M21" s="89">
        <f t="shared" si="14"/>
        <v>244616.80227367528</v>
      </c>
      <c r="N21" s="89">
        <f t="shared" si="15"/>
        <v>205625.10943239965</v>
      </c>
      <c r="O21" s="89">
        <f t="shared" si="16"/>
        <v>205625.10943239971</v>
      </c>
      <c r="P21" s="89">
        <f t="shared" si="17"/>
        <v>205625.10943239971</v>
      </c>
      <c r="Q21" s="89">
        <f t="shared" si="18"/>
        <v>205625.10943239971</v>
      </c>
      <c r="R21" s="89">
        <f t="shared" si="19"/>
        <v>205625.10943239971</v>
      </c>
      <c r="S21" s="89">
        <f t="shared" si="20"/>
        <v>205625.10943239971</v>
      </c>
      <c r="T21" s="89">
        <f t="shared" si="21"/>
        <v>205625.10943239971</v>
      </c>
      <c r="U21" s="89">
        <f t="shared" si="22"/>
        <v>205625.10943239971</v>
      </c>
      <c r="V21" s="89">
        <f>SUM(Table27[[#This Row],[Payment 1 - 9/1/22]:[Payment 18 -2038]])</f>
        <v>3556161.9475146201</v>
      </c>
    </row>
    <row r="22" spans="1:22" x14ac:dyDescent="0.3">
      <c r="A22" s="1" t="s">
        <v>464</v>
      </c>
      <c r="B22" s="1">
        <v>16</v>
      </c>
      <c r="C22" s="1">
        <v>2.6932654963619067E-3</v>
      </c>
      <c r="D22" s="89">
        <f t="shared" si="5"/>
        <v>12394.850183115272</v>
      </c>
      <c r="E22" s="89">
        <f t="shared" si="6"/>
        <v>6218.6894131743138</v>
      </c>
      <c r="F22" s="89">
        <f t="shared" si="7"/>
        <v>13351.939121924092</v>
      </c>
      <c r="G22" s="89">
        <f t="shared" si="8"/>
        <v>11860.892792235798</v>
      </c>
      <c r="H22" s="149">
        <f t="shared" si="9"/>
        <v>11860.892792235798</v>
      </c>
      <c r="I22" s="89">
        <f t="shared" si="10"/>
        <v>11860.892792235798</v>
      </c>
      <c r="J22" s="89">
        <f t="shared" si="11"/>
        <v>14493.684110278202</v>
      </c>
      <c r="K22" s="89">
        <f t="shared" si="12"/>
        <v>17046.318733776949</v>
      </c>
      <c r="L22" s="89">
        <f t="shared" si="13"/>
        <v>17046.318733776949</v>
      </c>
      <c r="M22" s="89">
        <f t="shared" si="14"/>
        <v>17046.318733776949</v>
      </c>
      <c r="N22" s="89">
        <f t="shared" si="15"/>
        <v>14329.151237660753</v>
      </c>
      <c r="O22" s="89">
        <f t="shared" si="16"/>
        <v>14329.151237660755</v>
      </c>
      <c r="P22" s="89">
        <f t="shared" si="17"/>
        <v>14329.151237660755</v>
      </c>
      <c r="Q22" s="89">
        <f t="shared" si="18"/>
        <v>14329.151237660755</v>
      </c>
      <c r="R22" s="89">
        <f t="shared" si="19"/>
        <v>14329.151237660755</v>
      </c>
      <c r="S22" s="89">
        <f t="shared" si="20"/>
        <v>14329.151237660755</v>
      </c>
      <c r="T22" s="89">
        <f t="shared" si="21"/>
        <v>14329.151237660755</v>
      </c>
      <c r="U22" s="89">
        <f t="shared" si="22"/>
        <v>14329.151237660755</v>
      </c>
      <c r="V22" s="89">
        <f>SUM(Table27[[#This Row],[Payment 1 - 9/1/22]:[Payment 18 -2038]])</f>
        <v>247814.00730781618</v>
      </c>
    </row>
    <row r="23" spans="1:22" x14ac:dyDescent="0.3">
      <c r="A23" s="1" t="s">
        <v>463</v>
      </c>
      <c r="B23" s="1">
        <v>17</v>
      </c>
      <c r="C23" s="1">
        <v>5.8262360011253162E-3</v>
      </c>
      <c r="D23" s="89">
        <f t="shared" si="5"/>
        <v>26813.29503644189</v>
      </c>
      <c r="E23" s="89">
        <f t="shared" si="6"/>
        <v>13452.647794209313</v>
      </c>
      <c r="F23" s="89">
        <f t="shared" si="7"/>
        <v>28883.728136743066</v>
      </c>
      <c r="G23" s="89">
        <f t="shared" si="8"/>
        <v>25658.205878684788</v>
      </c>
      <c r="H23" s="149">
        <f t="shared" si="9"/>
        <v>25658.205878684788</v>
      </c>
      <c r="I23" s="89">
        <f t="shared" si="10"/>
        <v>25658.205878684788</v>
      </c>
      <c r="J23" s="89">
        <f t="shared" si="11"/>
        <v>31353.620453055297</v>
      </c>
      <c r="K23" s="89">
        <f t="shared" si="12"/>
        <v>36875.635182474645</v>
      </c>
      <c r="L23" s="89">
        <f t="shared" si="13"/>
        <v>36875.635182474653</v>
      </c>
      <c r="M23" s="89">
        <f t="shared" si="14"/>
        <v>36875.635182474653</v>
      </c>
      <c r="N23" s="89">
        <f t="shared" si="15"/>
        <v>30997.692919320787</v>
      </c>
      <c r="O23" s="89">
        <f t="shared" si="16"/>
        <v>30997.692919320794</v>
      </c>
      <c r="P23" s="89">
        <f t="shared" si="17"/>
        <v>30997.692919320794</v>
      </c>
      <c r="Q23" s="89">
        <f t="shared" si="18"/>
        <v>30997.692919320794</v>
      </c>
      <c r="R23" s="89">
        <f t="shared" si="19"/>
        <v>30997.692919320794</v>
      </c>
      <c r="S23" s="89">
        <f t="shared" si="20"/>
        <v>30997.692919320794</v>
      </c>
      <c r="T23" s="89">
        <f t="shared" si="21"/>
        <v>30997.692919320794</v>
      </c>
      <c r="U23" s="89">
        <f t="shared" si="22"/>
        <v>30997.692919320794</v>
      </c>
      <c r="V23" s="89">
        <f>SUM(Table27[[#This Row],[Payment 1 - 9/1/22]:[Payment 18 -2038]])</f>
        <v>536086.3579584941</v>
      </c>
    </row>
    <row r="24" spans="1:22" x14ac:dyDescent="0.3">
      <c r="A24" s="1" t="s">
        <v>462</v>
      </c>
      <c r="B24" s="1">
        <v>18</v>
      </c>
      <c r="C24" s="1">
        <v>2.7083803560257083E-3</v>
      </c>
      <c r="D24" s="89">
        <f t="shared" si="5"/>
        <v>12464.411249903787</v>
      </c>
      <c r="E24" s="89">
        <f t="shared" si="6"/>
        <v>6253.5892839445251</v>
      </c>
      <c r="F24" s="89">
        <f t="shared" si="7"/>
        <v>13426.871461992354</v>
      </c>
      <c r="G24" s="89">
        <f t="shared" si="8"/>
        <v>11927.457239849376</v>
      </c>
      <c r="H24" s="149">
        <f t="shared" si="9"/>
        <v>11927.457239849376</v>
      </c>
      <c r="I24" s="89">
        <f t="shared" si="10"/>
        <v>11927.457239849376</v>
      </c>
      <c r="J24" s="89">
        <f t="shared" si="11"/>
        <v>14575.02403077035</v>
      </c>
      <c r="K24" s="89">
        <f t="shared" si="12"/>
        <v>17141.984280227349</v>
      </c>
      <c r="L24" s="89">
        <f t="shared" si="13"/>
        <v>17141.984280227352</v>
      </c>
      <c r="M24" s="89">
        <f t="shared" si="14"/>
        <v>17141.984280227352</v>
      </c>
      <c r="N24" s="89">
        <f t="shared" si="15"/>
        <v>14409.567784173229</v>
      </c>
      <c r="O24" s="89">
        <f t="shared" si="16"/>
        <v>14409.56778417323</v>
      </c>
      <c r="P24" s="89">
        <f t="shared" si="17"/>
        <v>14409.56778417323</v>
      </c>
      <c r="Q24" s="89">
        <f t="shared" si="18"/>
        <v>14409.56778417323</v>
      </c>
      <c r="R24" s="89">
        <f t="shared" si="19"/>
        <v>14409.56778417323</v>
      </c>
      <c r="S24" s="89">
        <f t="shared" si="20"/>
        <v>14409.56778417323</v>
      </c>
      <c r="T24" s="89">
        <f t="shared" si="21"/>
        <v>14409.56778417323</v>
      </c>
      <c r="U24" s="89">
        <f t="shared" si="22"/>
        <v>14409.56778417323</v>
      </c>
      <c r="V24" s="89">
        <f>SUM(Table27[[#This Row],[Payment 1 - 9/1/22]:[Payment 18 -2038]])</f>
        <v>249204.76286022711</v>
      </c>
    </row>
    <row r="25" spans="1:22" x14ac:dyDescent="0.3">
      <c r="A25" s="1" t="s">
        <v>461</v>
      </c>
      <c r="B25" s="1">
        <v>19</v>
      </c>
      <c r="C25" s="1">
        <v>4.6810503419085717E-3</v>
      </c>
      <c r="D25" s="89">
        <f t="shared" si="5"/>
        <v>21542.962535981907</v>
      </c>
      <c r="E25" s="89">
        <f t="shared" si="6"/>
        <v>10808.439882026094</v>
      </c>
      <c r="F25" s="89">
        <f t="shared" si="7"/>
        <v>23206.438160757785</v>
      </c>
      <c r="G25" s="89">
        <f t="shared" si="8"/>
        <v>20614.91387887131</v>
      </c>
      <c r="H25" s="149">
        <f t="shared" si="9"/>
        <v>20614.91387887131</v>
      </c>
      <c r="I25" s="89">
        <f t="shared" si="10"/>
        <v>20614.91387887131</v>
      </c>
      <c r="J25" s="89">
        <f t="shared" si="11"/>
        <v>25190.856620552</v>
      </c>
      <c r="K25" s="89">
        <f t="shared" si="12"/>
        <v>29627.482416722978</v>
      </c>
      <c r="L25" s="89">
        <f t="shared" si="13"/>
        <v>29627.482416722982</v>
      </c>
      <c r="M25" s="89">
        <f t="shared" si="14"/>
        <v>29627.482416722982</v>
      </c>
      <c r="N25" s="89">
        <f t="shared" si="15"/>
        <v>24904.889024464097</v>
      </c>
      <c r="O25" s="89">
        <f t="shared" si="16"/>
        <v>24904.889024464104</v>
      </c>
      <c r="P25" s="89">
        <f t="shared" si="17"/>
        <v>24904.889024464104</v>
      </c>
      <c r="Q25" s="89">
        <f t="shared" si="18"/>
        <v>24904.889024464104</v>
      </c>
      <c r="R25" s="89">
        <f t="shared" si="19"/>
        <v>24904.889024464104</v>
      </c>
      <c r="S25" s="89">
        <f t="shared" si="20"/>
        <v>24904.889024464104</v>
      </c>
      <c r="T25" s="89">
        <f t="shared" si="21"/>
        <v>24904.889024464104</v>
      </c>
      <c r="U25" s="89">
        <f t="shared" si="22"/>
        <v>24904.889024464104</v>
      </c>
      <c r="V25" s="89">
        <f>SUM(Table27[[#This Row],[Payment 1 - 9/1/22]:[Payment 18 -2038]])</f>
        <v>430714.99828181358</v>
      </c>
    </row>
    <row r="26" spans="1:22" x14ac:dyDescent="0.3">
      <c r="A26" s="1" t="s">
        <v>460</v>
      </c>
      <c r="B26" s="1">
        <v>21</v>
      </c>
      <c r="C26" s="1">
        <v>1.8764772833047651E-2</v>
      </c>
      <c r="D26" s="89">
        <f t="shared" si="5"/>
        <v>86358.566691623113</v>
      </c>
      <c r="E26" s="89">
        <f t="shared" si="6"/>
        <v>43327.438128592847</v>
      </c>
      <c r="F26" s="89">
        <f t="shared" si="7"/>
        <v>93026.886819003848</v>
      </c>
      <c r="G26" s="89">
        <f t="shared" si="8"/>
        <v>82638.328506448001</v>
      </c>
      <c r="H26" s="149">
        <f t="shared" si="9"/>
        <v>82638.328506448001</v>
      </c>
      <c r="I26" s="89">
        <f t="shared" si="10"/>
        <v>82638.328506448001</v>
      </c>
      <c r="J26" s="89">
        <f t="shared" si="11"/>
        <v>100981.75995300272</v>
      </c>
      <c r="K26" s="89">
        <f t="shared" si="12"/>
        <v>118766.71613367985</v>
      </c>
      <c r="L26" s="89">
        <f t="shared" si="13"/>
        <v>118766.71613367986</v>
      </c>
      <c r="M26" s="89">
        <f t="shared" si="14"/>
        <v>118766.71613367986</v>
      </c>
      <c r="N26" s="89">
        <f t="shared" si="15"/>
        <v>99835.411038495149</v>
      </c>
      <c r="O26" s="89">
        <f t="shared" si="16"/>
        <v>99835.411038495164</v>
      </c>
      <c r="P26" s="89">
        <f t="shared" si="17"/>
        <v>99835.411038495164</v>
      </c>
      <c r="Q26" s="89">
        <f t="shared" si="18"/>
        <v>99835.411038495164</v>
      </c>
      <c r="R26" s="89">
        <f t="shared" si="19"/>
        <v>99835.411038495164</v>
      </c>
      <c r="S26" s="89">
        <f t="shared" si="20"/>
        <v>99835.411038495164</v>
      </c>
      <c r="T26" s="89">
        <f t="shared" si="21"/>
        <v>99835.411038495164</v>
      </c>
      <c r="U26" s="89">
        <f t="shared" si="22"/>
        <v>99835.411038495164</v>
      </c>
      <c r="V26" s="89">
        <f>SUM(Table27[[#This Row],[Payment 1 - 9/1/22]:[Payment 18 -2038]])</f>
        <v>1726593.0738205672</v>
      </c>
    </row>
    <row r="27" spans="1:22" x14ac:dyDescent="0.3">
      <c r="A27" s="1" t="s">
        <v>459</v>
      </c>
      <c r="B27" s="1">
        <v>23</v>
      </c>
      <c r="C27" s="1">
        <v>4.1716289473065667E-2</v>
      </c>
      <c r="D27" s="89">
        <f t="shared" si="5"/>
        <v>191985.21605559415</v>
      </c>
      <c r="E27" s="89">
        <f t="shared" si="6"/>
        <v>96321.973475506544</v>
      </c>
      <c r="F27" s="89">
        <f t="shared" si="7"/>
        <v>206809.67330897326</v>
      </c>
      <c r="G27" s="89">
        <f t="shared" si="8"/>
        <v>183714.6905116773</v>
      </c>
      <c r="H27" s="149">
        <f t="shared" si="9"/>
        <v>183714.6905116773</v>
      </c>
      <c r="I27" s="89">
        <f t="shared" si="10"/>
        <v>183714.6905116773</v>
      </c>
      <c r="J27" s="89">
        <f t="shared" si="11"/>
        <v>224494.28869610842</v>
      </c>
      <c r="K27" s="89">
        <f t="shared" si="12"/>
        <v>264032.33090423339</v>
      </c>
      <c r="L27" s="89">
        <f t="shared" si="13"/>
        <v>264032.33090423344</v>
      </c>
      <c r="M27" s="89">
        <f t="shared" si="14"/>
        <v>264032.33090423344</v>
      </c>
      <c r="N27" s="89">
        <f t="shared" si="15"/>
        <v>221945.82069278084</v>
      </c>
      <c r="O27" s="89">
        <f t="shared" si="16"/>
        <v>221945.82069278089</v>
      </c>
      <c r="P27" s="89">
        <f t="shared" si="17"/>
        <v>221945.82069278089</v>
      </c>
      <c r="Q27" s="89">
        <f t="shared" si="18"/>
        <v>221945.82069278089</v>
      </c>
      <c r="R27" s="89">
        <f t="shared" si="19"/>
        <v>221945.82069278089</v>
      </c>
      <c r="S27" s="89">
        <f t="shared" si="20"/>
        <v>221945.82069278089</v>
      </c>
      <c r="T27" s="89">
        <f t="shared" si="21"/>
        <v>221945.82069278089</v>
      </c>
      <c r="U27" s="89">
        <f t="shared" si="22"/>
        <v>221945.82069278089</v>
      </c>
      <c r="V27" s="89">
        <f>SUM(Table27[[#This Row],[Payment 1 - 9/1/22]:[Payment 18 -2038]])</f>
        <v>3838418.7813261617</v>
      </c>
    </row>
    <row r="28" spans="1:22" x14ac:dyDescent="0.3">
      <c r="A28" s="1" t="s">
        <v>458</v>
      </c>
      <c r="B28" s="1">
        <v>25</v>
      </c>
      <c r="C28" s="1">
        <v>1.9589725963119354E-2</v>
      </c>
      <c r="D28" s="89">
        <f t="shared" si="5"/>
        <v>90155.136494764709</v>
      </c>
      <c r="E28" s="89">
        <f t="shared" si="6"/>
        <v>45232.236338524897</v>
      </c>
      <c r="F28" s="89">
        <f t="shared" si="7"/>
        <v>97116.615063782141</v>
      </c>
      <c r="G28" s="89">
        <f t="shared" si="8"/>
        <v>86271.345989357535</v>
      </c>
      <c r="H28" s="149">
        <f t="shared" si="9"/>
        <v>86271.345989357535</v>
      </c>
      <c r="I28" s="89">
        <f t="shared" si="10"/>
        <v>86271.345989357535</v>
      </c>
      <c r="J28" s="89">
        <f t="shared" si="11"/>
        <v>105421.20719249532</v>
      </c>
      <c r="K28" s="89">
        <f t="shared" si="12"/>
        <v>123988.04095836752</v>
      </c>
      <c r="L28" s="89">
        <f t="shared" si="13"/>
        <v>123988.04095836754</v>
      </c>
      <c r="M28" s="89">
        <f t="shared" si="14"/>
        <v>123988.04095836754</v>
      </c>
      <c r="N28" s="89">
        <f t="shared" si="15"/>
        <v>104224.46149814973</v>
      </c>
      <c r="O28" s="89">
        <f t="shared" si="16"/>
        <v>104224.46149814976</v>
      </c>
      <c r="P28" s="89">
        <f t="shared" si="17"/>
        <v>104224.46149814976</v>
      </c>
      <c r="Q28" s="89">
        <f t="shared" si="18"/>
        <v>104224.46149814976</v>
      </c>
      <c r="R28" s="89">
        <f t="shared" si="19"/>
        <v>104224.46149814976</v>
      </c>
      <c r="S28" s="89">
        <f t="shared" si="20"/>
        <v>104224.46149814976</v>
      </c>
      <c r="T28" s="89">
        <f t="shared" si="21"/>
        <v>104224.46149814976</v>
      </c>
      <c r="U28" s="89">
        <f t="shared" si="22"/>
        <v>104224.46149814976</v>
      </c>
      <c r="V28" s="89">
        <f>SUM(Table27[[#This Row],[Payment 1 - 9/1/22]:[Payment 18 -2038]])</f>
        <v>1802499.0479179397</v>
      </c>
    </row>
    <row r="29" spans="1:22" x14ac:dyDescent="0.3">
      <c r="A29" s="1" t="s">
        <v>457</v>
      </c>
      <c r="B29" s="1">
        <v>26</v>
      </c>
      <c r="C29" s="1">
        <v>9.3150927470636927E-3</v>
      </c>
      <c r="D29" s="89">
        <f t="shared" si="5"/>
        <v>42869.586825970822</v>
      </c>
      <c r="E29" s="89">
        <f t="shared" si="6"/>
        <v>21508.339496106557</v>
      </c>
      <c r="F29" s="89">
        <f t="shared" si="7"/>
        <v>46179.833158623842</v>
      </c>
      <c r="G29" s="89">
        <f t="shared" si="8"/>
        <v>41022.809140762583</v>
      </c>
      <c r="H29" s="149">
        <f t="shared" si="9"/>
        <v>41022.809140762583</v>
      </c>
      <c r="I29" s="89">
        <f t="shared" si="10"/>
        <v>41022.809140762583</v>
      </c>
      <c r="J29" s="89">
        <f t="shared" si="11"/>
        <v>50128.742196511186</v>
      </c>
      <c r="K29" s="89">
        <f t="shared" si="12"/>
        <v>58957.440406686335</v>
      </c>
      <c r="L29" s="89">
        <f t="shared" si="13"/>
        <v>58957.440406686343</v>
      </c>
      <c r="M29" s="89">
        <f t="shared" si="14"/>
        <v>58957.440406686343</v>
      </c>
      <c r="N29" s="89">
        <f t="shared" si="15"/>
        <v>49559.678741592747</v>
      </c>
      <c r="O29" s="89">
        <f t="shared" si="16"/>
        <v>49559.678741592754</v>
      </c>
      <c r="P29" s="89">
        <f t="shared" si="17"/>
        <v>49559.678741592754</v>
      </c>
      <c r="Q29" s="89">
        <f t="shared" si="18"/>
        <v>49559.678741592754</v>
      </c>
      <c r="R29" s="89">
        <f t="shared" si="19"/>
        <v>49559.678741592754</v>
      </c>
      <c r="S29" s="89">
        <f t="shared" si="20"/>
        <v>49559.678741592754</v>
      </c>
      <c r="T29" s="89">
        <f t="shared" si="21"/>
        <v>49559.678741592754</v>
      </c>
      <c r="U29" s="89">
        <f t="shared" si="22"/>
        <v>49559.678741592754</v>
      </c>
      <c r="V29" s="89">
        <f>SUM(Table27[[#This Row],[Payment 1 - 9/1/22]:[Payment 18 -2038]])</f>
        <v>857104.68025230151</v>
      </c>
    </row>
    <row r="30" spans="1:22" x14ac:dyDescent="0.3">
      <c r="A30" s="1" t="s">
        <v>456</v>
      </c>
      <c r="B30" s="1">
        <v>28</v>
      </c>
      <c r="C30" s="1">
        <v>1.1276987067444613E-2</v>
      </c>
      <c r="D30" s="89">
        <f t="shared" si="5"/>
        <v>51898.546729505935</v>
      </c>
      <c r="E30" s="89">
        <f t="shared" si="6"/>
        <v>26038.309325074439</v>
      </c>
      <c r="F30" s="89">
        <f t="shared" si="7"/>
        <v>55905.97919389564</v>
      </c>
      <c r="G30" s="89">
        <f t="shared" si="8"/>
        <v>49662.810742969101</v>
      </c>
      <c r="H30" s="149">
        <f t="shared" si="9"/>
        <v>49662.810742969101</v>
      </c>
      <c r="I30" s="89">
        <f t="shared" si="10"/>
        <v>49662.810742969101</v>
      </c>
      <c r="J30" s="89">
        <f t="shared" si="11"/>
        <v>60686.586039147725</v>
      </c>
      <c r="K30" s="89">
        <f t="shared" si="12"/>
        <v>71374.736789970921</v>
      </c>
      <c r="L30" s="89">
        <f t="shared" si="13"/>
        <v>71374.736789970935</v>
      </c>
      <c r="M30" s="89">
        <f t="shared" si="14"/>
        <v>71374.736789970935</v>
      </c>
      <c r="N30" s="89">
        <f t="shared" si="15"/>
        <v>59997.66952527903</v>
      </c>
      <c r="O30" s="89">
        <f t="shared" si="16"/>
        <v>59997.669525279045</v>
      </c>
      <c r="P30" s="89">
        <f t="shared" si="17"/>
        <v>59997.669525279045</v>
      </c>
      <c r="Q30" s="89">
        <f t="shared" si="18"/>
        <v>59997.669525279045</v>
      </c>
      <c r="R30" s="89">
        <f t="shared" si="19"/>
        <v>59997.669525279045</v>
      </c>
      <c r="S30" s="89">
        <f t="shared" si="20"/>
        <v>59997.669525279045</v>
      </c>
      <c r="T30" s="89">
        <f t="shared" si="21"/>
        <v>59997.669525279045</v>
      </c>
      <c r="U30" s="89">
        <f t="shared" si="22"/>
        <v>59997.669525279045</v>
      </c>
      <c r="V30" s="89">
        <f>SUM(Table27[[#This Row],[Payment 1 - 9/1/22]:[Payment 18 -2038]])</f>
        <v>1037623.4200886765</v>
      </c>
    </row>
    <row r="31" spans="1:22" x14ac:dyDescent="0.3">
      <c r="A31" s="1" t="s">
        <v>455</v>
      </c>
      <c r="B31" s="1">
        <v>30</v>
      </c>
      <c r="C31" s="1">
        <v>2.6001897815900754E-3</v>
      </c>
      <c r="D31" s="89">
        <f t="shared" si="5"/>
        <v>11966.500456049152</v>
      </c>
      <c r="E31" s="89">
        <f t="shared" si="6"/>
        <v>6003.7796826419617</v>
      </c>
      <c r="F31" s="89">
        <f t="shared" si="7"/>
        <v>12890.513659398481</v>
      </c>
      <c r="G31" s="89">
        <f t="shared" si="8"/>
        <v>11450.99593061534</v>
      </c>
      <c r="H31" s="149">
        <f t="shared" si="9"/>
        <v>11450.99593061534</v>
      </c>
      <c r="I31" s="89">
        <f t="shared" si="10"/>
        <v>11450.99593061534</v>
      </c>
      <c r="J31" s="89">
        <f t="shared" si="11"/>
        <v>13992.801441984438</v>
      </c>
      <c r="K31" s="89">
        <f t="shared" si="12"/>
        <v>16457.2203687929</v>
      </c>
      <c r="L31" s="89">
        <f t="shared" si="13"/>
        <v>16457.220368792903</v>
      </c>
      <c r="M31" s="89">
        <f t="shared" si="14"/>
        <v>16457.220368792903</v>
      </c>
      <c r="N31" s="89">
        <f t="shared" si="15"/>
        <v>13833.954609136563</v>
      </c>
      <c r="O31" s="89">
        <f t="shared" si="16"/>
        <v>13833.954609136565</v>
      </c>
      <c r="P31" s="89">
        <f t="shared" si="17"/>
        <v>13833.954609136565</v>
      </c>
      <c r="Q31" s="89">
        <f t="shared" si="18"/>
        <v>13833.954609136565</v>
      </c>
      <c r="R31" s="89">
        <f t="shared" si="19"/>
        <v>13833.954609136565</v>
      </c>
      <c r="S31" s="89">
        <f t="shared" si="20"/>
        <v>13833.954609136565</v>
      </c>
      <c r="T31" s="89">
        <f t="shared" si="21"/>
        <v>13833.954609136565</v>
      </c>
      <c r="U31" s="89">
        <f t="shared" si="22"/>
        <v>13833.954609136565</v>
      </c>
      <c r="V31" s="89">
        <f>SUM(Table27[[#This Row],[Payment 1 - 9/1/22]:[Payment 18 -2038]])</f>
        <v>239249.88101139123</v>
      </c>
    </row>
    <row r="32" spans="1:22" x14ac:dyDescent="0.3">
      <c r="A32" s="1" t="s">
        <v>454</v>
      </c>
      <c r="B32" s="1">
        <v>31</v>
      </c>
      <c r="C32" s="1">
        <v>3.1887291497432716E-3</v>
      </c>
      <c r="D32" s="89">
        <f t="shared" si="5"/>
        <v>14675.055295881381</v>
      </c>
      <c r="E32" s="89">
        <f t="shared" si="6"/>
        <v>7362.7038373212808</v>
      </c>
      <c r="F32" s="89">
        <f t="shared" si="7"/>
        <v>15808.214058802852</v>
      </c>
      <c r="G32" s="89">
        <f t="shared" si="8"/>
        <v>14042.869015205304</v>
      </c>
      <c r="H32" s="149">
        <f t="shared" si="9"/>
        <v>14042.869015205304</v>
      </c>
      <c r="I32" s="89">
        <f t="shared" si="10"/>
        <v>14042.869015205304</v>
      </c>
      <c r="J32" s="89">
        <f t="shared" si="11"/>
        <v>17159.998920286416</v>
      </c>
      <c r="K32" s="89">
        <f t="shared" si="12"/>
        <v>20182.226191823342</v>
      </c>
      <c r="L32" s="89">
        <f t="shared" si="13"/>
        <v>20182.226191823345</v>
      </c>
      <c r="M32" s="89">
        <f t="shared" si="14"/>
        <v>20182.226191823345</v>
      </c>
      <c r="N32" s="89">
        <f t="shared" si="15"/>
        <v>16965.197936976394</v>
      </c>
      <c r="O32" s="89">
        <f t="shared" si="16"/>
        <v>16965.197936976398</v>
      </c>
      <c r="P32" s="89">
        <f t="shared" si="17"/>
        <v>16965.197936976398</v>
      </c>
      <c r="Q32" s="89">
        <f t="shared" si="18"/>
        <v>16965.197936976398</v>
      </c>
      <c r="R32" s="89">
        <f t="shared" si="19"/>
        <v>16965.197936976398</v>
      </c>
      <c r="S32" s="89">
        <f t="shared" si="20"/>
        <v>16965.197936976398</v>
      </c>
      <c r="T32" s="89">
        <f t="shared" si="21"/>
        <v>16965.197936976398</v>
      </c>
      <c r="U32" s="89">
        <f t="shared" si="22"/>
        <v>16965.197936976398</v>
      </c>
      <c r="V32" s="89">
        <f>SUM(Table27[[#This Row],[Payment 1 - 9/1/22]:[Payment 18 -2038]])</f>
        <v>293402.84122918895</v>
      </c>
    </row>
    <row r="33" spans="1:22" x14ac:dyDescent="0.3">
      <c r="A33" s="1" t="s">
        <v>453</v>
      </c>
      <c r="B33" s="1">
        <v>32</v>
      </c>
      <c r="C33" s="1">
        <v>6.0203426199657165E-3</v>
      </c>
      <c r="D33" s="89">
        <f t="shared" si="5"/>
        <v>27706.605578357558</v>
      </c>
      <c r="E33" s="89">
        <f t="shared" si="6"/>
        <v>13900.83560831097</v>
      </c>
      <c r="F33" s="89">
        <f t="shared" si="7"/>
        <v>29846.017135514427</v>
      </c>
      <c r="G33" s="89">
        <f t="shared" si="8"/>
        <v>26513.033521722322</v>
      </c>
      <c r="H33" s="149">
        <f t="shared" si="9"/>
        <v>26513.033521722322</v>
      </c>
      <c r="I33" s="89">
        <f t="shared" si="10"/>
        <v>26513.033521722322</v>
      </c>
      <c r="J33" s="89">
        <f t="shared" si="11"/>
        <v>32398.196274112375</v>
      </c>
      <c r="K33" s="89">
        <f t="shared" si="12"/>
        <v>38104.182200048213</v>
      </c>
      <c r="L33" s="89">
        <f t="shared" si="13"/>
        <v>38104.182200048221</v>
      </c>
      <c r="M33" s="89">
        <f t="shared" si="14"/>
        <v>38104.182200048221</v>
      </c>
      <c r="N33" s="89">
        <f t="shared" si="15"/>
        <v>32030.410674533628</v>
      </c>
      <c r="O33" s="89">
        <f t="shared" si="16"/>
        <v>32030.410674533636</v>
      </c>
      <c r="P33" s="89">
        <f t="shared" si="17"/>
        <v>32030.410674533636</v>
      </c>
      <c r="Q33" s="89">
        <f t="shared" si="18"/>
        <v>32030.410674533636</v>
      </c>
      <c r="R33" s="89">
        <f t="shared" si="19"/>
        <v>32030.410674533636</v>
      </c>
      <c r="S33" s="89">
        <f t="shared" si="20"/>
        <v>32030.410674533636</v>
      </c>
      <c r="T33" s="89">
        <f t="shared" si="21"/>
        <v>32030.410674533636</v>
      </c>
      <c r="U33" s="89">
        <f t="shared" si="22"/>
        <v>32030.410674533636</v>
      </c>
      <c r="V33" s="89">
        <f>SUM(Table27[[#This Row],[Payment 1 - 9/1/22]:[Payment 18 -2038]])</f>
        <v>553946.587157876</v>
      </c>
    </row>
    <row r="34" spans="1:22" x14ac:dyDescent="0.3">
      <c r="A34" s="1" t="s">
        <v>452</v>
      </c>
      <c r="B34" s="1">
        <v>35</v>
      </c>
      <c r="C34" s="1">
        <v>1.561357771280444E-2</v>
      </c>
      <c r="D34" s="89">
        <f t="shared" si="5"/>
        <v>71856.249164465364</v>
      </c>
      <c r="E34" s="89">
        <f t="shared" si="6"/>
        <v>36051.399520600455</v>
      </c>
      <c r="F34" s="89">
        <f t="shared" si="7"/>
        <v>77404.748762571457</v>
      </c>
      <c r="G34" s="89">
        <f t="shared" si="8"/>
        <v>68760.755894646747</v>
      </c>
      <c r="H34" s="149">
        <f t="shared" si="9"/>
        <v>68760.755894646747</v>
      </c>
      <c r="I34" s="89">
        <f t="shared" si="10"/>
        <v>68760.755894646747</v>
      </c>
      <c r="J34" s="89">
        <f t="shared" si="11"/>
        <v>84023.748682168109</v>
      </c>
      <c r="K34" s="89">
        <f t="shared" si="12"/>
        <v>98822.051753376858</v>
      </c>
      <c r="L34" s="89">
        <f t="shared" si="13"/>
        <v>98822.051753376873</v>
      </c>
      <c r="M34" s="89">
        <f t="shared" si="14"/>
        <v>98822.051753376873</v>
      </c>
      <c r="N34" s="89">
        <f t="shared" si="15"/>
        <v>83069.907779221976</v>
      </c>
      <c r="O34" s="89">
        <f t="shared" si="16"/>
        <v>83069.90777922199</v>
      </c>
      <c r="P34" s="89">
        <f t="shared" si="17"/>
        <v>83069.90777922199</v>
      </c>
      <c r="Q34" s="89">
        <f t="shared" si="18"/>
        <v>83069.90777922199</v>
      </c>
      <c r="R34" s="89">
        <f t="shared" si="19"/>
        <v>83069.90777922199</v>
      </c>
      <c r="S34" s="89">
        <f t="shared" si="20"/>
        <v>83069.90777922199</v>
      </c>
      <c r="T34" s="89">
        <f t="shared" si="21"/>
        <v>83069.90777922199</v>
      </c>
      <c r="U34" s="89">
        <f t="shared" si="22"/>
        <v>83069.90777922199</v>
      </c>
      <c r="V34" s="89">
        <f>SUM(Table27[[#This Row],[Payment 1 - 9/1/22]:[Payment 18 -2038]])</f>
        <v>1436643.8313076517</v>
      </c>
    </row>
    <row r="35" spans="1:22" x14ac:dyDescent="0.3">
      <c r="A35" s="1" t="s">
        <v>451</v>
      </c>
      <c r="B35" s="1">
        <v>37</v>
      </c>
      <c r="C35" s="1">
        <v>6.224574025183784E-3</v>
      </c>
      <c r="D35" s="89">
        <f t="shared" si="5"/>
        <v>28646.512050179412</v>
      </c>
      <c r="E35" s="89">
        <f t="shared" si="6"/>
        <v>14372.401326277844</v>
      </c>
      <c r="F35" s="89">
        <f t="shared" si="7"/>
        <v>30858.50004629324</v>
      </c>
      <c r="G35" s="89">
        <f t="shared" si="8"/>
        <v>27412.449789955561</v>
      </c>
      <c r="H35" s="149">
        <f t="shared" si="9"/>
        <v>27412.449789955561</v>
      </c>
      <c r="I35" s="89">
        <f t="shared" si="10"/>
        <v>27412.449789955561</v>
      </c>
      <c r="J35" s="89">
        <f t="shared" si="11"/>
        <v>33497.258166312524</v>
      </c>
      <c r="K35" s="89">
        <f t="shared" si="12"/>
        <v>39396.811401846942</v>
      </c>
      <c r="L35" s="89">
        <f t="shared" si="13"/>
        <v>39396.811401846942</v>
      </c>
      <c r="M35" s="89">
        <f t="shared" si="14"/>
        <v>39396.811401846942</v>
      </c>
      <c r="N35" s="89">
        <f t="shared" si="15"/>
        <v>33116.995972864876</v>
      </c>
      <c r="O35" s="89">
        <f t="shared" si="16"/>
        <v>33116.995972864883</v>
      </c>
      <c r="P35" s="89">
        <f t="shared" si="17"/>
        <v>33116.995972864883</v>
      </c>
      <c r="Q35" s="89">
        <f t="shared" si="18"/>
        <v>33116.995972864883</v>
      </c>
      <c r="R35" s="89">
        <f t="shared" si="19"/>
        <v>33116.995972864883</v>
      </c>
      <c r="S35" s="89">
        <f t="shared" si="20"/>
        <v>33116.995972864883</v>
      </c>
      <c r="T35" s="89">
        <f t="shared" si="21"/>
        <v>33116.995972864883</v>
      </c>
      <c r="U35" s="89">
        <f t="shared" si="22"/>
        <v>33116.995972864883</v>
      </c>
      <c r="V35" s="89">
        <f>SUM(Table27[[#This Row],[Payment 1 - 9/1/22]:[Payment 18 -2038]])</f>
        <v>572738.42294738977</v>
      </c>
    </row>
    <row r="36" spans="1:22" x14ac:dyDescent="0.3">
      <c r="A36" s="1" t="s">
        <v>450</v>
      </c>
      <c r="B36" s="1">
        <v>39</v>
      </c>
      <c r="C36" s="1">
        <v>2.7087925794710848E-2</v>
      </c>
      <c r="D36" s="89">
        <f t="shared" si="5"/>
        <v>124663.08369907111</v>
      </c>
      <c r="E36" s="89">
        <f t="shared" si="6"/>
        <v>62545.410986018949</v>
      </c>
      <c r="F36" s="89">
        <f t="shared" si="7"/>
        <v>134289.15071266942</v>
      </c>
      <c r="G36" s="89">
        <f t="shared" si="8"/>
        <v>119292.72633875201</v>
      </c>
      <c r="H36" s="149">
        <f t="shared" si="9"/>
        <v>119292.72633875201</v>
      </c>
      <c r="I36" s="149">
        <f t="shared" si="10"/>
        <v>119292.72633875201</v>
      </c>
      <c r="J36" s="89">
        <f t="shared" si="11"/>
        <v>145772.4239223832</v>
      </c>
      <c r="K36" s="89">
        <f t="shared" si="12"/>
        <v>171445.93340585087</v>
      </c>
      <c r="L36" s="89">
        <f t="shared" si="13"/>
        <v>171445.9334058509</v>
      </c>
      <c r="M36" s="89">
        <f t="shared" si="14"/>
        <v>171445.9334058509</v>
      </c>
      <c r="N36" s="89">
        <f t="shared" si="15"/>
        <v>144117.60962714479</v>
      </c>
      <c r="O36" s="89">
        <f t="shared" si="16"/>
        <v>144117.60962714482</v>
      </c>
      <c r="P36" s="89">
        <f t="shared" si="17"/>
        <v>144117.60962714482</v>
      </c>
      <c r="Q36" s="89">
        <f t="shared" si="18"/>
        <v>144117.60962714482</v>
      </c>
      <c r="R36" s="89">
        <f t="shared" si="19"/>
        <v>144117.60962714482</v>
      </c>
      <c r="S36" s="89">
        <f t="shared" si="20"/>
        <v>144117.60962714482</v>
      </c>
      <c r="T36" s="89">
        <f t="shared" si="21"/>
        <v>144117.60962714482</v>
      </c>
      <c r="U36" s="89">
        <f t="shared" si="22"/>
        <v>144117.60962714482</v>
      </c>
      <c r="V36" s="89">
        <f>SUM(Table27[[#This Row],[Payment 1 - 9/1/22]:[Payment 18 -2038]])</f>
        <v>2492426.9255711106</v>
      </c>
    </row>
    <row r="37" spans="1:22" x14ac:dyDescent="0.3">
      <c r="A37" s="1" t="s">
        <v>449</v>
      </c>
      <c r="B37" s="1">
        <v>40</v>
      </c>
      <c r="C37" s="1">
        <v>2.3546926398927491E-2</v>
      </c>
      <c r="D37" s="89">
        <f t="shared" si="5"/>
        <v>108366.82287052534</v>
      </c>
      <c r="E37" s="89">
        <f t="shared" si="6"/>
        <v>54369.323079215857</v>
      </c>
      <c r="F37" s="89">
        <f t="shared" si="7"/>
        <v>116734.5470439503</v>
      </c>
      <c r="G37" s="89">
        <f t="shared" si="8"/>
        <v>103698.49165691638</v>
      </c>
      <c r="H37" s="149">
        <f t="shared" si="9"/>
        <v>103698.49165691638</v>
      </c>
      <c r="I37" s="149">
        <f t="shared" si="10"/>
        <v>103698.49165691638</v>
      </c>
      <c r="J37" s="89">
        <f t="shared" si="11"/>
        <v>126716.69891254051</v>
      </c>
      <c r="K37" s="89">
        <f t="shared" si="12"/>
        <v>149034.10493287968</v>
      </c>
      <c r="L37" s="89">
        <f t="shared" si="13"/>
        <v>149034.10493287971</v>
      </c>
      <c r="M37" s="89">
        <f t="shared" si="14"/>
        <v>149034.10493287971</v>
      </c>
      <c r="N37" s="89">
        <f t="shared" si="15"/>
        <v>125278.20595781304</v>
      </c>
      <c r="O37" s="89">
        <f t="shared" si="16"/>
        <v>125278.20595781306</v>
      </c>
      <c r="P37" s="89">
        <f t="shared" si="17"/>
        <v>125278.20595781306</v>
      </c>
      <c r="Q37" s="89">
        <f t="shared" si="18"/>
        <v>125278.20595781306</v>
      </c>
      <c r="R37" s="89">
        <f t="shared" si="19"/>
        <v>125278.20595781306</v>
      </c>
      <c r="S37" s="89">
        <f t="shared" si="20"/>
        <v>125278.20595781306</v>
      </c>
      <c r="T37" s="89">
        <f t="shared" si="21"/>
        <v>125278.20595781306</v>
      </c>
      <c r="U37" s="89">
        <f t="shared" si="22"/>
        <v>125278.20595781306</v>
      </c>
      <c r="V37" s="89">
        <f>SUM(Table27[[#This Row],[Payment 1 - 9/1/22]:[Payment 18 -2038]])</f>
        <v>2166610.829338124</v>
      </c>
    </row>
    <row r="38" spans="1:22" x14ac:dyDescent="0.3">
      <c r="A38" s="1" t="s">
        <v>448</v>
      </c>
      <c r="B38" s="1">
        <v>41</v>
      </c>
      <c r="C38" s="1">
        <v>8.8888888888888906E-3</v>
      </c>
      <c r="D38" s="89">
        <f t="shared" si="5"/>
        <v>40908.126666666678</v>
      </c>
      <c r="E38" s="89">
        <f t="shared" si="6"/>
        <v>20524.244380245935</v>
      </c>
      <c r="F38" s="89">
        <f t="shared" si="7"/>
        <v>44066.915596071573</v>
      </c>
      <c r="G38" s="89">
        <f t="shared" si="8"/>
        <v>39145.846666666672</v>
      </c>
      <c r="H38" s="149">
        <f t="shared" si="9"/>
        <v>39145.846666666672</v>
      </c>
      <c r="I38" s="149">
        <f t="shared" si="10"/>
        <v>39145.846666666672</v>
      </c>
      <c r="J38" s="89">
        <f t="shared" si="11"/>
        <v>47835.145781560001</v>
      </c>
      <c r="K38" s="89">
        <f t="shared" si="12"/>
        <v>56259.894686879998</v>
      </c>
      <c r="L38" s="89">
        <f t="shared" si="13"/>
        <v>56259.894686880005</v>
      </c>
      <c r="M38" s="89">
        <f t="shared" si="14"/>
        <v>56259.894686880005</v>
      </c>
      <c r="N38" s="89">
        <f t="shared" si="15"/>
        <v>47292.119323440005</v>
      </c>
      <c r="O38" s="89">
        <f t="shared" si="16"/>
        <v>47292.119323440013</v>
      </c>
      <c r="P38" s="89">
        <f t="shared" si="17"/>
        <v>47292.119323440013</v>
      </c>
      <c r="Q38" s="89">
        <f t="shared" si="18"/>
        <v>47292.119323440013</v>
      </c>
      <c r="R38" s="89">
        <f t="shared" si="19"/>
        <v>47292.119323440013</v>
      </c>
      <c r="S38" s="89">
        <f t="shared" si="20"/>
        <v>47292.119323440013</v>
      </c>
      <c r="T38" s="89">
        <f t="shared" si="21"/>
        <v>47292.119323440013</v>
      </c>
      <c r="U38" s="89">
        <f t="shared" si="22"/>
        <v>47292.119323440013</v>
      </c>
      <c r="V38" s="89">
        <f>SUM(Table27[[#This Row],[Payment 1 - 9/1/22]:[Payment 18 -2038]])</f>
        <v>817888.61107270431</v>
      </c>
    </row>
    <row r="39" spans="1:22" x14ac:dyDescent="0.3">
      <c r="A39" s="1" t="s">
        <v>447</v>
      </c>
      <c r="B39" s="1">
        <v>43</v>
      </c>
      <c r="C39" s="1">
        <v>8.8888888888888906E-3</v>
      </c>
      <c r="D39" s="89">
        <f t="shared" si="5"/>
        <v>40908.126666666678</v>
      </c>
      <c r="E39" s="89">
        <f t="shared" si="6"/>
        <v>20524.244380245935</v>
      </c>
      <c r="F39" s="89">
        <f t="shared" si="7"/>
        <v>44066.915596071573</v>
      </c>
      <c r="G39" s="89">
        <f t="shared" si="8"/>
        <v>39145.846666666672</v>
      </c>
      <c r="H39" s="149">
        <f t="shared" si="9"/>
        <v>39145.846666666672</v>
      </c>
      <c r="I39" s="149">
        <f t="shared" si="10"/>
        <v>39145.846666666672</v>
      </c>
      <c r="J39" s="89">
        <f t="shared" si="11"/>
        <v>47835.145781560001</v>
      </c>
      <c r="K39" s="89">
        <f t="shared" si="12"/>
        <v>56259.894686879998</v>
      </c>
      <c r="L39" s="89">
        <f t="shared" si="13"/>
        <v>56259.894686880005</v>
      </c>
      <c r="M39" s="89">
        <f t="shared" si="14"/>
        <v>56259.894686880005</v>
      </c>
      <c r="N39" s="89">
        <f t="shared" si="15"/>
        <v>47292.119323440005</v>
      </c>
      <c r="O39" s="89">
        <f t="shared" si="16"/>
        <v>47292.119323440013</v>
      </c>
      <c r="P39" s="89">
        <f t="shared" si="17"/>
        <v>47292.119323440013</v>
      </c>
      <c r="Q39" s="89">
        <f t="shared" si="18"/>
        <v>47292.119323440013</v>
      </c>
      <c r="R39" s="89">
        <f t="shared" si="19"/>
        <v>47292.119323440013</v>
      </c>
      <c r="S39" s="89">
        <f t="shared" si="20"/>
        <v>47292.119323440013</v>
      </c>
      <c r="T39" s="89">
        <f t="shared" si="21"/>
        <v>47292.119323440013</v>
      </c>
      <c r="U39" s="89">
        <f t="shared" si="22"/>
        <v>47292.119323440013</v>
      </c>
      <c r="V39" s="89">
        <f>SUM(Table27[[#This Row],[Payment 1 - 9/1/22]:[Payment 18 -2038]])</f>
        <v>817888.61107270431</v>
      </c>
    </row>
    <row r="40" spans="1:22" x14ac:dyDescent="0.3">
      <c r="A40" s="1" t="s">
        <v>446</v>
      </c>
      <c r="B40" s="1">
        <v>45</v>
      </c>
      <c r="C40" s="1">
        <v>1.217339226138156E-2</v>
      </c>
      <c r="D40" s="89">
        <f t="shared" si="5"/>
        <v>56023.95066655687</v>
      </c>
      <c r="E40" s="89">
        <f t="shared" si="6"/>
        <v>28108.08874228385</v>
      </c>
      <c r="F40" s="89">
        <f t="shared" si="7"/>
        <v>60349.933046269347</v>
      </c>
      <c r="G40" s="89">
        <f t="shared" si="8"/>
        <v>53610.496523688278</v>
      </c>
      <c r="H40" s="149">
        <f t="shared" si="9"/>
        <v>53610.496523688278</v>
      </c>
      <c r="I40" s="149">
        <f t="shared" si="10"/>
        <v>53610.496523688278</v>
      </c>
      <c r="J40" s="89">
        <f t="shared" si="11"/>
        <v>65510.549266421389</v>
      </c>
      <c r="K40" s="89">
        <f t="shared" si="12"/>
        <v>77048.298743333216</v>
      </c>
      <c r="L40" s="89">
        <f t="shared" si="13"/>
        <v>77048.298743333231</v>
      </c>
      <c r="M40" s="89">
        <f t="shared" si="14"/>
        <v>77048.298743333231</v>
      </c>
      <c r="N40" s="89">
        <f t="shared" si="15"/>
        <v>64766.870932083504</v>
      </c>
      <c r="O40" s="89">
        <f t="shared" si="16"/>
        <v>64766.870932083511</v>
      </c>
      <c r="P40" s="89">
        <f t="shared" si="17"/>
        <v>64766.870932083511</v>
      </c>
      <c r="Q40" s="89">
        <f t="shared" si="18"/>
        <v>64766.870932083511</v>
      </c>
      <c r="R40" s="89">
        <f t="shared" si="19"/>
        <v>64766.870932083511</v>
      </c>
      <c r="S40" s="89">
        <f t="shared" si="20"/>
        <v>64766.870932083511</v>
      </c>
      <c r="T40" s="89">
        <f t="shared" si="21"/>
        <v>64766.870932083511</v>
      </c>
      <c r="U40" s="89">
        <f t="shared" si="22"/>
        <v>64766.870932083511</v>
      </c>
      <c r="V40" s="89">
        <f>SUM(Table27[[#This Row],[Payment 1 - 9/1/22]:[Payment 18 -2038]])</f>
        <v>1120103.8749792639</v>
      </c>
    </row>
    <row r="41" spans="1:22" x14ac:dyDescent="0.3">
      <c r="A41" s="1" t="s">
        <v>445</v>
      </c>
      <c r="B41" s="1">
        <v>49</v>
      </c>
      <c r="C41" s="1">
        <v>6.6279021225283865E-3</v>
      </c>
      <c r="D41" s="89">
        <f t="shared" si="5"/>
        <v>30502.694200799258</v>
      </c>
      <c r="E41" s="89">
        <f t="shared" si="6"/>
        <v>15303.676825251372</v>
      </c>
      <c r="F41" s="89">
        <f t="shared" si="7"/>
        <v>32858.01038390422</v>
      </c>
      <c r="G41" s="89">
        <f t="shared" si="8"/>
        <v>29188.66952364421</v>
      </c>
      <c r="H41" s="149">
        <f t="shared" si="9"/>
        <v>29188.66952364421</v>
      </c>
      <c r="I41" s="149">
        <f t="shared" si="10"/>
        <v>29188.66952364421</v>
      </c>
      <c r="J41" s="89">
        <f t="shared" si="11"/>
        <v>35667.749728918832</v>
      </c>
      <c r="K41" s="89">
        <f t="shared" si="12"/>
        <v>41949.570983444479</v>
      </c>
      <c r="L41" s="89">
        <f t="shared" si="13"/>
        <v>41949.570983444486</v>
      </c>
      <c r="M41" s="89">
        <f t="shared" si="14"/>
        <v>41949.570983444486</v>
      </c>
      <c r="N41" s="89">
        <f t="shared" si="15"/>
        <v>35262.848029803041</v>
      </c>
      <c r="O41" s="89">
        <f t="shared" si="16"/>
        <v>35262.848029803041</v>
      </c>
      <c r="P41" s="89">
        <f t="shared" si="17"/>
        <v>35262.848029803041</v>
      </c>
      <c r="Q41" s="89">
        <f t="shared" si="18"/>
        <v>35262.848029803041</v>
      </c>
      <c r="R41" s="89">
        <f t="shared" si="19"/>
        <v>35262.848029803041</v>
      </c>
      <c r="S41" s="89">
        <f t="shared" si="20"/>
        <v>35262.848029803041</v>
      </c>
      <c r="T41" s="89">
        <f t="shared" si="21"/>
        <v>35262.848029803041</v>
      </c>
      <c r="U41" s="89">
        <f t="shared" si="22"/>
        <v>35262.848029803041</v>
      </c>
      <c r="V41" s="89">
        <f>SUM(Table27[[#This Row],[Payment 1 - 9/1/22]:[Payment 18 -2038]])</f>
        <v>609849.63689856394</v>
      </c>
    </row>
    <row r="42" spans="1:22" x14ac:dyDescent="0.3">
      <c r="A42" s="1" t="s">
        <v>444</v>
      </c>
      <c r="B42" s="1">
        <v>51</v>
      </c>
      <c r="C42" s="1">
        <v>0.11598644298672799</v>
      </c>
      <c r="D42" s="89">
        <f t="shared" si="5"/>
        <v>533788.66139818274</v>
      </c>
      <c r="E42" s="89">
        <f t="shared" si="6"/>
        <v>267810.08632369502</v>
      </c>
      <c r="F42" s="89">
        <f t="shared" si="7"/>
        <v>575006.0392557797</v>
      </c>
      <c r="G42" s="89">
        <f t="shared" si="8"/>
        <v>510793.59516418452</v>
      </c>
      <c r="H42" s="149">
        <f t="shared" si="9"/>
        <v>510793.59516418452</v>
      </c>
      <c r="I42" s="149">
        <f t="shared" si="10"/>
        <v>510793.59516418452</v>
      </c>
      <c r="J42" s="89">
        <f t="shared" si="11"/>
        <v>624175.69600740715</v>
      </c>
      <c r="K42" s="89">
        <f t="shared" si="12"/>
        <v>734105.82009815169</v>
      </c>
      <c r="L42" s="89">
        <f t="shared" si="13"/>
        <v>734105.8200981518</v>
      </c>
      <c r="M42" s="89">
        <f t="shared" si="14"/>
        <v>734105.8200981518</v>
      </c>
      <c r="N42" s="89">
        <f t="shared" si="15"/>
        <v>617090.02893334231</v>
      </c>
      <c r="O42" s="89">
        <f t="shared" si="16"/>
        <v>617090.02893334243</v>
      </c>
      <c r="P42" s="89">
        <f t="shared" si="17"/>
        <v>617090.02893334243</v>
      </c>
      <c r="Q42" s="89">
        <f t="shared" si="18"/>
        <v>617090.02893334243</v>
      </c>
      <c r="R42" s="89">
        <f t="shared" si="19"/>
        <v>617090.02893334243</v>
      </c>
      <c r="S42" s="89">
        <f t="shared" si="20"/>
        <v>617090.02893334243</v>
      </c>
      <c r="T42" s="89">
        <f t="shared" si="21"/>
        <v>617090.02893334243</v>
      </c>
      <c r="U42" s="89">
        <f t="shared" si="22"/>
        <v>617090.02893334243</v>
      </c>
      <c r="V42" s="89">
        <f>SUM(Table27[[#This Row],[Payment 1 - 9/1/22]:[Payment 18 -2038]])</f>
        <v>10672198.960238812</v>
      </c>
    </row>
    <row r="43" spans="1:22" x14ac:dyDescent="0.3">
      <c r="A43" s="1" t="s">
        <v>443</v>
      </c>
      <c r="B43" s="1">
        <v>52</v>
      </c>
      <c r="C43" s="1">
        <v>4.4444444444444453E-3</v>
      </c>
      <c r="D43" s="89">
        <f t="shared" si="5"/>
        <v>20454.063333333339</v>
      </c>
      <c r="E43" s="89">
        <f t="shared" si="6"/>
        <v>10262.122190122967</v>
      </c>
      <c r="F43" s="89">
        <f t="shared" si="7"/>
        <v>22033.457798035786</v>
      </c>
      <c r="G43" s="89">
        <f t="shared" si="8"/>
        <v>19572.923333333336</v>
      </c>
      <c r="H43" s="149">
        <f t="shared" si="9"/>
        <v>19572.923333333336</v>
      </c>
      <c r="I43" s="149">
        <f t="shared" si="10"/>
        <v>19572.923333333336</v>
      </c>
      <c r="J43" s="89">
        <f t="shared" si="11"/>
        <v>23917.57289078</v>
      </c>
      <c r="K43" s="89">
        <f t="shared" si="12"/>
        <v>28129.947343439999</v>
      </c>
      <c r="L43" s="89">
        <f t="shared" si="13"/>
        <v>28129.947343440002</v>
      </c>
      <c r="M43" s="89">
        <f t="shared" si="14"/>
        <v>28129.947343440002</v>
      </c>
      <c r="N43" s="89">
        <f t="shared" si="15"/>
        <v>23646.059661720003</v>
      </c>
      <c r="O43" s="89">
        <f t="shared" si="16"/>
        <v>23646.059661720006</v>
      </c>
      <c r="P43" s="89">
        <f t="shared" si="17"/>
        <v>23646.059661720006</v>
      </c>
      <c r="Q43" s="89">
        <f t="shared" si="18"/>
        <v>23646.059661720006</v>
      </c>
      <c r="R43" s="89">
        <f t="shared" si="19"/>
        <v>23646.059661720006</v>
      </c>
      <c r="S43" s="89">
        <f t="shared" si="20"/>
        <v>23646.059661720006</v>
      </c>
      <c r="T43" s="89">
        <f t="shared" si="21"/>
        <v>23646.059661720006</v>
      </c>
      <c r="U43" s="89">
        <f t="shared" si="22"/>
        <v>23646.059661720006</v>
      </c>
      <c r="V43" s="89">
        <f>SUM(Table27[[#This Row],[Payment 1 - 9/1/22]:[Payment 18 -2038]])</f>
        <v>408944.30553635216</v>
      </c>
    </row>
    <row r="44" spans="1:22" x14ac:dyDescent="0.3">
      <c r="A44" s="1" t="s">
        <v>442</v>
      </c>
      <c r="B44" s="1">
        <v>54</v>
      </c>
      <c r="C44" s="1">
        <v>1.0345289760991229E-2</v>
      </c>
      <c r="D44" s="89">
        <f t="shared" ref="D44:D75" si="23">C44*$D$9</f>
        <v>47610.722693924879</v>
      </c>
      <c r="E44" s="89">
        <f t="shared" ref="E44:E75" si="24">C44*$E$9</f>
        <v>23887.041214391997</v>
      </c>
      <c r="F44" s="89">
        <f t="shared" ref="F44:F75" si="25">C44*$F$9</f>
        <v>51287.063705381683</v>
      </c>
      <c r="G44" s="89">
        <f t="shared" ref="G44:G75" si="26">C44*$G$9</f>
        <v>45559.701754424917</v>
      </c>
      <c r="H44" s="149">
        <f t="shared" ref="H44:H75" si="27">C44*$H$9</f>
        <v>45559.701754424917</v>
      </c>
      <c r="I44" s="149">
        <f t="shared" ref="I44:I75" si="28">C44*$I$9</f>
        <v>45559.701754424917</v>
      </c>
      <c r="J44" s="89">
        <f t="shared" ref="J44:J75" si="29">C44*$J$9</f>
        <v>55672.699935318233</v>
      </c>
      <c r="K44" s="89">
        <f t="shared" ref="K44:K75" si="30">C44*$K$9</f>
        <v>65477.802651595244</v>
      </c>
      <c r="L44" s="89">
        <f t="shared" ref="L44:L75" si="31">C44*$L$9</f>
        <v>65477.802651595252</v>
      </c>
      <c r="M44" s="89">
        <f t="shared" ref="M44:M75" si="32">C44*$M$9</f>
        <v>65477.802651595252</v>
      </c>
      <c r="N44" s="89">
        <f t="shared" ref="N44:N75" si="33">C44*$N$9</f>
        <v>55040.701253890416</v>
      </c>
      <c r="O44" s="89">
        <f t="shared" ref="O44:O75" si="34">C44*$O$9</f>
        <v>55040.701253890424</v>
      </c>
      <c r="P44" s="89">
        <f t="shared" ref="P44:P75" si="35">C44*$P$9</f>
        <v>55040.701253890424</v>
      </c>
      <c r="Q44" s="89">
        <f t="shared" ref="Q44:Q75" si="36">C44*$Q$9</f>
        <v>55040.701253890424</v>
      </c>
      <c r="R44" s="89">
        <f t="shared" ref="R44:R75" si="37">C44*$R$9</f>
        <v>55040.701253890424</v>
      </c>
      <c r="S44" s="89">
        <f t="shared" ref="S44:S75" si="38">C44*$S$9</f>
        <v>55040.701253890424</v>
      </c>
      <c r="T44" s="89">
        <f t="shared" ref="T44:T75" si="39">C44*$T$9</f>
        <v>55040.701253890424</v>
      </c>
      <c r="U44" s="89">
        <f t="shared" ref="U44:U75" si="40">C44*$U$9</f>
        <v>55040.701253890424</v>
      </c>
      <c r="V44" s="89">
        <f>SUM(Table27[[#This Row],[Payment 1 - 9/1/22]:[Payment 18 -2038]])</f>
        <v>951895.65079820063</v>
      </c>
    </row>
    <row r="45" spans="1:22" x14ac:dyDescent="0.3">
      <c r="A45" s="1" t="s">
        <v>441</v>
      </c>
      <c r="B45" s="1">
        <v>59</v>
      </c>
      <c r="C45" s="1">
        <v>2.9683704062236369E-3</v>
      </c>
      <c r="D45" s="89">
        <f t="shared" si="23"/>
        <v>13660.9281642804</v>
      </c>
      <c r="E45" s="89">
        <f t="shared" si="24"/>
        <v>6853.9004581976778</v>
      </c>
      <c r="F45" s="89">
        <f t="shared" si="25"/>
        <v>14715.779416755038</v>
      </c>
      <c r="G45" s="89">
        <f t="shared" si="26"/>
        <v>13072.429436838922</v>
      </c>
      <c r="H45" s="149">
        <f t="shared" si="27"/>
        <v>13072.429436838922</v>
      </c>
      <c r="I45" s="149">
        <f t="shared" si="28"/>
        <v>13072.429436838922</v>
      </c>
      <c r="J45" s="89">
        <f t="shared" si="29"/>
        <v>15974.148500479814</v>
      </c>
      <c r="K45" s="89">
        <f t="shared" si="30"/>
        <v>18787.523225151712</v>
      </c>
      <c r="L45" s="89">
        <f t="shared" si="31"/>
        <v>18787.523225151712</v>
      </c>
      <c r="M45" s="89">
        <f t="shared" si="32"/>
        <v>18787.523225151712</v>
      </c>
      <c r="N45" s="89">
        <f t="shared" si="33"/>
        <v>15792.809337820832</v>
      </c>
      <c r="O45" s="89">
        <f t="shared" si="34"/>
        <v>15792.809337820834</v>
      </c>
      <c r="P45" s="89">
        <f t="shared" si="35"/>
        <v>15792.809337820834</v>
      </c>
      <c r="Q45" s="89">
        <f t="shared" si="36"/>
        <v>15792.809337820834</v>
      </c>
      <c r="R45" s="89">
        <f t="shared" si="37"/>
        <v>15792.809337820834</v>
      </c>
      <c r="S45" s="89">
        <f t="shared" si="38"/>
        <v>15792.809337820834</v>
      </c>
      <c r="T45" s="89">
        <f t="shared" si="39"/>
        <v>15792.809337820834</v>
      </c>
      <c r="U45" s="89">
        <f t="shared" si="40"/>
        <v>15792.809337820834</v>
      </c>
      <c r="V45" s="89">
        <f>SUM(Table27[[#This Row],[Payment 1 - 9/1/22]:[Payment 18 -2038]])</f>
        <v>273127.08922825148</v>
      </c>
    </row>
    <row r="46" spans="1:22" x14ac:dyDescent="0.3">
      <c r="A46" s="1" t="s">
        <v>440</v>
      </c>
      <c r="B46" s="1">
        <v>63</v>
      </c>
      <c r="C46" s="1">
        <v>1.514009930984315E-2</v>
      </c>
      <c r="D46" s="89">
        <f t="shared" si="23"/>
        <v>69677.223785209819</v>
      </c>
      <c r="E46" s="89">
        <f t="shared" si="24"/>
        <v>34958.148544846525</v>
      </c>
      <c r="F46" s="89">
        <f t="shared" si="25"/>
        <v>75057.466320337437</v>
      </c>
      <c r="G46" s="89">
        <f t="shared" si="26"/>
        <v>66675.600686387901</v>
      </c>
      <c r="H46" s="149">
        <f t="shared" si="27"/>
        <v>66675.600686387901</v>
      </c>
      <c r="I46" s="149">
        <f t="shared" si="28"/>
        <v>66675.600686387901</v>
      </c>
      <c r="J46" s="89">
        <f t="shared" si="29"/>
        <v>81475.746483784824</v>
      </c>
      <c r="K46" s="89">
        <f t="shared" si="30"/>
        <v>95825.294181076504</v>
      </c>
      <c r="L46" s="89">
        <f t="shared" si="31"/>
        <v>95825.294181076519</v>
      </c>
      <c r="M46" s="89">
        <f t="shared" si="32"/>
        <v>95825.294181076519</v>
      </c>
      <c r="N46" s="89">
        <f t="shared" si="33"/>
        <v>80550.830602106304</v>
      </c>
      <c r="O46" s="89">
        <f t="shared" si="34"/>
        <v>80550.830602106318</v>
      </c>
      <c r="P46" s="89">
        <f t="shared" si="35"/>
        <v>80550.830602106318</v>
      </c>
      <c r="Q46" s="89">
        <f t="shared" si="36"/>
        <v>80550.830602106318</v>
      </c>
      <c r="R46" s="89">
        <f t="shared" si="37"/>
        <v>80550.830602106318</v>
      </c>
      <c r="S46" s="89">
        <f t="shared" si="38"/>
        <v>80550.830602106318</v>
      </c>
      <c r="T46" s="89">
        <f t="shared" si="39"/>
        <v>80550.830602106318</v>
      </c>
      <c r="U46" s="89">
        <f t="shared" si="40"/>
        <v>80550.830602106318</v>
      </c>
      <c r="V46" s="89">
        <f>SUM(Table27[[#This Row],[Payment 1 - 9/1/22]:[Payment 18 -2038]])</f>
        <v>1393077.9145534227</v>
      </c>
    </row>
    <row r="47" spans="1:22" x14ac:dyDescent="0.3">
      <c r="A47" s="1" t="s">
        <v>439</v>
      </c>
      <c r="B47" s="1">
        <v>65</v>
      </c>
      <c r="C47" s="1">
        <v>2.5649193650444484E-2</v>
      </c>
      <c r="D47" s="89">
        <f t="shared" si="23"/>
        <v>118041.8020594026</v>
      </c>
      <c r="E47" s="89">
        <f t="shared" si="24"/>
        <v>59223.41084677216</v>
      </c>
      <c r="F47" s="89">
        <f t="shared" si="25"/>
        <v>127156.59581641108</v>
      </c>
      <c r="G47" s="89">
        <f t="shared" si="26"/>
        <v>112956.68269844326</v>
      </c>
      <c r="H47" s="149">
        <f t="shared" si="27"/>
        <v>112956.68269844326</v>
      </c>
      <c r="I47" s="149">
        <f t="shared" si="28"/>
        <v>112956.68269844326</v>
      </c>
      <c r="J47" s="89">
        <f t="shared" si="29"/>
        <v>138029.95321295341</v>
      </c>
      <c r="K47" s="89">
        <f t="shared" si="30"/>
        <v>162339.85502745723</v>
      </c>
      <c r="L47" s="89">
        <f t="shared" si="31"/>
        <v>162339.85502745723</v>
      </c>
      <c r="M47" s="89">
        <f t="shared" si="32"/>
        <v>162339.85502745723</v>
      </c>
      <c r="N47" s="89">
        <f t="shared" si="33"/>
        <v>136463.03175001949</v>
      </c>
      <c r="O47" s="89">
        <f t="shared" si="34"/>
        <v>136463.03175001952</v>
      </c>
      <c r="P47" s="89">
        <f t="shared" si="35"/>
        <v>136463.03175001952</v>
      </c>
      <c r="Q47" s="89">
        <f t="shared" si="36"/>
        <v>136463.03175001952</v>
      </c>
      <c r="R47" s="89">
        <f t="shared" si="37"/>
        <v>136463.03175001952</v>
      </c>
      <c r="S47" s="89">
        <f t="shared" si="38"/>
        <v>136463.03175001952</v>
      </c>
      <c r="T47" s="89">
        <f t="shared" si="39"/>
        <v>136463.03175001952</v>
      </c>
      <c r="U47" s="89">
        <f t="shared" si="40"/>
        <v>136463.03175001952</v>
      </c>
      <c r="V47" s="89">
        <f>SUM(Table27[[#This Row],[Payment 1 - 9/1/22]:[Payment 18 -2038]])</f>
        <v>2360045.6291133976</v>
      </c>
    </row>
    <row r="48" spans="1:22" x14ac:dyDescent="0.3">
      <c r="A48" s="1" t="s">
        <v>438</v>
      </c>
      <c r="B48" s="1">
        <v>66</v>
      </c>
      <c r="C48" s="1">
        <v>2.2222222222222227E-3</v>
      </c>
      <c r="D48" s="89">
        <f t="shared" si="23"/>
        <v>10227.031666666669</v>
      </c>
      <c r="E48" s="89">
        <f t="shared" si="24"/>
        <v>5131.0610950614837</v>
      </c>
      <c r="F48" s="89">
        <f t="shared" si="25"/>
        <v>11016.728899017893</v>
      </c>
      <c r="G48" s="89">
        <f t="shared" si="26"/>
        <v>9786.461666666668</v>
      </c>
      <c r="H48" s="149">
        <f t="shared" si="27"/>
        <v>9786.461666666668</v>
      </c>
      <c r="I48" s="149">
        <f t="shared" si="28"/>
        <v>9786.461666666668</v>
      </c>
      <c r="J48" s="89">
        <f t="shared" si="29"/>
        <v>11958.78644539</v>
      </c>
      <c r="K48" s="89">
        <f t="shared" si="30"/>
        <v>14064.973671719999</v>
      </c>
      <c r="L48" s="89">
        <f t="shared" si="31"/>
        <v>14064.973671720001</v>
      </c>
      <c r="M48" s="89">
        <f t="shared" si="32"/>
        <v>14064.973671720001</v>
      </c>
      <c r="N48" s="89">
        <f t="shared" si="33"/>
        <v>11823.029830860001</v>
      </c>
      <c r="O48" s="89">
        <f t="shared" si="34"/>
        <v>11823.029830860003</v>
      </c>
      <c r="P48" s="89">
        <f t="shared" si="35"/>
        <v>11823.029830860003</v>
      </c>
      <c r="Q48" s="89">
        <f t="shared" si="36"/>
        <v>11823.029830860003</v>
      </c>
      <c r="R48" s="89">
        <f t="shared" si="37"/>
        <v>11823.029830860003</v>
      </c>
      <c r="S48" s="89">
        <f t="shared" si="38"/>
        <v>11823.029830860003</v>
      </c>
      <c r="T48" s="89">
        <f t="shared" si="39"/>
        <v>11823.029830860003</v>
      </c>
      <c r="U48" s="89">
        <f t="shared" si="40"/>
        <v>11823.029830860003</v>
      </c>
      <c r="V48" s="89">
        <f>SUM(Table27[[#This Row],[Payment 1 - 9/1/22]:[Payment 18 -2038]])</f>
        <v>204472.15276817608</v>
      </c>
    </row>
    <row r="49" spans="1:22" x14ac:dyDescent="0.3">
      <c r="A49" s="1" t="s">
        <v>437</v>
      </c>
      <c r="B49" s="1">
        <v>67</v>
      </c>
      <c r="C49" s="1">
        <v>3.3009551747494321E-2</v>
      </c>
      <c r="D49" s="89">
        <f t="shared" si="23"/>
        <v>151915.3789608434</v>
      </c>
      <c r="E49" s="89">
        <f t="shared" si="24"/>
        <v>76218.312031644091</v>
      </c>
      <c r="F49" s="89">
        <f t="shared" si="25"/>
        <v>163645.77720611126</v>
      </c>
      <c r="G49" s="89">
        <f t="shared" si="26"/>
        <v>145371.02076481629</v>
      </c>
      <c r="H49" s="149">
        <f t="shared" si="27"/>
        <v>145371.02076481629</v>
      </c>
      <c r="I49" s="149">
        <f t="shared" si="28"/>
        <v>145371.02076481629</v>
      </c>
      <c r="J49" s="89">
        <f t="shared" si="29"/>
        <v>177639.38100285069</v>
      </c>
      <c r="K49" s="89">
        <f t="shared" si="30"/>
        <v>208925.31430970391</v>
      </c>
      <c r="L49" s="89">
        <f t="shared" si="31"/>
        <v>208925.31430970394</v>
      </c>
      <c r="M49" s="89">
        <f t="shared" si="32"/>
        <v>208925.31430970394</v>
      </c>
      <c r="N49" s="89">
        <f t="shared" si="33"/>
        <v>175622.81175627396</v>
      </c>
      <c r="O49" s="89">
        <f t="shared" si="34"/>
        <v>175622.81175627399</v>
      </c>
      <c r="P49" s="89">
        <f t="shared" si="35"/>
        <v>175622.81175627399</v>
      </c>
      <c r="Q49" s="89">
        <f t="shared" si="36"/>
        <v>175622.81175627399</v>
      </c>
      <c r="R49" s="89">
        <f t="shared" si="37"/>
        <v>175622.81175627399</v>
      </c>
      <c r="S49" s="89">
        <f t="shared" si="38"/>
        <v>175622.81175627399</v>
      </c>
      <c r="T49" s="89">
        <f t="shared" si="39"/>
        <v>175622.81175627399</v>
      </c>
      <c r="U49" s="89">
        <f t="shared" si="40"/>
        <v>175622.81175627399</v>
      </c>
      <c r="V49" s="89">
        <f>SUM(Table27[[#This Row],[Payment 1 - 9/1/22]:[Payment 18 -2038]])</f>
        <v>3037290.3484752029</v>
      </c>
    </row>
    <row r="50" spans="1:22" x14ac:dyDescent="0.3">
      <c r="A50" s="1" t="s">
        <v>248</v>
      </c>
      <c r="B50" s="1">
        <v>68</v>
      </c>
      <c r="C50" s="1">
        <v>4.0637108325118999E-2</v>
      </c>
      <c r="D50" s="89">
        <f t="shared" si="23"/>
        <v>187018.64715724005</v>
      </c>
      <c r="E50" s="89">
        <f t="shared" si="24"/>
        <v>93830.168494267724</v>
      </c>
      <c r="F50" s="89">
        <f t="shared" si="25"/>
        <v>201459.60254603656</v>
      </c>
      <c r="G50" s="89">
        <f t="shared" si="26"/>
        <v>178962.07629058108</v>
      </c>
      <c r="H50" s="149">
        <f t="shared" si="27"/>
        <v>178962.07629058108</v>
      </c>
      <c r="I50" s="149">
        <f t="shared" si="28"/>
        <v>178962.07629058108</v>
      </c>
      <c r="J50" s="89">
        <f t="shared" si="29"/>
        <v>218686.72509822517</v>
      </c>
      <c r="K50" s="89">
        <f t="shared" si="30"/>
        <v>257201.93640943451</v>
      </c>
      <c r="L50" s="89">
        <f t="shared" si="31"/>
        <v>257201.93640943454</v>
      </c>
      <c r="M50" s="89">
        <f t="shared" si="32"/>
        <v>257201.93640943454</v>
      </c>
      <c r="N50" s="89">
        <f t="shared" si="33"/>
        <v>216204.184785497</v>
      </c>
      <c r="O50" s="89">
        <f t="shared" si="34"/>
        <v>216204.18478549705</v>
      </c>
      <c r="P50" s="89">
        <f t="shared" si="35"/>
        <v>216204.18478549705</v>
      </c>
      <c r="Q50" s="89">
        <f t="shared" si="36"/>
        <v>216204.18478549705</v>
      </c>
      <c r="R50" s="89">
        <f t="shared" si="37"/>
        <v>216204.18478549705</v>
      </c>
      <c r="S50" s="89">
        <f t="shared" si="38"/>
        <v>216204.18478549705</v>
      </c>
      <c r="T50" s="89">
        <f t="shared" si="39"/>
        <v>216204.18478549705</v>
      </c>
      <c r="U50" s="89">
        <f t="shared" si="40"/>
        <v>216204.18478549705</v>
      </c>
      <c r="V50" s="89">
        <f>SUM(Table27[[#This Row],[Payment 1 - 9/1/22]:[Payment 18 -2038]])</f>
        <v>3739120.6596797919</v>
      </c>
    </row>
    <row r="51" spans="1:22" x14ac:dyDescent="0.3">
      <c r="A51" s="1" t="s">
        <v>249</v>
      </c>
      <c r="B51" s="1">
        <v>69</v>
      </c>
      <c r="C51" s="1">
        <v>3.6255723863374445E-2</v>
      </c>
      <c r="D51" s="89">
        <f t="shared" si="23"/>
        <v>166854.79622189375</v>
      </c>
      <c r="E51" s="89">
        <f t="shared" si="24"/>
        <v>83713.650384893757</v>
      </c>
      <c r="F51" s="89">
        <f t="shared" si="25"/>
        <v>179738.76637820242</v>
      </c>
      <c r="G51" s="89">
        <f t="shared" si="26"/>
        <v>159666.86330377465</v>
      </c>
      <c r="H51" s="149">
        <f t="shared" si="27"/>
        <v>159666.86330377465</v>
      </c>
      <c r="I51" s="149">
        <f t="shared" si="28"/>
        <v>159666.86330377465</v>
      </c>
      <c r="J51" s="89">
        <f t="shared" si="29"/>
        <v>195108.50659730626</v>
      </c>
      <c r="K51" s="89">
        <f t="shared" si="30"/>
        <v>229471.1107143804</v>
      </c>
      <c r="L51" s="89">
        <f t="shared" si="31"/>
        <v>229471.11071438043</v>
      </c>
      <c r="M51" s="89">
        <f t="shared" si="32"/>
        <v>229471.11071438043</v>
      </c>
      <c r="N51" s="89">
        <f t="shared" si="33"/>
        <v>192893.62714924445</v>
      </c>
      <c r="O51" s="89">
        <f t="shared" si="34"/>
        <v>192893.62714924448</v>
      </c>
      <c r="P51" s="89">
        <f t="shared" si="35"/>
        <v>192893.62714924448</v>
      </c>
      <c r="Q51" s="89">
        <f t="shared" si="36"/>
        <v>192893.62714924448</v>
      </c>
      <c r="R51" s="89">
        <f t="shared" si="37"/>
        <v>192893.62714924448</v>
      </c>
      <c r="S51" s="89">
        <f t="shared" si="38"/>
        <v>192893.62714924448</v>
      </c>
      <c r="T51" s="89">
        <f t="shared" si="39"/>
        <v>192893.62714924448</v>
      </c>
      <c r="U51" s="89">
        <f t="shared" si="40"/>
        <v>192893.62714924448</v>
      </c>
      <c r="V51" s="89">
        <f>SUM(Table27[[#This Row],[Payment 1 - 9/1/22]:[Payment 18 -2038]])</f>
        <v>3335978.6588307163</v>
      </c>
    </row>
    <row r="52" spans="1:22" x14ac:dyDescent="0.3">
      <c r="A52" s="1" t="s">
        <v>250</v>
      </c>
      <c r="B52" s="1">
        <v>70</v>
      </c>
      <c r="C52" s="1">
        <v>2.3542241940984008E-2</v>
      </c>
      <c r="D52" s="89">
        <f t="shared" si="23"/>
        <v>108345.26422564722</v>
      </c>
      <c r="E52" s="89">
        <f t="shared" si="24"/>
        <v>54358.506771258493</v>
      </c>
      <c r="F52" s="89">
        <f t="shared" si="25"/>
        <v>116711.3237125093</v>
      </c>
      <c r="G52" s="89">
        <f t="shared" si="26"/>
        <v>103677.86173627451</v>
      </c>
      <c r="H52" s="149">
        <f t="shared" si="27"/>
        <v>103677.86173627451</v>
      </c>
      <c r="I52" s="149">
        <f t="shared" si="28"/>
        <v>103677.86173627451</v>
      </c>
      <c r="J52" s="89">
        <f t="shared" si="29"/>
        <v>126691.48971806916</v>
      </c>
      <c r="K52" s="89">
        <f t="shared" si="30"/>
        <v>149004.45588294105</v>
      </c>
      <c r="L52" s="89">
        <f t="shared" si="31"/>
        <v>149004.45588294108</v>
      </c>
      <c r="M52" s="89">
        <f t="shared" si="32"/>
        <v>149004.45588294108</v>
      </c>
      <c r="N52" s="89">
        <f t="shared" si="33"/>
        <v>125253.28293910979</v>
      </c>
      <c r="O52" s="89">
        <f t="shared" si="34"/>
        <v>125253.28293910982</v>
      </c>
      <c r="P52" s="89">
        <f t="shared" si="35"/>
        <v>125253.28293910982</v>
      </c>
      <c r="Q52" s="89">
        <f t="shared" si="36"/>
        <v>125253.28293910982</v>
      </c>
      <c r="R52" s="89">
        <f t="shared" si="37"/>
        <v>125253.28293910982</v>
      </c>
      <c r="S52" s="89">
        <f t="shared" si="38"/>
        <v>125253.28293910982</v>
      </c>
      <c r="T52" s="89">
        <f t="shared" si="39"/>
        <v>125253.28293910982</v>
      </c>
      <c r="U52" s="89">
        <f t="shared" si="40"/>
        <v>125253.28293910982</v>
      </c>
      <c r="V52" s="89">
        <f>SUM(Table27[[#This Row],[Payment 1 - 9/1/22]:[Payment 18 -2038]])</f>
        <v>2166179.8007980087</v>
      </c>
    </row>
    <row r="53" spans="1:22" x14ac:dyDescent="0.3">
      <c r="A53" s="1" t="s">
        <v>251</v>
      </c>
      <c r="B53" s="1">
        <v>71</v>
      </c>
      <c r="C53" s="1">
        <v>2.2291836499973707E-2</v>
      </c>
      <c r="D53" s="89">
        <f t="shared" si="23"/>
        <v>102590.69300702412</v>
      </c>
      <c r="E53" s="89">
        <f t="shared" si="24"/>
        <v>51471.348751118974</v>
      </c>
      <c r="F53" s="89">
        <f t="shared" si="25"/>
        <v>110512.40372164898</v>
      </c>
      <c r="G53" s="89">
        <f t="shared" si="26"/>
        <v>98171.191523967078</v>
      </c>
      <c r="H53" s="149">
        <f t="shared" si="27"/>
        <v>98171.191523967078</v>
      </c>
      <c r="I53" s="149">
        <f t="shared" si="28"/>
        <v>98171.191523967078</v>
      </c>
      <c r="J53" s="89">
        <f t="shared" si="29"/>
        <v>119962.49048043102</v>
      </c>
      <c r="K53" s="89">
        <f t="shared" si="30"/>
        <v>141090.34205988765</v>
      </c>
      <c r="L53" s="89">
        <f t="shared" si="31"/>
        <v>141090.34205988768</v>
      </c>
      <c r="M53" s="89">
        <f t="shared" si="32"/>
        <v>141090.34205988768</v>
      </c>
      <c r="N53" s="89">
        <f t="shared" si="33"/>
        <v>118600.6715657293</v>
      </c>
      <c r="O53" s="89">
        <f t="shared" si="34"/>
        <v>118600.67156572932</v>
      </c>
      <c r="P53" s="89">
        <f t="shared" si="35"/>
        <v>118600.67156572932</v>
      </c>
      <c r="Q53" s="89">
        <f t="shared" si="36"/>
        <v>118600.67156572932</v>
      </c>
      <c r="R53" s="89">
        <f t="shared" si="37"/>
        <v>118600.67156572932</v>
      </c>
      <c r="S53" s="89">
        <f t="shared" si="38"/>
        <v>118600.67156572932</v>
      </c>
      <c r="T53" s="89">
        <f t="shared" si="39"/>
        <v>118600.67156572932</v>
      </c>
      <c r="U53" s="89">
        <f t="shared" si="40"/>
        <v>118600.67156572932</v>
      </c>
      <c r="V53" s="89">
        <f>SUM(Table27[[#This Row],[Payment 1 - 9/1/22]:[Payment 18 -2038]])</f>
        <v>2051126.9092376225</v>
      </c>
    </row>
    <row r="54" spans="1:22" x14ac:dyDescent="0.3">
      <c r="A54" s="1" t="s">
        <v>382</v>
      </c>
      <c r="B54" s="1">
        <v>72</v>
      </c>
      <c r="C54" s="1">
        <v>1.7025476236006132E-2</v>
      </c>
      <c r="D54" s="89">
        <f t="shared" si="23"/>
        <v>78354.038072571988</v>
      </c>
      <c r="E54" s="89">
        <f t="shared" si="24"/>
        <v>39311.441432759188</v>
      </c>
      <c r="F54" s="89">
        <f t="shared" si="25"/>
        <v>84404.275230938001</v>
      </c>
      <c r="G54" s="89">
        <f t="shared" si="26"/>
        <v>74978.62674318823</v>
      </c>
      <c r="H54" s="149">
        <f t="shared" si="27"/>
        <v>74978.62674318823</v>
      </c>
      <c r="I54" s="149">
        <f t="shared" si="28"/>
        <v>74978.62674318823</v>
      </c>
      <c r="J54" s="89">
        <f t="shared" si="29"/>
        <v>91621.815496856856</v>
      </c>
      <c r="K54" s="89">
        <f t="shared" si="30"/>
        <v>107758.29375356433</v>
      </c>
      <c r="L54" s="89">
        <f t="shared" si="31"/>
        <v>107758.29375356434</v>
      </c>
      <c r="M54" s="89">
        <f t="shared" si="32"/>
        <v>107758.29375356434</v>
      </c>
      <c r="N54" s="89">
        <f t="shared" si="33"/>
        <v>90581.721040304328</v>
      </c>
      <c r="O54" s="89">
        <f t="shared" si="34"/>
        <v>90581.721040304343</v>
      </c>
      <c r="P54" s="89">
        <f t="shared" si="35"/>
        <v>90581.721040304343</v>
      </c>
      <c r="Q54" s="89">
        <f t="shared" si="36"/>
        <v>90581.721040304343</v>
      </c>
      <c r="R54" s="89">
        <f t="shared" si="37"/>
        <v>90581.721040304343</v>
      </c>
      <c r="S54" s="89">
        <f t="shared" si="38"/>
        <v>90581.721040304343</v>
      </c>
      <c r="T54" s="89">
        <f t="shared" si="39"/>
        <v>90581.721040304343</v>
      </c>
      <c r="U54" s="89">
        <f t="shared" si="40"/>
        <v>90581.721040304343</v>
      </c>
      <c r="V54" s="89">
        <f>SUM(Table27[[#This Row],[Payment 1 - 9/1/22]:[Payment 18 -2038]])</f>
        <v>1566556.1000458181</v>
      </c>
    </row>
    <row r="55" spans="1:22" x14ac:dyDescent="0.3">
      <c r="A55" s="1" t="s">
        <v>252</v>
      </c>
      <c r="B55" s="1">
        <v>73</v>
      </c>
      <c r="C55" s="1">
        <v>3.3589734259177564E-2</v>
      </c>
      <c r="D55" s="89">
        <f t="shared" si="23"/>
        <v>154585.47417458723</v>
      </c>
      <c r="E55" s="89">
        <f t="shared" si="24"/>
        <v>77557.940392823919</v>
      </c>
      <c r="F55" s="89">
        <f t="shared" si="25"/>
        <v>166522.04825553574</v>
      </c>
      <c r="G55" s="89">
        <f t="shared" si="26"/>
        <v>147926.09102443259</v>
      </c>
      <c r="H55" s="149">
        <f t="shared" si="27"/>
        <v>147926.09102443259</v>
      </c>
      <c r="I55" s="149">
        <f t="shared" si="28"/>
        <v>147926.09102443259</v>
      </c>
      <c r="J55" s="89">
        <f t="shared" si="29"/>
        <v>180761.60644330713</v>
      </c>
      <c r="K55" s="89">
        <f t="shared" si="30"/>
        <v>212597.42759793164</v>
      </c>
      <c r="L55" s="89">
        <f t="shared" si="31"/>
        <v>212597.42759793167</v>
      </c>
      <c r="M55" s="89">
        <f t="shared" si="32"/>
        <v>212597.42759793167</v>
      </c>
      <c r="N55" s="89">
        <f t="shared" si="33"/>
        <v>178709.5935706124</v>
      </c>
      <c r="O55" s="89">
        <f t="shared" si="34"/>
        <v>178709.59357061243</v>
      </c>
      <c r="P55" s="89">
        <f t="shared" si="35"/>
        <v>178709.59357061243</v>
      </c>
      <c r="Q55" s="89">
        <f t="shared" si="36"/>
        <v>178709.59357061243</v>
      </c>
      <c r="R55" s="89">
        <f t="shared" si="37"/>
        <v>178709.59357061243</v>
      </c>
      <c r="S55" s="89">
        <f t="shared" si="38"/>
        <v>178709.59357061243</v>
      </c>
      <c r="T55" s="89">
        <f t="shared" si="39"/>
        <v>178709.59357061243</v>
      </c>
      <c r="U55" s="89">
        <f t="shared" si="40"/>
        <v>178709.59357061243</v>
      </c>
      <c r="V55" s="89">
        <f>SUM(Table27[[#This Row],[Payment 1 - 9/1/22]:[Payment 18 -2038]])</f>
        <v>3090674.3736982457</v>
      </c>
    </row>
    <row r="56" spans="1:22" x14ac:dyDescent="0.3">
      <c r="A56" s="1" t="s">
        <v>253</v>
      </c>
      <c r="B56" s="1">
        <v>74</v>
      </c>
      <c r="C56" s="1">
        <v>1.9670095685887977E-2</v>
      </c>
      <c r="D56" s="89">
        <f t="shared" si="23"/>
        <v>90525.011159672882</v>
      </c>
      <c r="E56" s="89">
        <f t="shared" si="24"/>
        <v>45417.808219498424</v>
      </c>
      <c r="F56" s="89">
        <f t="shared" si="25"/>
        <v>97515.050215126146</v>
      </c>
      <c r="G56" s="89">
        <f t="shared" si="26"/>
        <v>86625.286834323633</v>
      </c>
      <c r="H56" s="149">
        <f t="shared" si="27"/>
        <v>86625.286834323633</v>
      </c>
      <c r="I56" s="149">
        <f t="shared" si="28"/>
        <v>86625.286834323633</v>
      </c>
      <c r="J56" s="89">
        <f t="shared" si="29"/>
        <v>105853.71315056464</v>
      </c>
      <c r="K56" s="89">
        <f t="shared" si="30"/>
        <v>124496.72007400237</v>
      </c>
      <c r="L56" s="89">
        <f t="shared" si="31"/>
        <v>124496.72007400238</v>
      </c>
      <c r="M56" s="89">
        <f t="shared" si="32"/>
        <v>124496.72007400238</v>
      </c>
      <c r="N56" s="89">
        <f t="shared" si="33"/>
        <v>104652.05763155586</v>
      </c>
      <c r="O56" s="89">
        <f t="shared" si="34"/>
        <v>104652.05763155587</v>
      </c>
      <c r="P56" s="89">
        <f t="shared" si="35"/>
        <v>104652.05763155587</v>
      </c>
      <c r="Q56" s="89">
        <f t="shared" si="36"/>
        <v>104652.05763155587</v>
      </c>
      <c r="R56" s="89">
        <f t="shared" si="37"/>
        <v>104652.05763155587</v>
      </c>
      <c r="S56" s="89">
        <f t="shared" si="38"/>
        <v>104652.05763155587</v>
      </c>
      <c r="T56" s="89">
        <f t="shared" si="39"/>
        <v>104652.05763155587</v>
      </c>
      <c r="U56" s="89">
        <f t="shared" si="40"/>
        <v>104652.05763155587</v>
      </c>
      <c r="V56" s="89">
        <f>SUM(Table27[[#This Row],[Payment 1 - 9/1/22]:[Payment 18 -2038]])</f>
        <v>1809894.0645222878</v>
      </c>
    </row>
    <row r="57" spans="1:22" x14ac:dyDescent="0.3">
      <c r="A57" s="1" t="s">
        <v>254</v>
      </c>
      <c r="B57" s="1">
        <v>75</v>
      </c>
      <c r="C57" s="1">
        <v>1.800133804746315E-2</v>
      </c>
      <c r="D57" s="89">
        <f t="shared" si="23"/>
        <v>82845.114414199707</v>
      </c>
      <c r="E57" s="89">
        <f t="shared" si="24"/>
        <v>41564.684391474686</v>
      </c>
      <c r="F57" s="89">
        <f t="shared" si="25"/>
        <v>89242.137489814908</v>
      </c>
      <c r="G57" s="89">
        <f t="shared" si="26"/>
        <v>79276.23213759283</v>
      </c>
      <c r="H57" s="149">
        <f t="shared" si="27"/>
        <v>79276.23213759283</v>
      </c>
      <c r="I57" s="149">
        <f t="shared" si="28"/>
        <v>79276.23213759283</v>
      </c>
      <c r="J57" s="89">
        <f t="shared" si="29"/>
        <v>96873.37084839851</v>
      </c>
      <c r="K57" s="89">
        <f t="shared" si="30"/>
        <v>113934.75556198529</v>
      </c>
      <c r="L57" s="89">
        <f t="shared" si="31"/>
        <v>113934.75556198531</v>
      </c>
      <c r="M57" s="89">
        <f t="shared" si="32"/>
        <v>113934.75556198531</v>
      </c>
      <c r="N57" s="89">
        <f t="shared" si="33"/>
        <v>95773.660528748354</v>
      </c>
      <c r="O57" s="89">
        <f t="shared" si="34"/>
        <v>95773.660528748384</v>
      </c>
      <c r="P57" s="89">
        <f t="shared" si="35"/>
        <v>95773.660528748384</v>
      </c>
      <c r="Q57" s="89">
        <f t="shared" si="36"/>
        <v>95773.660528748384</v>
      </c>
      <c r="R57" s="89">
        <f t="shared" si="37"/>
        <v>95773.660528748384</v>
      </c>
      <c r="S57" s="89">
        <f t="shared" si="38"/>
        <v>95773.660528748384</v>
      </c>
      <c r="T57" s="89">
        <f t="shared" si="39"/>
        <v>95773.660528748384</v>
      </c>
      <c r="U57" s="89">
        <f t="shared" si="40"/>
        <v>95773.660528748384</v>
      </c>
      <c r="V57" s="89">
        <f>SUM(Table27[[#This Row],[Payment 1 - 9/1/22]:[Payment 18 -2038]])</f>
        <v>1656347.5544726087</v>
      </c>
    </row>
    <row r="58" spans="1:22" x14ac:dyDescent="0.3">
      <c r="A58" s="1" t="s">
        <v>255</v>
      </c>
      <c r="B58" s="1">
        <v>76</v>
      </c>
      <c r="C58" s="1">
        <v>2.6954678464726406E-2</v>
      </c>
      <c r="D58" s="89">
        <f t="shared" si="23"/>
        <v>124049.85760060875</v>
      </c>
      <c r="E58" s="89">
        <f t="shared" si="24"/>
        <v>62237.745900112153</v>
      </c>
      <c r="F58" s="89">
        <f t="shared" si="25"/>
        <v>133628.57334273896</v>
      </c>
      <c r="G58" s="89">
        <f t="shared" si="26"/>
        <v>118705.91738956672</v>
      </c>
      <c r="H58" s="149">
        <f t="shared" si="27"/>
        <v>118705.91738956672</v>
      </c>
      <c r="I58" s="149">
        <f t="shared" si="28"/>
        <v>118705.91738956672</v>
      </c>
      <c r="J58" s="89">
        <f t="shared" si="29"/>
        <v>145055.35955871711</v>
      </c>
      <c r="K58" s="89">
        <f t="shared" si="30"/>
        <v>170602.57932122471</v>
      </c>
      <c r="L58" s="89">
        <f t="shared" si="31"/>
        <v>170602.57932122474</v>
      </c>
      <c r="M58" s="89">
        <f t="shared" si="32"/>
        <v>170602.57932122474</v>
      </c>
      <c r="N58" s="89">
        <f t="shared" si="33"/>
        <v>143408.68540636497</v>
      </c>
      <c r="O58" s="89">
        <f t="shared" si="34"/>
        <v>143408.68540636497</v>
      </c>
      <c r="P58" s="89">
        <f t="shared" si="35"/>
        <v>143408.68540636497</v>
      </c>
      <c r="Q58" s="89">
        <f t="shared" si="36"/>
        <v>143408.68540636497</v>
      </c>
      <c r="R58" s="89">
        <f t="shared" si="37"/>
        <v>143408.68540636497</v>
      </c>
      <c r="S58" s="89">
        <f t="shared" si="38"/>
        <v>143408.68540636497</v>
      </c>
      <c r="T58" s="89">
        <f t="shared" si="39"/>
        <v>143408.68540636497</v>
      </c>
      <c r="U58" s="89">
        <f t="shared" si="40"/>
        <v>143408.68540636497</v>
      </c>
      <c r="V58" s="89">
        <f>SUM(Table27[[#This Row],[Payment 1 - 9/1/22]:[Payment 18 -2038]])</f>
        <v>2480166.509785471</v>
      </c>
    </row>
    <row r="59" spans="1:22" x14ac:dyDescent="0.3">
      <c r="A59" s="1" t="s">
        <v>256</v>
      </c>
      <c r="B59" s="1">
        <v>77</v>
      </c>
      <c r="C59" s="1">
        <v>5.0635952115548298E-3</v>
      </c>
      <c r="D59" s="89">
        <f t="shared" si="23"/>
        <v>23303.496859088824</v>
      </c>
      <c r="E59" s="89">
        <f t="shared" si="24"/>
        <v>11691.727376016872</v>
      </c>
      <c r="F59" s="89">
        <f t="shared" si="25"/>
        <v>25102.915065029116</v>
      </c>
      <c r="G59" s="89">
        <f t="shared" si="26"/>
        <v>22299.606195029206</v>
      </c>
      <c r="H59" s="149">
        <f t="shared" si="27"/>
        <v>22299.606195029206</v>
      </c>
      <c r="I59" s="149">
        <f t="shared" si="28"/>
        <v>22299.606195029206</v>
      </c>
      <c r="J59" s="89">
        <f t="shared" si="29"/>
        <v>27249.50420139762</v>
      </c>
      <c r="K59" s="89">
        <f t="shared" si="30"/>
        <v>32048.70000064476</v>
      </c>
      <c r="L59" s="89">
        <f t="shared" si="31"/>
        <v>32048.700000644763</v>
      </c>
      <c r="M59" s="89">
        <f t="shared" si="32"/>
        <v>32048.700000644763</v>
      </c>
      <c r="N59" s="89">
        <f t="shared" si="33"/>
        <v>26940.166756925672</v>
      </c>
      <c r="O59" s="89">
        <f t="shared" si="34"/>
        <v>26940.166756925675</v>
      </c>
      <c r="P59" s="89">
        <f t="shared" si="35"/>
        <v>26940.166756925675</v>
      </c>
      <c r="Q59" s="89">
        <f t="shared" si="36"/>
        <v>26940.166756925675</v>
      </c>
      <c r="R59" s="89">
        <f t="shared" si="37"/>
        <v>26940.166756925675</v>
      </c>
      <c r="S59" s="89">
        <f t="shared" si="38"/>
        <v>26940.166756925675</v>
      </c>
      <c r="T59" s="89">
        <f t="shared" si="39"/>
        <v>26940.166756925675</v>
      </c>
      <c r="U59" s="89">
        <f t="shared" si="40"/>
        <v>26940.166756925675</v>
      </c>
      <c r="V59" s="89">
        <f>SUM(Table27[[#This Row],[Payment 1 - 9/1/22]:[Payment 18 -2038]])</f>
        <v>465913.89614395989</v>
      </c>
    </row>
    <row r="60" spans="1:22" x14ac:dyDescent="0.3">
      <c r="A60" s="1" t="s">
        <v>376</v>
      </c>
      <c r="B60" s="1">
        <v>79</v>
      </c>
      <c r="C60" s="1">
        <v>9.101098154981448E-3</v>
      </c>
      <c r="D60" s="89">
        <f t="shared" si="23"/>
        <v>41884.748564596579</v>
      </c>
      <c r="E60" s="89">
        <f t="shared" si="24"/>
        <v>21014.230799412515</v>
      </c>
      <c r="F60" s="89">
        <f t="shared" si="25"/>
        <v>45118.948975552135</v>
      </c>
      <c r="G60" s="89">
        <f t="shared" si="26"/>
        <v>40080.396698233497</v>
      </c>
      <c r="H60" s="149">
        <f t="shared" si="27"/>
        <v>40080.396698233497</v>
      </c>
      <c r="I60" s="149">
        <f t="shared" si="28"/>
        <v>40080.396698233497</v>
      </c>
      <c r="J60" s="89">
        <f t="shared" si="29"/>
        <v>48977.14016428023</v>
      </c>
      <c r="K60" s="89">
        <f t="shared" si="30"/>
        <v>57603.017670099078</v>
      </c>
      <c r="L60" s="89">
        <f t="shared" si="31"/>
        <v>57603.017670099085</v>
      </c>
      <c r="M60" s="89">
        <f t="shared" si="32"/>
        <v>57603.017670099085</v>
      </c>
      <c r="N60" s="89">
        <f t="shared" si="33"/>
        <v>48421.149740968751</v>
      </c>
      <c r="O60" s="89">
        <f t="shared" si="34"/>
        <v>48421.149740968758</v>
      </c>
      <c r="P60" s="89">
        <f t="shared" si="35"/>
        <v>48421.149740968758</v>
      </c>
      <c r="Q60" s="89">
        <f t="shared" si="36"/>
        <v>48421.149740968758</v>
      </c>
      <c r="R60" s="89">
        <f t="shared" si="37"/>
        <v>48421.149740968758</v>
      </c>
      <c r="S60" s="89">
        <f t="shared" si="38"/>
        <v>48421.149740968758</v>
      </c>
      <c r="T60" s="89">
        <f t="shared" si="39"/>
        <v>48421.149740968758</v>
      </c>
      <c r="U60" s="89">
        <f t="shared" si="40"/>
        <v>48421.149740968758</v>
      </c>
      <c r="V60" s="89">
        <f>SUM(Table27[[#This Row],[Payment 1 - 9/1/22]:[Payment 18 -2038]])</f>
        <v>837414.50953658903</v>
      </c>
    </row>
    <row r="61" spans="1:22" x14ac:dyDescent="0.3">
      <c r="A61" s="1" t="s">
        <v>375</v>
      </c>
      <c r="B61" s="1">
        <v>80</v>
      </c>
      <c r="C61" s="1">
        <v>4.4988041871105808E-3</v>
      </c>
      <c r="D61" s="89">
        <f t="shared" si="23"/>
        <v>20704.235797670626</v>
      </c>
      <c r="E61" s="89">
        <f t="shared" si="24"/>
        <v>10387.637612452259</v>
      </c>
      <c r="F61" s="89">
        <f t="shared" si="25"/>
        <v>22302.947744623722</v>
      </c>
      <c r="G61" s="89">
        <f t="shared" si="26"/>
        <v>19812.318625348737</v>
      </c>
      <c r="H61" s="149">
        <f t="shared" si="27"/>
        <v>19812.318625348737</v>
      </c>
      <c r="I61" s="149">
        <f t="shared" si="28"/>
        <v>19812.318625348737</v>
      </c>
      <c r="J61" s="89">
        <f t="shared" si="29"/>
        <v>24210.107339976803</v>
      </c>
      <c r="K61" s="89">
        <f t="shared" si="30"/>
        <v>28474.003100670299</v>
      </c>
      <c r="L61" s="89">
        <f t="shared" si="31"/>
        <v>28474.003100670307</v>
      </c>
      <c r="M61" s="89">
        <f t="shared" si="32"/>
        <v>28474.003100670307</v>
      </c>
      <c r="N61" s="89">
        <f t="shared" si="33"/>
        <v>23935.273248332818</v>
      </c>
      <c r="O61" s="89">
        <f t="shared" si="34"/>
        <v>23935.273248332822</v>
      </c>
      <c r="P61" s="89">
        <f t="shared" si="35"/>
        <v>23935.273248332822</v>
      </c>
      <c r="Q61" s="89">
        <f t="shared" si="36"/>
        <v>23935.273248332822</v>
      </c>
      <c r="R61" s="89">
        <f t="shared" si="37"/>
        <v>23935.273248332822</v>
      </c>
      <c r="S61" s="89">
        <f t="shared" si="38"/>
        <v>23935.273248332822</v>
      </c>
      <c r="T61" s="89">
        <f t="shared" si="39"/>
        <v>23935.273248332822</v>
      </c>
      <c r="U61" s="89">
        <f t="shared" si="40"/>
        <v>23935.273248332822</v>
      </c>
      <c r="V61" s="89">
        <f>SUM(Table27[[#This Row],[Payment 1 - 9/1/22]:[Payment 18 -2038]])</f>
        <v>413946.07965944317</v>
      </c>
    </row>
    <row r="62" spans="1:22" x14ac:dyDescent="0.3">
      <c r="A62" s="1" t="s">
        <v>374</v>
      </c>
      <c r="B62" s="1">
        <v>81</v>
      </c>
      <c r="C62" s="1">
        <v>4.4444444444444453E-3</v>
      </c>
      <c r="D62" s="89">
        <f t="shared" si="23"/>
        <v>20454.063333333339</v>
      </c>
      <c r="E62" s="89">
        <f t="shared" si="24"/>
        <v>10262.122190122967</v>
      </c>
      <c r="F62" s="89">
        <f t="shared" si="25"/>
        <v>22033.457798035786</v>
      </c>
      <c r="G62" s="89">
        <f t="shared" si="26"/>
        <v>19572.923333333336</v>
      </c>
      <c r="H62" s="149">
        <f t="shared" si="27"/>
        <v>19572.923333333336</v>
      </c>
      <c r="I62" s="149">
        <f t="shared" si="28"/>
        <v>19572.923333333336</v>
      </c>
      <c r="J62" s="89">
        <f t="shared" si="29"/>
        <v>23917.57289078</v>
      </c>
      <c r="K62" s="89">
        <f t="shared" si="30"/>
        <v>28129.947343439999</v>
      </c>
      <c r="L62" s="89">
        <f t="shared" si="31"/>
        <v>28129.947343440002</v>
      </c>
      <c r="M62" s="89">
        <f t="shared" si="32"/>
        <v>28129.947343440002</v>
      </c>
      <c r="N62" s="89">
        <f t="shared" si="33"/>
        <v>23646.059661720003</v>
      </c>
      <c r="O62" s="89">
        <f t="shared" si="34"/>
        <v>23646.059661720006</v>
      </c>
      <c r="P62" s="89">
        <f t="shared" si="35"/>
        <v>23646.059661720006</v>
      </c>
      <c r="Q62" s="89">
        <f t="shared" si="36"/>
        <v>23646.059661720006</v>
      </c>
      <c r="R62" s="89">
        <f t="shared" si="37"/>
        <v>23646.059661720006</v>
      </c>
      <c r="S62" s="89">
        <f t="shared" si="38"/>
        <v>23646.059661720006</v>
      </c>
      <c r="T62" s="89">
        <f t="shared" si="39"/>
        <v>23646.059661720006</v>
      </c>
      <c r="U62" s="89">
        <f t="shared" si="40"/>
        <v>23646.059661720006</v>
      </c>
      <c r="V62" s="89">
        <f>SUM(Table27[[#This Row],[Payment 1 - 9/1/22]:[Payment 18 -2038]])</f>
        <v>408944.30553635216</v>
      </c>
    </row>
    <row r="63" spans="1:22" x14ac:dyDescent="0.3">
      <c r="A63" s="1" t="s">
        <v>373</v>
      </c>
      <c r="B63" s="1">
        <v>82</v>
      </c>
      <c r="C63" s="1">
        <v>8.8888888888888904E-4</v>
      </c>
      <c r="D63" s="89">
        <f t="shared" si="23"/>
        <v>4090.8126666666672</v>
      </c>
      <c r="E63" s="89">
        <f t="shared" si="24"/>
        <v>2052.4244380245932</v>
      </c>
      <c r="F63" s="89">
        <f t="shared" si="25"/>
        <v>4406.6915596071576</v>
      </c>
      <c r="G63" s="89">
        <f t="shared" si="26"/>
        <v>3914.5846666666675</v>
      </c>
      <c r="H63" s="149">
        <f t="shared" si="27"/>
        <v>3914.5846666666675</v>
      </c>
      <c r="I63" s="149">
        <f t="shared" si="28"/>
        <v>3914.5846666666675</v>
      </c>
      <c r="J63" s="89">
        <f t="shared" si="29"/>
        <v>4783.5145781560004</v>
      </c>
      <c r="K63" s="89">
        <f t="shared" si="30"/>
        <v>5625.9894686879998</v>
      </c>
      <c r="L63" s="89">
        <f t="shared" si="31"/>
        <v>5625.9894686880007</v>
      </c>
      <c r="M63" s="89">
        <f t="shared" si="32"/>
        <v>5625.9894686880007</v>
      </c>
      <c r="N63" s="89">
        <f t="shared" si="33"/>
        <v>4729.2119323440002</v>
      </c>
      <c r="O63" s="89">
        <f t="shared" si="34"/>
        <v>4729.2119323440011</v>
      </c>
      <c r="P63" s="89">
        <f t="shared" si="35"/>
        <v>4729.2119323440011</v>
      </c>
      <c r="Q63" s="89">
        <f t="shared" si="36"/>
        <v>4729.2119323440011</v>
      </c>
      <c r="R63" s="89">
        <f t="shared" si="37"/>
        <v>4729.2119323440011</v>
      </c>
      <c r="S63" s="89">
        <f t="shared" si="38"/>
        <v>4729.2119323440011</v>
      </c>
      <c r="T63" s="89">
        <f t="shared" si="39"/>
        <v>4729.2119323440011</v>
      </c>
      <c r="U63" s="89">
        <f t="shared" si="40"/>
        <v>4729.2119323440011</v>
      </c>
      <c r="V63" s="89">
        <f>SUM(Table27[[#This Row],[Payment 1 - 9/1/22]:[Payment 18 -2038]])</f>
        <v>81788.861107270408</v>
      </c>
    </row>
    <row r="64" spans="1:22" x14ac:dyDescent="0.3">
      <c r="A64" s="1" t="s">
        <v>372</v>
      </c>
      <c r="B64" s="1">
        <v>83</v>
      </c>
      <c r="C64" s="1">
        <v>2.2222222222222227E-3</v>
      </c>
      <c r="D64" s="89">
        <f t="shared" si="23"/>
        <v>10227.031666666669</v>
      </c>
      <c r="E64" s="89">
        <f t="shared" si="24"/>
        <v>5131.0610950614837</v>
      </c>
      <c r="F64" s="89">
        <f t="shared" si="25"/>
        <v>11016.728899017893</v>
      </c>
      <c r="G64" s="89">
        <f t="shared" si="26"/>
        <v>9786.461666666668</v>
      </c>
      <c r="H64" s="149">
        <f t="shared" si="27"/>
        <v>9786.461666666668</v>
      </c>
      <c r="I64" s="149">
        <f t="shared" si="28"/>
        <v>9786.461666666668</v>
      </c>
      <c r="J64" s="89">
        <f t="shared" si="29"/>
        <v>11958.78644539</v>
      </c>
      <c r="K64" s="89">
        <f t="shared" si="30"/>
        <v>14064.973671719999</v>
      </c>
      <c r="L64" s="89">
        <f t="shared" si="31"/>
        <v>14064.973671720001</v>
      </c>
      <c r="M64" s="89">
        <f t="shared" si="32"/>
        <v>14064.973671720001</v>
      </c>
      <c r="N64" s="89">
        <f t="shared" si="33"/>
        <v>11823.029830860001</v>
      </c>
      <c r="O64" s="89">
        <f t="shared" si="34"/>
        <v>11823.029830860003</v>
      </c>
      <c r="P64" s="89">
        <f t="shared" si="35"/>
        <v>11823.029830860003</v>
      </c>
      <c r="Q64" s="89">
        <f t="shared" si="36"/>
        <v>11823.029830860003</v>
      </c>
      <c r="R64" s="89">
        <f t="shared" si="37"/>
        <v>11823.029830860003</v>
      </c>
      <c r="S64" s="89">
        <f t="shared" si="38"/>
        <v>11823.029830860003</v>
      </c>
      <c r="T64" s="89">
        <f t="shared" si="39"/>
        <v>11823.029830860003</v>
      </c>
      <c r="U64" s="89">
        <f t="shared" si="40"/>
        <v>11823.029830860003</v>
      </c>
      <c r="V64" s="89">
        <f>SUM(Table27[[#This Row],[Payment 1 - 9/1/22]:[Payment 18 -2038]])</f>
        <v>204472.15276817608</v>
      </c>
    </row>
    <row r="65" spans="1:22" x14ac:dyDescent="0.3">
      <c r="A65" s="1" t="s">
        <v>371</v>
      </c>
      <c r="B65" s="1">
        <v>84</v>
      </c>
      <c r="C65" s="1">
        <v>8.8888888888888904E-4</v>
      </c>
      <c r="D65" s="89">
        <f t="shared" si="23"/>
        <v>4090.8126666666672</v>
      </c>
      <c r="E65" s="89">
        <f t="shared" si="24"/>
        <v>2052.4244380245932</v>
      </c>
      <c r="F65" s="89">
        <f t="shared" si="25"/>
        <v>4406.6915596071576</v>
      </c>
      <c r="G65" s="89">
        <f t="shared" si="26"/>
        <v>3914.5846666666675</v>
      </c>
      <c r="H65" s="149">
        <f t="shared" si="27"/>
        <v>3914.5846666666675</v>
      </c>
      <c r="I65" s="149">
        <f t="shared" si="28"/>
        <v>3914.5846666666675</v>
      </c>
      <c r="J65" s="89">
        <f t="shared" si="29"/>
        <v>4783.5145781560004</v>
      </c>
      <c r="K65" s="89">
        <f t="shared" si="30"/>
        <v>5625.9894686879998</v>
      </c>
      <c r="L65" s="89">
        <f t="shared" si="31"/>
        <v>5625.9894686880007</v>
      </c>
      <c r="M65" s="89">
        <f t="shared" si="32"/>
        <v>5625.9894686880007</v>
      </c>
      <c r="N65" s="89">
        <f t="shared" si="33"/>
        <v>4729.2119323440002</v>
      </c>
      <c r="O65" s="89">
        <f t="shared" si="34"/>
        <v>4729.2119323440011</v>
      </c>
      <c r="P65" s="89">
        <f t="shared" si="35"/>
        <v>4729.2119323440011</v>
      </c>
      <c r="Q65" s="89">
        <f t="shared" si="36"/>
        <v>4729.2119323440011</v>
      </c>
      <c r="R65" s="89">
        <f t="shared" si="37"/>
        <v>4729.2119323440011</v>
      </c>
      <c r="S65" s="89">
        <f t="shared" si="38"/>
        <v>4729.2119323440011</v>
      </c>
      <c r="T65" s="89">
        <f t="shared" si="39"/>
        <v>4729.2119323440011</v>
      </c>
      <c r="U65" s="89">
        <f t="shared" si="40"/>
        <v>4729.2119323440011</v>
      </c>
      <c r="V65" s="89">
        <f>SUM(Table27[[#This Row],[Payment 1 - 9/1/22]:[Payment 18 -2038]])</f>
        <v>81788.861107270408</v>
      </c>
    </row>
    <row r="66" spans="1:22" x14ac:dyDescent="0.3">
      <c r="A66" s="1" t="s">
        <v>370</v>
      </c>
      <c r="B66" s="1">
        <v>85</v>
      </c>
      <c r="C66" s="1">
        <v>8.8888888888888904E-4</v>
      </c>
      <c r="D66" s="89">
        <f t="shared" si="23"/>
        <v>4090.8126666666672</v>
      </c>
      <c r="E66" s="89">
        <f t="shared" si="24"/>
        <v>2052.4244380245932</v>
      </c>
      <c r="F66" s="89">
        <f t="shared" si="25"/>
        <v>4406.6915596071576</v>
      </c>
      <c r="G66" s="89">
        <f t="shared" si="26"/>
        <v>3914.5846666666675</v>
      </c>
      <c r="H66" s="149">
        <f t="shared" si="27"/>
        <v>3914.5846666666675</v>
      </c>
      <c r="I66" s="149">
        <f t="shared" si="28"/>
        <v>3914.5846666666675</v>
      </c>
      <c r="J66" s="89">
        <f t="shared" si="29"/>
        <v>4783.5145781560004</v>
      </c>
      <c r="K66" s="89">
        <f t="shared" si="30"/>
        <v>5625.9894686879998</v>
      </c>
      <c r="L66" s="89">
        <f t="shared" si="31"/>
        <v>5625.9894686880007</v>
      </c>
      <c r="M66" s="89">
        <f t="shared" si="32"/>
        <v>5625.9894686880007</v>
      </c>
      <c r="N66" s="89">
        <f t="shared" si="33"/>
        <v>4729.2119323440002</v>
      </c>
      <c r="O66" s="89">
        <f t="shared" si="34"/>
        <v>4729.2119323440011</v>
      </c>
      <c r="P66" s="89">
        <f t="shared" si="35"/>
        <v>4729.2119323440011</v>
      </c>
      <c r="Q66" s="89">
        <f t="shared" si="36"/>
        <v>4729.2119323440011</v>
      </c>
      <c r="R66" s="89">
        <f t="shared" si="37"/>
        <v>4729.2119323440011</v>
      </c>
      <c r="S66" s="89">
        <f t="shared" si="38"/>
        <v>4729.2119323440011</v>
      </c>
      <c r="T66" s="89">
        <f t="shared" si="39"/>
        <v>4729.2119323440011</v>
      </c>
      <c r="U66" s="89">
        <f t="shared" si="40"/>
        <v>4729.2119323440011</v>
      </c>
      <c r="V66" s="89">
        <f>SUM(Table27[[#This Row],[Payment 1 - 9/1/22]:[Payment 18 -2038]])</f>
        <v>81788.861107270408</v>
      </c>
    </row>
    <row r="67" spans="1:22" x14ac:dyDescent="0.3">
      <c r="A67" s="1" t="s">
        <v>436</v>
      </c>
      <c r="B67" s="1">
        <v>86</v>
      </c>
      <c r="C67" s="1">
        <v>2.2222222222222227E-3</v>
      </c>
      <c r="D67" s="89">
        <f t="shared" si="23"/>
        <v>10227.031666666669</v>
      </c>
      <c r="E67" s="89">
        <f t="shared" si="24"/>
        <v>5131.0610950614837</v>
      </c>
      <c r="F67" s="89">
        <f t="shared" si="25"/>
        <v>11016.728899017893</v>
      </c>
      <c r="G67" s="89">
        <f t="shared" si="26"/>
        <v>9786.461666666668</v>
      </c>
      <c r="H67" s="149">
        <f t="shared" si="27"/>
        <v>9786.461666666668</v>
      </c>
      <c r="I67" s="149">
        <f t="shared" si="28"/>
        <v>9786.461666666668</v>
      </c>
      <c r="J67" s="89">
        <f t="shared" si="29"/>
        <v>11958.78644539</v>
      </c>
      <c r="K67" s="89">
        <f t="shared" si="30"/>
        <v>14064.973671719999</v>
      </c>
      <c r="L67" s="89">
        <f t="shared" si="31"/>
        <v>14064.973671720001</v>
      </c>
      <c r="M67" s="89">
        <f t="shared" si="32"/>
        <v>14064.973671720001</v>
      </c>
      <c r="N67" s="89">
        <f t="shared" si="33"/>
        <v>11823.029830860001</v>
      </c>
      <c r="O67" s="89">
        <f t="shared" si="34"/>
        <v>11823.029830860003</v>
      </c>
      <c r="P67" s="89">
        <f t="shared" si="35"/>
        <v>11823.029830860003</v>
      </c>
      <c r="Q67" s="89">
        <f t="shared" si="36"/>
        <v>11823.029830860003</v>
      </c>
      <c r="R67" s="89">
        <f t="shared" si="37"/>
        <v>11823.029830860003</v>
      </c>
      <c r="S67" s="89">
        <f t="shared" si="38"/>
        <v>11823.029830860003</v>
      </c>
      <c r="T67" s="89">
        <f t="shared" si="39"/>
        <v>11823.029830860003</v>
      </c>
      <c r="U67" s="89">
        <f t="shared" si="40"/>
        <v>11823.029830860003</v>
      </c>
      <c r="V67" s="89">
        <f>SUM(Table27[[#This Row],[Payment 1 - 9/1/22]:[Payment 18 -2038]])</f>
        <v>204472.15276817608</v>
      </c>
    </row>
    <row r="68" spans="1:22" x14ac:dyDescent="0.3">
      <c r="A68" s="1" t="s">
        <v>368</v>
      </c>
      <c r="B68" s="1">
        <v>87</v>
      </c>
      <c r="C68" s="1">
        <v>8.8888888888888904E-4</v>
      </c>
      <c r="D68" s="89">
        <f t="shared" si="23"/>
        <v>4090.8126666666672</v>
      </c>
      <c r="E68" s="89">
        <f t="shared" si="24"/>
        <v>2052.4244380245932</v>
      </c>
      <c r="F68" s="89">
        <f t="shared" si="25"/>
        <v>4406.6915596071576</v>
      </c>
      <c r="G68" s="89">
        <f t="shared" si="26"/>
        <v>3914.5846666666675</v>
      </c>
      <c r="H68" s="149">
        <f t="shared" si="27"/>
        <v>3914.5846666666675</v>
      </c>
      <c r="I68" s="149">
        <f t="shared" si="28"/>
        <v>3914.5846666666675</v>
      </c>
      <c r="J68" s="89">
        <f t="shared" si="29"/>
        <v>4783.5145781560004</v>
      </c>
      <c r="K68" s="89">
        <f t="shared" si="30"/>
        <v>5625.9894686879998</v>
      </c>
      <c r="L68" s="89">
        <f t="shared" si="31"/>
        <v>5625.9894686880007</v>
      </c>
      <c r="M68" s="89">
        <f t="shared" si="32"/>
        <v>5625.9894686880007</v>
      </c>
      <c r="N68" s="89">
        <f t="shared" si="33"/>
        <v>4729.2119323440002</v>
      </c>
      <c r="O68" s="89">
        <f t="shared" si="34"/>
        <v>4729.2119323440011</v>
      </c>
      <c r="P68" s="89">
        <f t="shared" si="35"/>
        <v>4729.2119323440011</v>
      </c>
      <c r="Q68" s="89">
        <f t="shared" si="36"/>
        <v>4729.2119323440011</v>
      </c>
      <c r="R68" s="89">
        <f t="shared" si="37"/>
        <v>4729.2119323440011</v>
      </c>
      <c r="S68" s="89">
        <f t="shared" si="38"/>
        <v>4729.2119323440011</v>
      </c>
      <c r="T68" s="89">
        <f t="shared" si="39"/>
        <v>4729.2119323440011</v>
      </c>
      <c r="U68" s="89">
        <f t="shared" si="40"/>
        <v>4729.2119323440011</v>
      </c>
      <c r="V68" s="89">
        <f>SUM(Table27[[#This Row],[Payment 1 - 9/1/22]:[Payment 18 -2038]])</f>
        <v>81788.861107270408</v>
      </c>
    </row>
    <row r="69" spans="1:22" x14ac:dyDescent="0.3">
      <c r="A69" s="1" t="s">
        <v>367</v>
      </c>
      <c r="B69" s="1">
        <v>88</v>
      </c>
      <c r="C69" s="1">
        <v>2.2222222222222227E-3</v>
      </c>
      <c r="D69" s="89">
        <f t="shared" si="23"/>
        <v>10227.031666666669</v>
      </c>
      <c r="E69" s="89">
        <f t="shared" si="24"/>
        <v>5131.0610950614837</v>
      </c>
      <c r="F69" s="89">
        <f t="shared" si="25"/>
        <v>11016.728899017893</v>
      </c>
      <c r="G69" s="89">
        <f t="shared" si="26"/>
        <v>9786.461666666668</v>
      </c>
      <c r="H69" s="149">
        <f t="shared" si="27"/>
        <v>9786.461666666668</v>
      </c>
      <c r="I69" s="149">
        <f t="shared" si="28"/>
        <v>9786.461666666668</v>
      </c>
      <c r="J69" s="89">
        <f t="shared" si="29"/>
        <v>11958.78644539</v>
      </c>
      <c r="K69" s="89">
        <f t="shared" si="30"/>
        <v>14064.973671719999</v>
      </c>
      <c r="L69" s="89">
        <f t="shared" si="31"/>
        <v>14064.973671720001</v>
      </c>
      <c r="M69" s="89">
        <f t="shared" si="32"/>
        <v>14064.973671720001</v>
      </c>
      <c r="N69" s="89">
        <f t="shared" si="33"/>
        <v>11823.029830860001</v>
      </c>
      <c r="O69" s="89">
        <f t="shared" si="34"/>
        <v>11823.029830860003</v>
      </c>
      <c r="P69" s="89">
        <f t="shared" si="35"/>
        <v>11823.029830860003</v>
      </c>
      <c r="Q69" s="89">
        <f t="shared" si="36"/>
        <v>11823.029830860003</v>
      </c>
      <c r="R69" s="89">
        <f t="shared" si="37"/>
        <v>11823.029830860003</v>
      </c>
      <c r="S69" s="89">
        <f t="shared" si="38"/>
        <v>11823.029830860003</v>
      </c>
      <c r="T69" s="89">
        <f t="shared" si="39"/>
        <v>11823.029830860003</v>
      </c>
      <c r="U69" s="89">
        <f t="shared" si="40"/>
        <v>11823.029830860003</v>
      </c>
      <c r="V69" s="89">
        <f>SUM(Table27[[#This Row],[Payment 1 - 9/1/22]:[Payment 18 -2038]])</f>
        <v>204472.15276817608</v>
      </c>
    </row>
    <row r="70" spans="1:22" x14ac:dyDescent="0.3">
      <c r="A70" s="1" t="s">
        <v>366</v>
      </c>
      <c r="B70" s="1">
        <v>89</v>
      </c>
      <c r="C70" s="1">
        <v>2.2222222222222227E-3</v>
      </c>
      <c r="D70" s="89">
        <f t="shared" si="23"/>
        <v>10227.031666666669</v>
      </c>
      <c r="E70" s="89">
        <f t="shared" si="24"/>
        <v>5131.0610950614837</v>
      </c>
      <c r="F70" s="89">
        <f t="shared" si="25"/>
        <v>11016.728899017893</v>
      </c>
      <c r="G70" s="89">
        <f t="shared" si="26"/>
        <v>9786.461666666668</v>
      </c>
      <c r="H70" s="149">
        <f t="shared" si="27"/>
        <v>9786.461666666668</v>
      </c>
      <c r="I70" s="149">
        <f t="shared" si="28"/>
        <v>9786.461666666668</v>
      </c>
      <c r="J70" s="89">
        <f t="shared" si="29"/>
        <v>11958.78644539</v>
      </c>
      <c r="K70" s="89">
        <f t="shared" si="30"/>
        <v>14064.973671719999</v>
      </c>
      <c r="L70" s="89">
        <f t="shared" si="31"/>
        <v>14064.973671720001</v>
      </c>
      <c r="M70" s="89">
        <f t="shared" si="32"/>
        <v>14064.973671720001</v>
      </c>
      <c r="N70" s="89">
        <f t="shared" si="33"/>
        <v>11823.029830860001</v>
      </c>
      <c r="O70" s="89">
        <f t="shared" si="34"/>
        <v>11823.029830860003</v>
      </c>
      <c r="P70" s="89">
        <f t="shared" si="35"/>
        <v>11823.029830860003</v>
      </c>
      <c r="Q70" s="89">
        <f t="shared" si="36"/>
        <v>11823.029830860003</v>
      </c>
      <c r="R70" s="89">
        <f t="shared" si="37"/>
        <v>11823.029830860003</v>
      </c>
      <c r="S70" s="89">
        <f t="shared" si="38"/>
        <v>11823.029830860003</v>
      </c>
      <c r="T70" s="89">
        <f t="shared" si="39"/>
        <v>11823.029830860003</v>
      </c>
      <c r="U70" s="89">
        <f t="shared" si="40"/>
        <v>11823.029830860003</v>
      </c>
      <c r="V70" s="89">
        <f>SUM(Table27[[#This Row],[Payment 1 - 9/1/22]:[Payment 18 -2038]])</f>
        <v>204472.15276817608</v>
      </c>
    </row>
    <row r="71" spans="1:22" x14ac:dyDescent="0.3">
      <c r="A71" s="1" t="s">
        <v>365</v>
      </c>
      <c r="B71" s="1">
        <v>90</v>
      </c>
      <c r="C71" s="1">
        <v>2.2222222222222227E-3</v>
      </c>
      <c r="D71" s="89">
        <f t="shared" si="23"/>
        <v>10227.031666666669</v>
      </c>
      <c r="E71" s="89">
        <f t="shared" si="24"/>
        <v>5131.0610950614837</v>
      </c>
      <c r="F71" s="89">
        <f t="shared" si="25"/>
        <v>11016.728899017893</v>
      </c>
      <c r="G71" s="89">
        <f t="shared" si="26"/>
        <v>9786.461666666668</v>
      </c>
      <c r="H71" s="149">
        <f t="shared" si="27"/>
        <v>9786.461666666668</v>
      </c>
      <c r="I71" s="149">
        <f t="shared" si="28"/>
        <v>9786.461666666668</v>
      </c>
      <c r="J71" s="89">
        <f t="shared" si="29"/>
        <v>11958.78644539</v>
      </c>
      <c r="K71" s="89">
        <f t="shared" si="30"/>
        <v>14064.973671719999</v>
      </c>
      <c r="L71" s="89">
        <f t="shared" si="31"/>
        <v>14064.973671720001</v>
      </c>
      <c r="M71" s="89">
        <f t="shared" si="32"/>
        <v>14064.973671720001</v>
      </c>
      <c r="N71" s="89">
        <f t="shared" si="33"/>
        <v>11823.029830860001</v>
      </c>
      <c r="O71" s="89">
        <f t="shared" si="34"/>
        <v>11823.029830860003</v>
      </c>
      <c r="P71" s="89">
        <f t="shared" si="35"/>
        <v>11823.029830860003</v>
      </c>
      <c r="Q71" s="89">
        <f t="shared" si="36"/>
        <v>11823.029830860003</v>
      </c>
      <c r="R71" s="89">
        <f t="shared" si="37"/>
        <v>11823.029830860003</v>
      </c>
      <c r="S71" s="89">
        <f t="shared" si="38"/>
        <v>11823.029830860003</v>
      </c>
      <c r="T71" s="89">
        <f t="shared" si="39"/>
        <v>11823.029830860003</v>
      </c>
      <c r="U71" s="89">
        <f t="shared" si="40"/>
        <v>11823.029830860003</v>
      </c>
      <c r="V71" s="89">
        <f>SUM(Table27[[#This Row],[Payment 1 - 9/1/22]:[Payment 18 -2038]])</f>
        <v>204472.15276817608</v>
      </c>
    </row>
    <row r="72" spans="1:22" x14ac:dyDescent="0.3">
      <c r="A72" s="1" t="s">
        <v>257</v>
      </c>
      <c r="B72" s="1">
        <v>91</v>
      </c>
      <c r="C72" s="1">
        <v>2.3995743715068893E-3</v>
      </c>
      <c r="D72" s="89">
        <f t="shared" si="23"/>
        <v>11043.235387765224</v>
      </c>
      <c r="E72" s="89">
        <f t="shared" si="24"/>
        <v>5540.5632160555233</v>
      </c>
      <c r="F72" s="89">
        <f t="shared" si="25"/>
        <v>11895.957145765189</v>
      </c>
      <c r="G72" s="89">
        <f t="shared" si="26"/>
        <v>10567.504171380569</v>
      </c>
      <c r="H72" s="149">
        <f t="shared" si="27"/>
        <v>10567.504171380569</v>
      </c>
      <c r="I72" s="149">
        <f t="shared" si="28"/>
        <v>10567.504171380569</v>
      </c>
      <c r="J72" s="89">
        <f t="shared" si="29"/>
        <v>12913.198860906816</v>
      </c>
      <c r="K72" s="89">
        <f t="shared" si="30"/>
        <v>15187.477661360306</v>
      </c>
      <c r="L72" s="89">
        <f t="shared" si="31"/>
        <v>15187.477661360308</v>
      </c>
      <c r="M72" s="89">
        <f t="shared" si="32"/>
        <v>15187.477661360308</v>
      </c>
      <c r="N72" s="89">
        <f t="shared" si="33"/>
        <v>12766.607719061889</v>
      </c>
      <c r="O72" s="89">
        <f t="shared" si="34"/>
        <v>12766.607719061891</v>
      </c>
      <c r="P72" s="89">
        <f t="shared" si="35"/>
        <v>12766.607719061891</v>
      </c>
      <c r="Q72" s="89">
        <f t="shared" si="36"/>
        <v>12766.607719061891</v>
      </c>
      <c r="R72" s="89">
        <f t="shared" si="37"/>
        <v>12766.607719061891</v>
      </c>
      <c r="S72" s="89">
        <f t="shared" si="38"/>
        <v>12766.607719061891</v>
      </c>
      <c r="T72" s="89">
        <f t="shared" si="39"/>
        <v>12766.607719061891</v>
      </c>
      <c r="U72" s="89">
        <f t="shared" si="40"/>
        <v>12766.607719061891</v>
      </c>
      <c r="V72" s="89">
        <f>SUM(Table27[[#This Row],[Payment 1 - 9/1/22]:[Payment 18 -2038]])</f>
        <v>220790.76186121054</v>
      </c>
    </row>
    <row r="73" spans="1:22" x14ac:dyDescent="0.3">
      <c r="A73" s="1" t="s">
        <v>258</v>
      </c>
      <c r="B73" s="1">
        <v>92</v>
      </c>
      <c r="C73" s="1">
        <v>2.2222222222222227E-3</v>
      </c>
      <c r="D73" s="89">
        <f t="shared" si="23"/>
        <v>10227.031666666669</v>
      </c>
      <c r="E73" s="89">
        <f t="shared" si="24"/>
        <v>5131.0610950614837</v>
      </c>
      <c r="F73" s="89">
        <f t="shared" si="25"/>
        <v>11016.728899017893</v>
      </c>
      <c r="G73" s="89">
        <f t="shared" si="26"/>
        <v>9786.461666666668</v>
      </c>
      <c r="H73" s="149">
        <f t="shared" si="27"/>
        <v>9786.461666666668</v>
      </c>
      <c r="I73" s="149">
        <f t="shared" si="28"/>
        <v>9786.461666666668</v>
      </c>
      <c r="J73" s="89">
        <f t="shared" si="29"/>
        <v>11958.78644539</v>
      </c>
      <c r="K73" s="89">
        <f t="shared" si="30"/>
        <v>14064.973671719999</v>
      </c>
      <c r="L73" s="89">
        <f t="shared" si="31"/>
        <v>14064.973671720001</v>
      </c>
      <c r="M73" s="89">
        <f t="shared" si="32"/>
        <v>14064.973671720001</v>
      </c>
      <c r="N73" s="89">
        <f t="shared" si="33"/>
        <v>11823.029830860001</v>
      </c>
      <c r="O73" s="89">
        <f t="shared" si="34"/>
        <v>11823.029830860003</v>
      </c>
      <c r="P73" s="89">
        <f t="shared" si="35"/>
        <v>11823.029830860003</v>
      </c>
      <c r="Q73" s="89">
        <f t="shared" si="36"/>
        <v>11823.029830860003</v>
      </c>
      <c r="R73" s="89">
        <f t="shared" si="37"/>
        <v>11823.029830860003</v>
      </c>
      <c r="S73" s="89">
        <f t="shared" si="38"/>
        <v>11823.029830860003</v>
      </c>
      <c r="T73" s="89">
        <f t="shared" si="39"/>
        <v>11823.029830860003</v>
      </c>
      <c r="U73" s="89">
        <f t="shared" si="40"/>
        <v>11823.029830860003</v>
      </c>
      <c r="V73" s="89">
        <f>SUM(Table27[[#This Row],[Payment 1 - 9/1/22]:[Payment 18 -2038]])</f>
        <v>204472.15276817608</v>
      </c>
    </row>
    <row r="74" spans="1:22" x14ac:dyDescent="0.3">
      <c r="A74" s="1" t="s">
        <v>260</v>
      </c>
      <c r="B74" s="1">
        <v>94</v>
      </c>
      <c r="C74" s="1">
        <v>3.3296083201982273E-3</v>
      </c>
      <c r="D74" s="89">
        <f t="shared" si="23"/>
        <v>15323.404377718834</v>
      </c>
      <c r="E74" s="89">
        <f t="shared" si="24"/>
        <v>7687.9906711029626</v>
      </c>
      <c r="F74" s="89">
        <f t="shared" si="25"/>
        <v>16506.6264915922</v>
      </c>
      <c r="G74" s="89">
        <f t="shared" si="26"/>
        <v>14663.287885785454</v>
      </c>
      <c r="H74" s="149">
        <f t="shared" si="27"/>
        <v>14663.287885785454</v>
      </c>
      <c r="I74" s="149">
        <f t="shared" si="28"/>
        <v>14663.287885785454</v>
      </c>
      <c r="J74" s="89">
        <f t="shared" si="29"/>
        <v>17918.133681619944</v>
      </c>
      <c r="K74" s="89">
        <f t="shared" si="30"/>
        <v>21073.884012327559</v>
      </c>
      <c r="L74" s="89">
        <f t="shared" si="31"/>
        <v>21073.884012327562</v>
      </c>
      <c r="M74" s="89">
        <f t="shared" si="32"/>
        <v>21073.884012327562</v>
      </c>
      <c r="N74" s="89">
        <f t="shared" si="33"/>
        <v>17714.726322652481</v>
      </c>
      <c r="O74" s="89">
        <f t="shared" si="34"/>
        <v>17714.726322652485</v>
      </c>
      <c r="P74" s="89">
        <f t="shared" si="35"/>
        <v>17714.726322652485</v>
      </c>
      <c r="Q74" s="89">
        <f t="shared" si="36"/>
        <v>17714.726322652485</v>
      </c>
      <c r="R74" s="89">
        <f t="shared" si="37"/>
        <v>17714.726322652485</v>
      </c>
      <c r="S74" s="89">
        <f t="shared" si="38"/>
        <v>17714.726322652485</v>
      </c>
      <c r="T74" s="89">
        <f t="shared" si="39"/>
        <v>17714.726322652485</v>
      </c>
      <c r="U74" s="89">
        <f t="shared" si="40"/>
        <v>17714.726322652485</v>
      </c>
      <c r="V74" s="89">
        <f>SUM(Table27[[#This Row],[Payment 1 - 9/1/22]:[Payment 18 -2038]])</f>
        <v>306365.48149759287</v>
      </c>
    </row>
    <row r="75" spans="1:22" x14ac:dyDescent="0.3">
      <c r="A75" s="1" t="s">
        <v>261</v>
      </c>
      <c r="B75" s="1">
        <v>95</v>
      </c>
      <c r="C75" s="1">
        <v>8.8888888888888904E-4</v>
      </c>
      <c r="D75" s="89">
        <f t="shared" si="23"/>
        <v>4090.8126666666672</v>
      </c>
      <c r="E75" s="89">
        <f t="shared" si="24"/>
        <v>2052.4244380245932</v>
      </c>
      <c r="F75" s="89">
        <f t="shared" si="25"/>
        <v>4406.6915596071576</v>
      </c>
      <c r="G75" s="89">
        <f t="shared" si="26"/>
        <v>3914.5846666666675</v>
      </c>
      <c r="H75" s="149">
        <f t="shared" si="27"/>
        <v>3914.5846666666675</v>
      </c>
      <c r="I75" s="149">
        <f t="shared" si="28"/>
        <v>3914.5846666666675</v>
      </c>
      <c r="J75" s="89">
        <f t="shared" si="29"/>
        <v>4783.5145781560004</v>
      </c>
      <c r="K75" s="89">
        <f t="shared" si="30"/>
        <v>5625.9894686879998</v>
      </c>
      <c r="L75" s="89">
        <f t="shared" si="31"/>
        <v>5625.9894686880007</v>
      </c>
      <c r="M75" s="89">
        <f t="shared" si="32"/>
        <v>5625.9894686880007</v>
      </c>
      <c r="N75" s="89">
        <f t="shared" si="33"/>
        <v>4729.2119323440002</v>
      </c>
      <c r="O75" s="89">
        <f t="shared" si="34"/>
        <v>4729.2119323440011</v>
      </c>
      <c r="P75" s="89">
        <f t="shared" si="35"/>
        <v>4729.2119323440011</v>
      </c>
      <c r="Q75" s="89">
        <f t="shared" si="36"/>
        <v>4729.2119323440011</v>
      </c>
      <c r="R75" s="89">
        <f t="shared" si="37"/>
        <v>4729.2119323440011</v>
      </c>
      <c r="S75" s="89">
        <f t="shared" si="38"/>
        <v>4729.2119323440011</v>
      </c>
      <c r="T75" s="89">
        <f t="shared" si="39"/>
        <v>4729.2119323440011</v>
      </c>
      <c r="U75" s="89">
        <f t="shared" si="40"/>
        <v>4729.2119323440011</v>
      </c>
      <c r="V75" s="89">
        <f>SUM(Table27[[#This Row],[Payment 1 - 9/1/22]:[Payment 18 -2038]])</f>
        <v>81788.861107270408</v>
      </c>
    </row>
    <row r="76" spans="1:22" x14ac:dyDescent="0.3">
      <c r="A76" s="1" t="s">
        <v>262</v>
      </c>
      <c r="B76" s="1">
        <v>96</v>
      </c>
      <c r="C76" s="1">
        <v>2.2222222222222227E-3</v>
      </c>
      <c r="D76" s="89">
        <f t="shared" ref="D76:D89" si="41">C76*$D$9</f>
        <v>10227.031666666669</v>
      </c>
      <c r="E76" s="89">
        <f t="shared" ref="E76:E89" si="42">C76*$E$9</f>
        <v>5131.0610950614837</v>
      </c>
      <c r="F76" s="89">
        <f t="shared" ref="F76:F89" si="43">C76*$F$9</f>
        <v>11016.728899017893</v>
      </c>
      <c r="G76" s="89">
        <f t="shared" ref="G76:G89" si="44">C76*$G$9</f>
        <v>9786.461666666668</v>
      </c>
      <c r="H76" s="149">
        <f t="shared" ref="H76:H89" si="45">C76*$H$9</f>
        <v>9786.461666666668</v>
      </c>
      <c r="I76" s="149">
        <f t="shared" ref="I76:I89" si="46">C76*$I$9</f>
        <v>9786.461666666668</v>
      </c>
      <c r="J76" s="89">
        <f t="shared" ref="J76:J89" si="47">C76*$J$9</f>
        <v>11958.78644539</v>
      </c>
      <c r="K76" s="89">
        <f t="shared" ref="K76:K89" si="48">C76*$K$9</f>
        <v>14064.973671719999</v>
      </c>
      <c r="L76" s="89">
        <f t="shared" ref="L76:L89" si="49">C76*$L$9</f>
        <v>14064.973671720001</v>
      </c>
      <c r="M76" s="89">
        <f t="shared" ref="M76:M89" si="50">C76*$M$9</f>
        <v>14064.973671720001</v>
      </c>
      <c r="N76" s="89">
        <f t="shared" ref="N76:N89" si="51">C76*$N$9</f>
        <v>11823.029830860001</v>
      </c>
      <c r="O76" s="89">
        <f t="shared" ref="O76:O89" si="52">C76*$O$9</f>
        <v>11823.029830860003</v>
      </c>
      <c r="P76" s="89">
        <f t="shared" ref="P76:P89" si="53">C76*$P$9</f>
        <v>11823.029830860003</v>
      </c>
      <c r="Q76" s="89">
        <f t="shared" ref="Q76:Q89" si="54">C76*$Q$9</f>
        <v>11823.029830860003</v>
      </c>
      <c r="R76" s="89">
        <f t="shared" ref="R76:R89" si="55">C76*$R$9</f>
        <v>11823.029830860003</v>
      </c>
      <c r="S76" s="89">
        <f t="shared" ref="S76:S89" si="56">C76*$S$9</f>
        <v>11823.029830860003</v>
      </c>
      <c r="T76" s="89">
        <f t="shared" ref="T76:T89" si="57">C76*$T$9</f>
        <v>11823.029830860003</v>
      </c>
      <c r="U76" s="89">
        <f t="shared" ref="U76:U89" si="58">C76*$U$9</f>
        <v>11823.029830860003</v>
      </c>
      <c r="V76" s="89">
        <f>SUM(Table27[[#This Row],[Payment 1 - 9/1/22]:[Payment 18 -2038]])</f>
        <v>204472.15276817608</v>
      </c>
    </row>
    <row r="77" spans="1:22" x14ac:dyDescent="0.3">
      <c r="A77" s="1" t="s">
        <v>264</v>
      </c>
      <c r="B77" s="1">
        <v>98</v>
      </c>
      <c r="C77" s="1">
        <v>2.2222222222222227E-3</v>
      </c>
      <c r="D77" s="89">
        <f t="shared" si="41"/>
        <v>10227.031666666669</v>
      </c>
      <c r="E77" s="89">
        <f t="shared" si="42"/>
        <v>5131.0610950614837</v>
      </c>
      <c r="F77" s="89">
        <f t="shared" si="43"/>
        <v>11016.728899017893</v>
      </c>
      <c r="G77" s="89">
        <f t="shared" si="44"/>
        <v>9786.461666666668</v>
      </c>
      <c r="H77" s="149">
        <f t="shared" si="45"/>
        <v>9786.461666666668</v>
      </c>
      <c r="I77" s="149">
        <f t="shared" si="46"/>
        <v>9786.461666666668</v>
      </c>
      <c r="J77" s="89">
        <f t="shared" si="47"/>
        <v>11958.78644539</v>
      </c>
      <c r="K77" s="89">
        <f t="shared" si="48"/>
        <v>14064.973671719999</v>
      </c>
      <c r="L77" s="89">
        <f t="shared" si="49"/>
        <v>14064.973671720001</v>
      </c>
      <c r="M77" s="89">
        <f t="shared" si="50"/>
        <v>14064.973671720001</v>
      </c>
      <c r="N77" s="89">
        <f t="shared" si="51"/>
        <v>11823.029830860001</v>
      </c>
      <c r="O77" s="89">
        <f t="shared" si="52"/>
        <v>11823.029830860003</v>
      </c>
      <c r="P77" s="89">
        <f t="shared" si="53"/>
        <v>11823.029830860003</v>
      </c>
      <c r="Q77" s="89">
        <f t="shared" si="54"/>
        <v>11823.029830860003</v>
      </c>
      <c r="R77" s="89">
        <f t="shared" si="55"/>
        <v>11823.029830860003</v>
      </c>
      <c r="S77" s="89">
        <f t="shared" si="56"/>
        <v>11823.029830860003</v>
      </c>
      <c r="T77" s="89">
        <f t="shared" si="57"/>
        <v>11823.029830860003</v>
      </c>
      <c r="U77" s="89">
        <f t="shared" si="58"/>
        <v>11823.029830860003</v>
      </c>
      <c r="V77" s="89">
        <f>SUM(Table27[[#This Row],[Payment 1 - 9/1/22]:[Payment 18 -2038]])</f>
        <v>204472.15276817608</v>
      </c>
    </row>
    <row r="78" spans="1:22" x14ac:dyDescent="0.3">
      <c r="A78" s="1" t="s">
        <v>265</v>
      </c>
      <c r="B78" s="1">
        <v>99</v>
      </c>
      <c r="C78" s="1">
        <v>2.5852918816343662E-3</v>
      </c>
      <c r="D78" s="89">
        <f t="shared" si="41"/>
        <v>11897.937873472911</v>
      </c>
      <c r="E78" s="89">
        <f t="shared" si="42"/>
        <v>5969.3807669545758</v>
      </c>
      <c r="F78" s="89">
        <f t="shared" si="43"/>
        <v>12816.656903158948</v>
      </c>
      <c r="G78" s="89">
        <f t="shared" si="44"/>
        <v>11385.386953541667</v>
      </c>
      <c r="H78" s="149">
        <f t="shared" si="45"/>
        <v>11385.386953541667</v>
      </c>
      <c r="I78" s="149">
        <f t="shared" si="46"/>
        <v>11385.386953541667</v>
      </c>
      <c r="J78" s="89">
        <f t="shared" si="47"/>
        <v>13912.629080159639</v>
      </c>
      <c r="K78" s="89">
        <f t="shared" si="48"/>
        <v>16362.928012004464</v>
      </c>
      <c r="L78" s="89">
        <f t="shared" si="49"/>
        <v>16362.928012004468</v>
      </c>
      <c r="M78" s="89">
        <f t="shared" si="50"/>
        <v>16362.928012004468</v>
      </c>
      <c r="N78" s="89">
        <f t="shared" si="51"/>
        <v>13754.69236711948</v>
      </c>
      <c r="O78" s="89">
        <f t="shared" si="52"/>
        <v>13754.692367119482</v>
      </c>
      <c r="P78" s="89">
        <f t="shared" si="53"/>
        <v>13754.692367119482</v>
      </c>
      <c r="Q78" s="89">
        <f t="shared" si="54"/>
        <v>13754.692367119482</v>
      </c>
      <c r="R78" s="89">
        <f t="shared" si="55"/>
        <v>13754.692367119482</v>
      </c>
      <c r="S78" s="89">
        <f t="shared" si="56"/>
        <v>13754.692367119482</v>
      </c>
      <c r="T78" s="89">
        <f t="shared" si="57"/>
        <v>13754.692367119482</v>
      </c>
      <c r="U78" s="89">
        <f t="shared" si="58"/>
        <v>13754.692367119482</v>
      </c>
      <c r="V78" s="89">
        <f>SUM(Table27[[#This Row],[Payment 1 - 9/1/22]:[Payment 18 -2038]])</f>
        <v>237879.08845734035</v>
      </c>
    </row>
    <row r="79" spans="1:22" x14ac:dyDescent="0.3">
      <c r="A79" s="1" t="s">
        <v>266</v>
      </c>
      <c r="B79" s="1">
        <v>100</v>
      </c>
      <c r="C79" s="1">
        <v>2.1910833240199327E-2</v>
      </c>
      <c r="D79" s="89">
        <f t="shared" si="41"/>
        <v>100837.25342575701</v>
      </c>
      <c r="E79" s="89">
        <f t="shared" si="42"/>
        <v>50591.620799625009</v>
      </c>
      <c r="F79" s="89">
        <f t="shared" si="43"/>
        <v>108623.56939148958</v>
      </c>
      <c r="G79" s="89">
        <f t="shared" si="44"/>
        <v>96493.288315471422</v>
      </c>
      <c r="H79" s="149">
        <f t="shared" si="45"/>
        <v>96493.288315471422</v>
      </c>
      <c r="I79" s="149">
        <f t="shared" si="46"/>
        <v>96493.288315471422</v>
      </c>
      <c r="J79" s="89">
        <f t="shared" si="47"/>
        <v>117912.13900204335</v>
      </c>
      <c r="K79" s="89">
        <f t="shared" si="48"/>
        <v>138678.88169198288</v>
      </c>
      <c r="L79" s="89">
        <f t="shared" si="49"/>
        <v>138678.88169198291</v>
      </c>
      <c r="M79" s="89">
        <f t="shared" si="50"/>
        <v>138678.88169198291</v>
      </c>
      <c r="N79" s="89">
        <f t="shared" si="51"/>
        <v>116573.59575804397</v>
      </c>
      <c r="O79" s="89">
        <f t="shared" si="52"/>
        <v>116573.59575804399</v>
      </c>
      <c r="P79" s="89">
        <f t="shared" si="53"/>
        <v>116573.59575804399</v>
      </c>
      <c r="Q79" s="89">
        <f t="shared" si="54"/>
        <v>116573.59575804399</v>
      </c>
      <c r="R79" s="89">
        <f t="shared" si="55"/>
        <v>116573.59575804399</v>
      </c>
      <c r="S79" s="89">
        <f t="shared" si="56"/>
        <v>116573.59575804399</v>
      </c>
      <c r="T79" s="89">
        <f t="shared" si="57"/>
        <v>116573.59575804399</v>
      </c>
      <c r="U79" s="89">
        <f t="shared" si="58"/>
        <v>116573.59575804399</v>
      </c>
      <c r="V79" s="89">
        <f>SUM(Table27[[#This Row],[Payment 1 - 9/1/22]:[Payment 18 -2038]])</f>
        <v>2016069.8587056294</v>
      </c>
    </row>
    <row r="80" spans="1:22" x14ac:dyDescent="0.3">
      <c r="A80" s="1" t="s">
        <v>267</v>
      </c>
      <c r="B80" s="1">
        <v>101</v>
      </c>
      <c r="C80" s="1">
        <v>8.8888888888888904E-4</v>
      </c>
      <c r="D80" s="89">
        <f t="shared" si="41"/>
        <v>4090.8126666666672</v>
      </c>
      <c r="E80" s="89">
        <f t="shared" si="42"/>
        <v>2052.4244380245932</v>
      </c>
      <c r="F80" s="89">
        <f t="shared" si="43"/>
        <v>4406.6915596071576</v>
      </c>
      <c r="G80" s="89">
        <f t="shared" si="44"/>
        <v>3914.5846666666675</v>
      </c>
      <c r="H80" s="149">
        <f t="shared" si="45"/>
        <v>3914.5846666666675</v>
      </c>
      <c r="I80" s="149">
        <f t="shared" si="46"/>
        <v>3914.5846666666675</v>
      </c>
      <c r="J80" s="89">
        <f t="shared" si="47"/>
        <v>4783.5145781560004</v>
      </c>
      <c r="K80" s="89">
        <f t="shared" si="48"/>
        <v>5625.9894686879998</v>
      </c>
      <c r="L80" s="89">
        <f t="shared" si="49"/>
        <v>5625.9894686880007</v>
      </c>
      <c r="M80" s="89">
        <f t="shared" si="50"/>
        <v>5625.9894686880007</v>
      </c>
      <c r="N80" s="89">
        <f t="shared" si="51"/>
        <v>4729.2119323440002</v>
      </c>
      <c r="O80" s="89">
        <f t="shared" si="52"/>
        <v>4729.2119323440011</v>
      </c>
      <c r="P80" s="89">
        <f t="shared" si="53"/>
        <v>4729.2119323440011</v>
      </c>
      <c r="Q80" s="89">
        <f t="shared" si="54"/>
        <v>4729.2119323440011</v>
      </c>
      <c r="R80" s="89">
        <f t="shared" si="55"/>
        <v>4729.2119323440011</v>
      </c>
      <c r="S80" s="89">
        <f t="shared" si="56"/>
        <v>4729.2119323440011</v>
      </c>
      <c r="T80" s="89">
        <f t="shared" si="57"/>
        <v>4729.2119323440011</v>
      </c>
      <c r="U80" s="89">
        <f t="shared" si="58"/>
        <v>4729.2119323440011</v>
      </c>
      <c r="V80" s="89">
        <f>SUM(Table27[[#This Row],[Payment 1 - 9/1/22]:[Payment 18 -2038]])</f>
        <v>81788.861107270408</v>
      </c>
    </row>
    <row r="81" spans="1:22" x14ac:dyDescent="0.3">
      <c r="A81" s="1" t="s">
        <v>269</v>
      </c>
      <c r="B81" s="1">
        <v>103</v>
      </c>
      <c r="C81" s="1">
        <v>8.8888888888888904E-4</v>
      </c>
      <c r="D81" s="89">
        <f t="shared" si="41"/>
        <v>4090.8126666666672</v>
      </c>
      <c r="E81" s="89">
        <f t="shared" si="42"/>
        <v>2052.4244380245932</v>
      </c>
      <c r="F81" s="89">
        <f t="shared" si="43"/>
        <v>4406.6915596071576</v>
      </c>
      <c r="G81" s="89">
        <f t="shared" si="44"/>
        <v>3914.5846666666675</v>
      </c>
      <c r="H81" s="149">
        <f t="shared" si="45"/>
        <v>3914.5846666666675</v>
      </c>
      <c r="I81" s="149">
        <f t="shared" si="46"/>
        <v>3914.5846666666675</v>
      </c>
      <c r="J81" s="89">
        <f t="shared" si="47"/>
        <v>4783.5145781560004</v>
      </c>
      <c r="K81" s="89">
        <f t="shared" si="48"/>
        <v>5625.9894686879998</v>
      </c>
      <c r="L81" s="89">
        <f t="shared" si="49"/>
        <v>5625.9894686880007</v>
      </c>
      <c r="M81" s="89">
        <f t="shared" si="50"/>
        <v>5625.9894686880007</v>
      </c>
      <c r="N81" s="89">
        <f t="shared" si="51"/>
        <v>4729.2119323440002</v>
      </c>
      <c r="O81" s="89">
        <f t="shared" si="52"/>
        <v>4729.2119323440011</v>
      </c>
      <c r="P81" s="89">
        <f t="shared" si="53"/>
        <v>4729.2119323440011</v>
      </c>
      <c r="Q81" s="89">
        <f t="shared" si="54"/>
        <v>4729.2119323440011</v>
      </c>
      <c r="R81" s="89">
        <f t="shared" si="55"/>
        <v>4729.2119323440011</v>
      </c>
      <c r="S81" s="89">
        <f t="shared" si="56"/>
        <v>4729.2119323440011</v>
      </c>
      <c r="T81" s="89">
        <f t="shared" si="57"/>
        <v>4729.2119323440011</v>
      </c>
      <c r="U81" s="89">
        <f t="shared" si="58"/>
        <v>4729.2119323440011</v>
      </c>
      <c r="V81" s="89">
        <f>SUM(Table27[[#This Row],[Payment 1 - 9/1/22]:[Payment 18 -2038]])</f>
        <v>81788.861107270408</v>
      </c>
    </row>
    <row r="82" spans="1:22" x14ac:dyDescent="0.3">
      <c r="A82" s="1" t="s">
        <v>272</v>
      </c>
      <c r="B82" s="1">
        <v>106</v>
      </c>
      <c r="C82" s="1">
        <v>2.4301656903479804E-3</v>
      </c>
      <c r="D82" s="89">
        <f t="shared" si="41"/>
        <v>11184.021661696046</v>
      </c>
      <c r="E82" s="89">
        <f t="shared" si="42"/>
        <v>5611.1978827339881</v>
      </c>
      <c r="F82" s="89">
        <f t="shared" si="43"/>
        <v>12047.614465616261</v>
      </c>
      <c r="G82" s="89">
        <f t="shared" si="44"/>
        <v>10702.225517507572</v>
      </c>
      <c r="H82" s="149">
        <f t="shared" si="45"/>
        <v>10702.225517507572</v>
      </c>
      <c r="I82" s="149">
        <f t="shared" si="46"/>
        <v>10702.225517507572</v>
      </c>
      <c r="J82" s="89">
        <f t="shared" si="47"/>
        <v>13077.824633003365</v>
      </c>
      <c r="K82" s="89">
        <f t="shared" si="48"/>
        <v>15381.097403697717</v>
      </c>
      <c r="L82" s="89">
        <f t="shared" si="49"/>
        <v>15381.09740369772</v>
      </c>
      <c r="M82" s="89">
        <f t="shared" si="50"/>
        <v>15381.09740369772</v>
      </c>
      <c r="N82" s="89">
        <f t="shared" si="51"/>
        <v>12929.364652912494</v>
      </c>
      <c r="O82" s="89">
        <f t="shared" si="52"/>
        <v>12929.364652912496</v>
      </c>
      <c r="P82" s="89">
        <f t="shared" si="53"/>
        <v>12929.364652912496</v>
      </c>
      <c r="Q82" s="89">
        <f t="shared" si="54"/>
        <v>12929.364652912496</v>
      </c>
      <c r="R82" s="89">
        <f t="shared" si="55"/>
        <v>12929.364652912496</v>
      </c>
      <c r="S82" s="89">
        <f t="shared" si="56"/>
        <v>12929.364652912496</v>
      </c>
      <c r="T82" s="89">
        <f t="shared" si="57"/>
        <v>12929.364652912496</v>
      </c>
      <c r="U82" s="89">
        <f t="shared" si="58"/>
        <v>12929.364652912496</v>
      </c>
      <c r="V82" s="89">
        <f>SUM(Table27[[#This Row],[Payment 1 - 9/1/22]:[Payment 18 -2038]])</f>
        <v>223605.54462996538</v>
      </c>
    </row>
    <row r="83" spans="1:22" x14ac:dyDescent="0.3">
      <c r="A83" s="1" t="s">
        <v>273</v>
      </c>
      <c r="B83" s="1">
        <v>107</v>
      </c>
      <c r="C83" s="1">
        <v>2.2222222222222227E-3</v>
      </c>
      <c r="D83" s="89">
        <f t="shared" si="41"/>
        <v>10227.031666666669</v>
      </c>
      <c r="E83" s="89">
        <f t="shared" si="42"/>
        <v>5131.0610950614837</v>
      </c>
      <c r="F83" s="89">
        <f t="shared" si="43"/>
        <v>11016.728899017893</v>
      </c>
      <c r="G83" s="89">
        <f t="shared" si="44"/>
        <v>9786.461666666668</v>
      </c>
      <c r="H83" s="149">
        <f t="shared" si="45"/>
        <v>9786.461666666668</v>
      </c>
      <c r="I83" s="149">
        <f t="shared" si="46"/>
        <v>9786.461666666668</v>
      </c>
      <c r="J83" s="89">
        <f t="shared" si="47"/>
        <v>11958.78644539</v>
      </c>
      <c r="K83" s="89">
        <f t="shared" si="48"/>
        <v>14064.973671719999</v>
      </c>
      <c r="L83" s="89">
        <f t="shared" si="49"/>
        <v>14064.973671720001</v>
      </c>
      <c r="M83" s="89">
        <f t="shared" si="50"/>
        <v>14064.973671720001</v>
      </c>
      <c r="N83" s="89">
        <f t="shared" si="51"/>
        <v>11823.029830860001</v>
      </c>
      <c r="O83" s="89">
        <f t="shared" si="52"/>
        <v>11823.029830860003</v>
      </c>
      <c r="P83" s="89">
        <f t="shared" si="53"/>
        <v>11823.029830860003</v>
      </c>
      <c r="Q83" s="89">
        <f t="shared" si="54"/>
        <v>11823.029830860003</v>
      </c>
      <c r="R83" s="89">
        <f t="shared" si="55"/>
        <v>11823.029830860003</v>
      </c>
      <c r="S83" s="89">
        <f t="shared" si="56"/>
        <v>11823.029830860003</v>
      </c>
      <c r="T83" s="89">
        <f t="shared" si="57"/>
        <v>11823.029830860003</v>
      </c>
      <c r="U83" s="89">
        <f t="shared" si="58"/>
        <v>11823.029830860003</v>
      </c>
      <c r="V83" s="89">
        <f>SUM(Table27[[#This Row],[Payment 1 - 9/1/22]:[Payment 18 -2038]])</f>
        <v>204472.15276817608</v>
      </c>
    </row>
    <row r="84" spans="1:22" x14ac:dyDescent="0.3">
      <c r="A84" s="1" t="s">
        <v>274</v>
      </c>
      <c r="B84" s="1">
        <v>108</v>
      </c>
      <c r="C84" s="1">
        <v>2.2222222222222227E-3</v>
      </c>
      <c r="D84" s="89">
        <f t="shared" si="41"/>
        <v>10227.031666666669</v>
      </c>
      <c r="E84" s="89">
        <f t="shared" si="42"/>
        <v>5131.0610950614837</v>
      </c>
      <c r="F84" s="89">
        <f t="shared" si="43"/>
        <v>11016.728899017893</v>
      </c>
      <c r="G84" s="89">
        <f t="shared" si="44"/>
        <v>9786.461666666668</v>
      </c>
      <c r="H84" s="149">
        <f t="shared" si="45"/>
        <v>9786.461666666668</v>
      </c>
      <c r="I84" s="149">
        <f t="shared" si="46"/>
        <v>9786.461666666668</v>
      </c>
      <c r="J84" s="89">
        <f t="shared" si="47"/>
        <v>11958.78644539</v>
      </c>
      <c r="K84" s="89">
        <f t="shared" si="48"/>
        <v>14064.973671719999</v>
      </c>
      <c r="L84" s="89">
        <f t="shared" si="49"/>
        <v>14064.973671720001</v>
      </c>
      <c r="M84" s="89">
        <f t="shared" si="50"/>
        <v>14064.973671720001</v>
      </c>
      <c r="N84" s="89">
        <f t="shared" si="51"/>
        <v>11823.029830860001</v>
      </c>
      <c r="O84" s="89">
        <f t="shared" si="52"/>
        <v>11823.029830860003</v>
      </c>
      <c r="P84" s="89">
        <f t="shared" si="53"/>
        <v>11823.029830860003</v>
      </c>
      <c r="Q84" s="89">
        <f t="shared" si="54"/>
        <v>11823.029830860003</v>
      </c>
      <c r="R84" s="89">
        <f t="shared" si="55"/>
        <v>11823.029830860003</v>
      </c>
      <c r="S84" s="89">
        <f t="shared" si="56"/>
        <v>11823.029830860003</v>
      </c>
      <c r="T84" s="89">
        <f t="shared" si="57"/>
        <v>11823.029830860003</v>
      </c>
      <c r="U84" s="89">
        <f t="shared" si="58"/>
        <v>11823.029830860003</v>
      </c>
      <c r="V84" s="89">
        <f>SUM(Table27[[#This Row],[Payment 1 - 9/1/22]:[Payment 18 -2038]])</f>
        <v>204472.15276817608</v>
      </c>
    </row>
    <row r="85" spans="1:22" x14ac:dyDescent="0.3">
      <c r="A85" s="1" t="s">
        <v>275</v>
      </c>
      <c r="B85" s="1">
        <v>109</v>
      </c>
      <c r="C85" s="1">
        <v>8.8888888888888904E-4</v>
      </c>
      <c r="D85" s="89">
        <f t="shared" si="41"/>
        <v>4090.8126666666672</v>
      </c>
      <c r="E85" s="89">
        <f t="shared" si="42"/>
        <v>2052.4244380245932</v>
      </c>
      <c r="F85" s="89">
        <f t="shared" si="43"/>
        <v>4406.6915596071576</v>
      </c>
      <c r="G85" s="89">
        <f t="shared" si="44"/>
        <v>3914.5846666666675</v>
      </c>
      <c r="H85" s="149">
        <f t="shared" si="45"/>
        <v>3914.5846666666675</v>
      </c>
      <c r="I85" s="149">
        <f t="shared" si="46"/>
        <v>3914.5846666666675</v>
      </c>
      <c r="J85" s="89">
        <f t="shared" si="47"/>
        <v>4783.5145781560004</v>
      </c>
      <c r="K85" s="89">
        <f t="shared" si="48"/>
        <v>5625.9894686879998</v>
      </c>
      <c r="L85" s="89">
        <f t="shared" si="49"/>
        <v>5625.9894686880007</v>
      </c>
      <c r="M85" s="89">
        <f t="shared" si="50"/>
        <v>5625.9894686880007</v>
      </c>
      <c r="N85" s="89">
        <f t="shared" si="51"/>
        <v>4729.2119323440002</v>
      </c>
      <c r="O85" s="89">
        <f t="shared" si="52"/>
        <v>4729.2119323440011</v>
      </c>
      <c r="P85" s="89">
        <f t="shared" si="53"/>
        <v>4729.2119323440011</v>
      </c>
      <c r="Q85" s="89">
        <f t="shared" si="54"/>
        <v>4729.2119323440011</v>
      </c>
      <c r="R85" s="89">
        <f t="shared" si="55"/>
        <v>4729.2119323440011</v>
      </c>
      <c r="S85" s="89">
        <f t="shared" si="56"/>
        <v>4729.2119323440011</v>
      </c>
      <c r="T85" s="89">
        <f t="shared" si="57"/>
        <v>4729.2119323440011</v>
      </c>
      <c r="U85" s="89">
        <f t="shared" si="58"/>
        <v>4729.2119323440011</v>
      </c>
      <c r="V85" s="89">
        <f>SUM(Table27[[#This Row],[Payment 1 - 9/1/22]:[Payment 18 -2038]])</f>
        <v>81788.861107270408</v>
      </c>
    </row>
    <row r="86" spans="1:22" x14ac:dyDescent="0.3">
      <c r="A86" s="1" t="s">
        <v>364</v>
      </c>
      <c r="B86" s="1">
        <v>110</v>
      </c>
      <c r="C86" s="1">
        <v>3.2057966467799095E-3</v>
      </c>
      <c r="D86" s="89">
        <f t="shared" si="41"/>
        <v>14753.602720580377</v>
      </c>
      <c r="E86" s="89">
        <f t="shared" si="42"/>
        <v>7402.1123038369278</v>
      </c>
      <c r="F86" s="89">
        <f t="shared" si="43"/>
        <v>15892.826653329696</v>
      </c>
      <c r="G86" s="89">
        <f t="shared" si="44"/>
        <v>14118.032697678056</v>
      </c>
      <c r="H86" s="149">
        <f t="shared" si="45"/>
        <v>14118.032697678056</v>
      </c>
      <c r="I86" s="149">
        <f t="shared" si="46"/>
        <v>14118.032697678056</v>
      </c>
      <c r="J86" s="89">
        <f t="shared" si="47"/>
        <v>17251.846868784731</v>
      </c>
      <c r="K86" s="89">
        <f t="shared" si="48"/>
        <v>20290.250445231453</v>
      </c>
      <c r="L86" s="89">
        <f t="shared" si="49"/>
        <v>20290.250445231457</v>
      </c>
      <c r="M86" s="89">
        <f t="shared" si="50"/>
        <v>20290.250445231457</v>
      </c>
      <c r="N86" s="89">
        <f t="shared" si="51"/>
        <v>17056.00322394742</v>
      </c>
      <c r="O86" s="89">
        <f t="shared" si="52"/>
        <v>17056.003223947424</v>
      </c>
      <c r="P86" s="89">
        <f t="shared" si="53"/>
        <v>17056.003223947424</v>
      </c>
      <c r="Q86" s="89">
        <f t="shared" si="54"/>
        <v>17056.003223947424</v>
      </c>
      <c r="R86" s="89">
        <f t="shared" si="55"/>
        <v>17056.003223947424</v>
      </c>
      <c r="S86" s="89">
        <f t="shared" si="56"/>
        <v>17056.003223947424</v>
      </c>
      <c r="T86" s="89">
        <f t="shared" si="57"/>
        <v>17056.003223947424</v>
      </c>
      <c r="U86" s="89">
        <f t="shared" si="58"/>
        <v>17056.003223947424</v>
      </c>
      <c r="V86" s="89">
        <f>SUM(Table27[[#This Row],[Payment 1 - 9/1/22]:[Payment 18 -2038]])</f>
        <v>294973.26376683963</v>
      </c>
    </row>
    <row r="87" spans="1:22" x14ac:dyDescent="0.3">
      <c r="A87" s="1" t="s">
        <v>363</v>
      </c>
      <c r="B87" s="1">
        <v>111</v>
      </c>
      <c r="C87" s="1">
        <v>8.8888888888888904E-4</v>
      </c>
      <c r="D87" s="89">
        <f t="shared" si="41"/>
        <v>4090.8126666666672</v>
      </c>
      <c r="E87" s="89">
        <f t="shared" si="42"/>
        <v>2052.4244380245932</v>
      </c>
      <c r="F87" s="89">
        <f t="shared" si="43"/>
        <v>4406.6915596071576</v>
      </c>
      <c r="G87" s="89">
        <f t="shared" si="44"/>
        <v>3914.5846666666675</v>
      </c>
      <c r="H87" s="149">
        <f t="shared" si="45"/>
        <v>3914.5846666666675</v>
      </c>
      <c r="I87" s="149">
        <f t="shared" si="46"/>
        <v>3914.5846666666675</v>
      </c>
      <c r="J87" s="89">
        <f t="shared" si="47"/>
        <v>4783.5145781560004</v>
      </c>
      <c r="K87" s="89">
        <f t="shared" si="48"/>
        <v>5625.9894686879998</v>
      </c>
      <c r="L87" s="89">
        <f t="shared" si="49"/>
        <v>5625.9894686880007</v>
      </c>
      <c r="M87" s="89">
        <f t="shared" si="50"/>
        <v>5625.9894686880007</v>
      </c>
      <c r="N87" s="89">
        <f t="shared" si="51"/>
        <v>4729.2119323440002</v>
      </c>
      <c r="O87" s="89">
        <f t="shared" si="52"/>
        <v>4729.2119323440011</v>
      </c>
      <c r="P87" s="89">
        <f t="shared" si="53"/>
        <v>4729.2119323440011</v>
      </c>
      <c r="Q87" s="89">
        <f t="shared" si="54"/>
        <v>4729.2119323440011</v>
      </c>
      <c r="R87" s="89">
        <f t="shared" si="55"/>
        <v>4729.2119323440011</v>
      </c>
      <c r="S87" s="89">
        <f t="shared" si="56"/>
        <v>4729.2119323440011</v>
      </c>
      <c r="T87" s="89">
        <f t="shared" si="57"/>
        <v>4729.2119323440011</v>
      </c>
      <c r="U87" s="89">
        <f t="shared" si="58"/>
        <v>4729.2119323440011</v>
      </c>
      <c r="V87" s="89">
        <f>SUM(Table27[[#This Row],[Payment 1 - 9/1/22]:[Payment 18 -2038]])</f>
        <v>81788.861107270408</v>
      </c>
    </row>
    <row r="88" spans="1:22" x14ac:dyDescent="0.3">
      <c r="A88" s="1" t="s">
        <v>276</v>
      </c>
      <c r="B88" s="1">
        <v>112</v>
      </c>
      <c r="C88" s="1">
        <v>8.8888888888888904E-4</v>
      </c>
      <c r="D88" s="89">
        <f t="shared" si="41"/>
        <v>4090.8126666666672</v>
      </c>
      <c r="E88" s="89">
        <f t="shared" si="42"/>
        <v>2052.4244380245932</v>
      </c>
      <c r="F88" s="89">
        <f t="shared" si="43"/>
        <v>4406.6915596071576</v>
      </c>
      <c r="G88" s="89">
        <f t="shared" si="44"/>
        <v>3914.5846666666675</v>
      </c>
      <c r="H88" s="149">
        <f t="shared" si="45"/>
        <v>3914.5846666666675</v>
      </c>
      <c r="I88" s="149">
        <f t="shared" si="46"/>
        <v>3914.5846666666675</v>
      </c>
      <c r="J88" s="89">
        <f t="shared" si="47"/>
        <v>4783.5145781560004</v>
      </c>
      <c r="K88" s="89">
        <f t="shared" si="48"/>
        <v>5625.9894686879998</v>
      </c>
      <c r="L88" s="89">
        <f t="shared" si="49"/>
        <v>5625.9894686880007</v>
      </c>
      <c r="M88" s="89">
        <f t="shared" si="50"/>
        <v>5625.9894686880007</v>
      </c>
      <c r="N88" s="89">
        <f t="shared" si="51"/>
        <v>4729.2119323440002</v>
      </c>
      <c r="O88" s="89">
        <f t="shared" si="52"/>
        <v>4729.2119323440011</v>
      </c>
      <c r="P88" s="89">
        <f t="shared" si="53"/>
        <v>4729.2119323440011</v>
      </c>
      <c r="Q88" s="89">
        <f t="shared" si="54"/>
        <v>4729.2119323440011</v>
      </c>
      <c r="R88" s="89">
        <f t="shared" si="55"/>
        <v>4729.2119323440011</v>
      </c>
      <c r="S88" s="89">
        <f t="shared" si="56"/>
        <v>4729.2119323440011</v>
      </c>
      <c r="T88" s="89">
        <f t="shared" si="57"/>
        <v>4729.2119323440011</v>
      </c>
      <c r="U88" s="89">
        <f t="shared" si="58"/>
        <v>4729.2119323440011</v>
      </c>
      <c r="V88" s="89">
        <f>SUM(Table27[[#This Row],[Payment 1 - 9/1/22]:[Payment 18 -2038]])</f>
        <v>81788.861107270408</v>
      </c>
    </row>
    <row r="89" spans="1:22" x14ac:dyDescent="0.3">
      <c r="A89" s="1" t="s">
        <v>277</v>
      </c>
      <c r="B89" s="1">
        <v>113</v>
      </c>
      <c r="C89" s="1">
        <v>8.8888888888888904E-4</v>
      </c>
      <c r="D89" s="89">
        <f t="shared" si="41"/>
        <v>4090.8126666666672</v>
      </c>
      <c r="E89" s="89">
        <f t="shared" si="42"/>
        <v>2052.4244380245932</v>
      </c>
      <c r="F89" s="89">
        <f t="shared" si="43"/>
        <v>4406.6915596071576</v>
      </c>
      <c r="G89" s="89">
        <f t="shared" si="44"/>
        <v>3914.5846666666675</v>
      </c>
      <c r="H89" s="149">
        <f t="shared" si="45"/>
        <v>3914.5846666666675</v>
      </c>
      <c r="I89" s="149">
        <f t="shared" si="46"/>
        <v>3914.5846666666675</v>
      </c>
      <c r="J89" s="89">
        <f t="shared" si="47"/>
        <v>4783.5145781560004</v>
      </c>
      <c r="K89" s="89">
        <f t="shared" si="48"/>
        <v>5625.9894686879998</v>
      </c>
      <c r="L89" s="89">
        <f t="shared" si="49"/>
        <v>5625.9894686880007</v>
      </c>
      <c r="M89" s="89">
        <f t="shared" si="50"/>
        <v>5625.9894686880007</v>
      </c>
      <c r="N89" s="89">
        <f t="shared" si="51"/>
        <v>4729.2119323440002</v>
      </c>
      <c r="O89" s="89">
        <f t="shared" si="52"/>
        <v>4729.2119323440011</v>
      </c>
      <c r="P89" s="89">
        <f t="shared" si="53"/>
        <v>4729.2119323440011</v>
      </c>
      <c r="Q89" s="89">
        <f t="shared" si="54"/>
        <v>4729.2119323440011</v>
      </c>
      <c r="R89" s="89">
        <f t="shared" si="55"/>
        <v>4729.2119323440011</v>
      </c>
      <c r="S89" s="89">
        <f t="shared" si="56"/>
        <v>4729.2119323440011</v>
      </c>
      <c r="T89" s="89">
        <f t="shared" si="57"/>
        <v>4729.2119323440011</v>
      </c>
      <c r="U89" s="89">
        <f t="shared" si="58"/>
        <v>4729.2119323440011</v>
      </c>
      <c r="V89" s="89">
        <f>SUM(Table27[[#This Row],[Payment 1 - 9/1/22]:[Payment 18 -2038]])</f>
        <v>81788.861107270408</v>
      </c>
    </row>
    <row r="90" spans="1:22" x14ac:dyDescent="0.3">
      <c r="E90" s="80">
        <f>B90*$F$9</f>
        <v>0</v>
      </c>
    </row>
  </sheetData>
  <pageMargins left="0.7" right="0.7" top="0.75" bottom="0.75" header="0.3" footer="0.3"/>
  <pageSetup orientation="portrait" copies="0" r:id="rId1"/>
  <customProperties>
    <customPr name="OrphanNamesChecked" r:id="rId2"/>
  </customProperties>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345AED64094D4D8307469A9ED6BB78" ma:contentTypeVersion="14" ma:contentTypeDescription="Create a new document." ma:contentTypeScope="" ma:versionID="2f21a5a870588ad4596bd518a14af0bc">
  <xsd:schema xmlns:xsd="http://www.w3.org/2001/XMLSchema" xmlns:xs="http://www.w3.org/2001/XMLSchema" xmlns:p="http://schemas.microsoft.com/office/2006/metadata/properties" xmlns:ns2="7fc5aa47-f438-4196-b3b6-d3756d88bd61" xmlns:ns3="97f4d639-200a-4f35-a684-0b5f72844889" targetNamespace="http://schemas.microsoft.com/office/2006/metadata/properties" ma:root="true" ma:fieldsID="2578d0fe7969de5d3201d871ed10a16a" ns2:_="" ns3:_="">
    <xsd:import namespace="7fc5aa47-f438-4196-b3b6-d3756d88bd61"/>
    <xsd:import namespace="97f4d639-200a-4f35-a684-0b5f728448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5aa47-f438-4196-b3b6-d3756d88b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1ea644-9c4e-4dfb-916f-08a355146fa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f4d639-200a-4f35-a684-0b5f7284488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b6ff682-9065-43df-a90a-fcd3992773f7}" ma:internalName="TaxCatchAll" ma:showField="CatchAllData" ma:web="97f4d639-200a-4f35-a684-0b5f7284488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f4d639-200a-4f35-a684-0b5f72844889" xsi:nil="true"/>
    <lcf76f155ced4ddcb4097134ff3c332f xmlns="7fc5aa47-f438-4196-b3b6-d3756d88bd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9DAA14-75B4-4307-8A89-7EC5682C9D60}"/>
</file>

<file path=customXml/itemProps2.xml><?xml version="1.0" encoding="utf-8"?>
<ds:datastoreItem xmlns:ds="http://schemas.openxmlformats.org/officeDocument/2006/customXml" ds:itemID="{7C7C5913-09EC-40A4-BEBD-4F9176124D6C}"/>
</file>

<file path=customXml/itemProps3.xml><?xml version="1.0" encoding="utf-8"?>
<ds:datastoreItem xmlns:ds="http://schemas.openxmlformats.org/officeDocument/2006/customXml" ds:itemID="{BF2BD5A7-902A-4D60-BD88-92C65B3F61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Summary</vt:lpstr>
      <vt:lpstr>Wave 1 Payment 5 Summary</vt:lpstr>
      <vt:lpstr>Wave 1 J&amp;J Payment Detail</vt:lpstr>
      <vt:lpstr>Wave 1 Distrib Partial Payment</vt:lpstr>
      <vt:lpstr>Wave 2 Payment Detail</vt:lpstr>
      <vt:lpstr>Endo Payment Detail</vt:lpstr>
      <vt:lpstr>Dist and JJ Totals</vt:lpstr>
      <vt:lpstr>Dist and JJ County Payments</vt:lpstr>
      <vt:lpstr>Distributors Litigating Subs</vt:lpstr>
      <vt:lpstr>J&amp;J Litigating Subs</vt:lpstr>
      <vt:lpstr>Wave 2 Payment 3 Summary</vt:lpstr>
      <vt:lpstr>County Breakdown</vt:lpstr>
      <vt:lpstr>Teva Allergan Walmart County</vt:lpstr>
      <vt:lpstr>Walgreens and CVS County</vt:lpstr>
      <vt:lpstr>Teva Litigating</vt:lpstr>
      <vt:lpstr>Allergan Litigating</vt:lpstr>
      <vt:lpstr>Walgreens and CVS Litigating</vt:lpstr>
      <vt:lpstr>Walmart Litigating</vt:lpstr>
      <vt:lpstr>Teva Allergan Lit Breakdown</vt:lpstr>
      <vt:lpstr>Pharmacies Breakdown</vt:lpstr>
      <vt:lpstr>Endo Overview</vt:lpstr>
      <vt:lpstr>Endo County w Floor</vt:lpstr>
      <vt:lpstr>Endo Litigating Subs w Floor</vt:lpstr>
      <vt:lpstr>Endo Ratio for Min Lit Subs</vt:lpstr>
      <vt:lpstr>Fees 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Briana Anderson</dc:creator>
  <cp:lastModifiedBy>Briana Anderson</cp:lastModifiedBy>
  <dcterms:created xsi:type="dcterms:W3CDTF">2024-10-23T18:28:33Z</dcterms:created>
  <dcterms:modified xsi:type="dcterms:W3CDTF">2025-08-27T20:18:23Z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0x010100E2345AED64094D4D8307469A9ED6BB78</vt:lpwstr>
  </property>
</Properties>
</file>