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ccapoffice.sharepoint.com/sites/PAOpioidTrust/Shared Documents/Settlements/Distributions from Trust/"/>
    </mc:Choice>
  </mc:AlternateContent>
  <xr:revisionPtr revIDLastSave="0" documentId="8_{FAD36B84-8FA0-48EA-A013-B9335321CF95}" xr6:coauthVersionLast="47" xr6:coauthVersionMax="47" xr10:uidLastSave="{00000000-0000-0000-0000-000000000000}"/>
  <bookViews>
    <workbookView xWindow="-28920" yWindow="-90" windowWidth="29040" windowHeight="15720" xr2:uid="{00000000-000D-0000-FFFF-FFFF00000000}"/>
  </bookViews>
  <sheets>
    <sheet name="Summary" sheetId="12" r:id="rId1"/>
    <sheet name="Wave II Payment Detail" sheetId="11" r:id="rId2"/>
    <sheet name="Distribution Breakdown" sheetId="1" r:id="rId3"/>
    <sheet name="County Breakdown" sheetId="6" r:id="rId4"/>
    <sheet name="Teva Allergan Walmart County" sheetId="2" r:id="rId5"/>
    <sheet name="Walgreens and CVS County" sheetId="3" r:id="rId6"/>
    <sheet name="Teva Allergan Lit Breakdown" sheetId="10" r:id="rId7"/>
    <sheet name="Teva Litigating" sheetId="4" r:id="rId8"/>
    <sheet name="Allergan Litigating" sheetId="9" r:id="rId9"/>
    <sheet name="Pharmacies Breakdown" sheetId="7" r:id="rId10"/>
    <sheet name="Walgreens and CVS Litigating" sheetId="5" r:id="rId11"/>
    <sheet name="Walmart Litigating" sheetId="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4" i="11" l="1"/>
  <c r="AG15" i="11"/>
  <c r="AG27" i="11"/>
  <c r="AG17" i="11"/>
  <c r="AG55" i="11"/>
  <c r="AG126" i="11"/>
  <c r="AG125" i="11"/>
  <c r="AG124" i="11"/>
  <c r="AG123" i="11"/>
  <c r="AG122" i="11"/>
  <c r="AG121" i="11"/>
  <c r="AG120" i="11"/>
  <c r="AG119" i="11"/>
  <c r="AG118" i="11"/>
  <c r="AG117" i="11"/>
  <c r="AG116" i="11"/>
  <c r="AG115" i="11"/>
  <c r="AG114" i="11"/>
  <c r="AG113" i="11"/>
  <c r="AG112" i="11"/>
  <c r="AG111" i="11"/>
  <c r="AG110" i="11"/>
  <c r="AG109" i="11"/>
  <c r="AG108" i="11"/>
  <c r="AG107" i="11"/>
  <c r="AG106" i="11"/>
  <c r="AG105" i="11"/>
  <c r="AG104" i="11"/>
  <c r="AG103" i="11"/>
  <c r="AG102" i="11"/>
  <c r="AG101" i="11"/>
  <c r="AG100" i="11"/>
  <c r="AG99" i="11"/>
  <c r="AG98" i="11"/>
  <c r="AG97" i="11"/>
  <c r="AG96" i="11"/>
  <c r="AG95" i="11"/>
  <c r="AG94" i="11"/>
  <c r="AG93" i="11"/>
  <c r="AG92" i="11"/>
  <c r="AG91" i="11"/>
  <c r="AG90" i="11"/>
  <c r="AG89" i="11"/>
  <c r="AG88" i="11"/>
  <c r="AG87" i="11"/>
  <c r="AG86" i="11"/>
  <c r="AG85" i="11"/>
  <c r="AG84" i="11"/>
  <c r="AG83" i="11"/>
  <c r="AG82" i="11"/>
  <c r="AG81" i="11"/>
  <c r="AG80" i="11"/>
  <c r="AG79" i="11"/>
  <c r="AG78" i="11"/>
  <c r="AG77" i="11"/>
  <c r="AG76" i="11"/>
  <c r="AG75" i="11"/>
  <c r="AG74" i="11"/>
  <c r="AG73" i="11"/>
  <c r="AG71" i="11"/>
  <c r="AG70" i="11"/>
  <c r="AG69" i="11"/>
  <c r="AG68" i="11"/>
  <c r="AG67" i="11"/>
  <c r="AG66" i="11"/>
  <c r="AG65" i="11"/>
  <c r="AG64" i="11"/>
  <c r="AG63" i="11"/>
  <c r="AG62" i="11"/>
  <c r="AG61" i="11"/>
  <c r="AG60" i="11"/>
  <c r="AG59" i="11"/>
  <c r="AG58" i="11"/>
  <c r="AG57" i="11"/>
  <c r="AG56" i="11"/>
  <c r="AG54" i="11"/>
  <c r="AG53" i="11"/>
  <c r="AG52" i="11"/>
  <c r="AG51" i="11"/>
  <c r="AG50" i="11"/>
  <c r="AG49" i="11"/>
  <c r="AG48" i="11"/>
  <c r="AG47" i="11"/>
  <c r="AG46" i="11"/>
  <c r="AG45" i="11"/>
  <c r="AG44" i="11"/>
  <c r="AG43" i="11"/>
  <c r="AG42" i="11"/>
  <c r="AG41" i="11"/>
  <c r="AG40" i="11"/>
  <c r="AG39" i="11"/>
  <c r="AG38" i="11"/>
  <c r="AG37" i="11"/>
  <c r="AG36" i="11"/>
  <c r="AG35" i="11"/>
  <c r="AG34" i="11"/>
  <c r="AG33" i="11"/>
  <c r="AG32" i="11"/>
  <c r="AG31" i="11"/>
  <c r="AG30" i="11"/>
  <c r="AG29" i="11"/>
  <c r="AG28" i="11"/>
  <c r="AG26" i="11"/>
  <c r="AG25" i="11"/>
  <c r="AG24" i="11"/>
  <c r="AG23" i="11"/>
  <c r="AG22" i="11"/>
  <c r="AG21" i="11"/>
  <c r="AG20" i="11"/>
  <c r="AG19" i="11"/>
  <c r="AG18" i="11"/>
  <c r="AG16" i="11"/>
  <c r="AG13" i="11"/>
  <c r="AG12" i="11"/>
  <c r="AG11" i="11"/>
  <c r="AG10" i="11"/>
  <c r="AG9" i="11"/>
  <c r="AG8" i="11"/>
  <c r="AG7" i="11"/>
  <c r="AG6" i="11"/>
  <c r="AG5" i="11"/>
  <c r="J25" i="1"/>
  <c r="K25" i="1"/>
  <c r="I24" i="1"/>
  <c r="Z128" i="11"/>
  <c r="L128" i="11"/>
  <c r="AJ72" i="11"/>
  <c r="X72" i="11"/>
  <c r="X128" i="11" s="1"/>
  <c r="X127" i="11"/>
  <c r="D29" i="1"/>
  <c r="D28" i="1"/>
  <c r="J26" i="1" s="1"/>
  <c r="U128" i="11"/>
  <c r="I74" i="11"/>
  <c r="AH128" i="11"/>
  <c r="AC128" i="11"/>
  <c r="AB128" i="11"/>
  <c r="AA128" i="11"/>
  <c r="T128" i="11"/>
  <c r="Q128" i="11"/>
  <c r="P128" i="11"/>
  <c r="M128" i="11"/>
  <c r="H74" i="11"/>
  <c r="E74" i="11"/>
  <c r="D74" i="11"/>
  <c r="AJ111" i="11" l="1"/>
  <c r="AJ82" i="11"/>
  <c r="AJ114" i="11"/>
  <c r="AJ12" i="11"/>
  <c r="AJ28" i="11"/>
  <c r="AJ52" i="11"/>
  <c r="AJ13" i="11"/>
  <c r="AJ21" i="11"/>
  <c r="AJ29" i="11"/>
  <c r="AJ37" i="11"/>
  <c r="AJ45" i="11"/>
  <c r="AJ53" i="11"/>
  <c r="AJ61" i="11"/>
  <c r="AJ69" i="11"/>
  <c r="AJ88" i="11"/>
  <c r="AJ96" i="11"/>
  <c r="AJ112" i="11"/>
  <c r="AJ20" i="11"/>
  <c r="AJ36" i="11"/>
  <c r="AJ68" i="11"/>
  <c r="AJ6" i="11"/>
  <c r="AJ14" i="11"/>
  <c r="AJ22" i="11"/>
  <c r="AJ30" i="11"/>
  <c r="AJ38" i="11"/>
  <c r="AJ46" i="11"/>
  <c r="AJ54" i="11"/>
  <c r="AJ62" i="11"/>
  <c r="AJ70" i="11"/>
  <c r="AJ81" i="11"/>
  <c r="AJ97" i="11"/>
  <c r="AJ105" i="11"/>
  <c r="AJ113" i="11"/>
  <c r="AJ121" i="11"/>
  <c r="AJ23" i="11"/>
  <c r="AJ63" i="11"/>
  <c r="AJ8" i="11"/>
  <c r="AJ16" i="11"/>
  <c r="AJ24" i="11"/>
  <c r="AJ32" i="11"/>
  <c r="AJ40" i="11"/>
  <c r="AJ48" i="11"/>
  <c r="AJ56" i="11"/>
  <c r="AJ64" i="11"/>
  <c r="AJ75" i="11"/>
  <c r="AJ91" i="11"/>
  <c r="AJ99" i="11"/>
  <c r="AJ107" i="11"/>
  <c r="AJ115" i="11"/>
  <c r="AJ119" i="11"/>
  <c r="AJ60" i="11"/>
  <c r="AJ31" i="11"/>
  <c r="AJ55" i="11"/>
  <c r="AJ9" i="11"/>
  <c r="AJ17" i="11"/>
  <c r="AJ25" i="11"/>
  <c r="AJ33" i="11"/>
  <c r="AJ41" i="11"/>
  <c r="AJ49" i="11"/>
  <c r="AJ57" i="11"/>
  <c r="AJ65" i="11"/>
  <c r="AJ76" i="11"/>
  <c r="AJ84" i="11"/>
  <c r="AJ92" i="11"/>
  <c r="AJ108" i="11"/>
  <c r="AJ15" i="11"/>
  <c r="AJ39" i="11"/>
  <c r="AJ10" i="11"/>
  <c r="AJ18" i="11"/>
  <c r="AJ26" i="11"/>
  <c r="AJ34" i="11"/>
  <c r="AJ42" i="11"/>
  <c r="AJ50" i="11"/>
  <c r="AJ58" i="11"/>
  <c r="AJ66" i="11"/>
  <c r="AJ77" i="11"/>
  <c r="AJ93" i="11"/>
  <c r="AJ101" i="11"/>
  <c r="AJ125" i="11"/>
  <c r="AJ44" i="11"/>
  <c r="AJ7" i="11"/>
  <c r="AJ47" i="11"/>
  <c r="AJ11" i="11"/>
  <c r="AJ19" i="11"/>
  <c r="AJ27" i="11"/>
  <c r="AJ35" i="11"/>
  <c r="AJ43" i="11"/>
  <c r="AJ51" i="11"/>
  <c r="AJ59" i="11"/>
  <c r="AJ67" i="11"/>
  <c r="AJ78" i="11"/>
  <c r="AJ86" i="11"/>
  <c r="AJ102" i="11"/>
  <c r="AJ110" i="11"/>
  <c r="AJ118" i="11"/>
  <c r="AJ80" i="11"/>
  <c r="AJ90" i="11"/>
  <c r="AJ98" i="11"/>
  <c r="AJ106" i="11"/>
  <c r="AJ122" i="11"/>
  <c r="AJ104" i="11"/>
  <c r="AJ83" i="11"/>
  <c r="AJ123" i="11"/>
  <c r="AJ100" i="11"/>
  <c r="AJ116" i="11"/>
  <c r="AJ124" i="11"/>
  <c r="AJ85" i="11"/>
  <c r="AJ109" i="11"/>
  <c r="AJ117" i="11"/>
  <c r="AJ89" i="11"/>
  <c r="AJ94" i="11"/>
  <c r="AJ126" i="11"/>
  <c r="AJ120" i="11"/>
  <c r="AJ79" i="11"/>
  <c r="AJ87" i="11"/>
  <c r="AJ95" i="11"/>
  <c r="AJ103" i="11"/>
  <c r="AJ71" i="11" l="1"/>
  <c r="AJ73" i="11"/>
  <c r="AJ74" i="11"/>
  <c r="AJ5" i="11" l="1"/>
  <c r="AJ128" i="11" s="1"/>
  <c r="AG128" i="11"/>
  <c r="D39" i="1" l="1"/>
  <c r="K36" i="1"/>
  <c r="E2" i="1" s="1"/>
  <c r="I36" i="1"/>
  <c r="F2" i="1" s="1"/>
  <c r="G36" i="1"/>
  <c r="E36" i="1"/>
  <c r="D2" i="1" s="1"/>
  <c r="C36" i="1"/>
  <c r="C2" i="1" s="1"/>
  <c r="H7" i="7" l="1"/>
  <c r="H8" i="7"/>
  <c r="H9" i="7"/>
  <c r="H10" i="7"/>
  <c r="H11" i="7"/>
  <c r="H12" i="7"/>
  <c r="H13" i="7"/>
  <c r="H14" i="7"/>
  <c r="H15" i="7"/>
  <c r="H16" i="7"/>
  <c r="E7" i="7"/>
  <c r="E8" i="7"/>
  <c r="E9" i="7"/>
  <c r="E10" i="7"/>
  <c r="E11" i="7"/>
  <c r="E12" i="7"/>
  <c r="E13" i="7"/>
  <c r="E14" i="7"/>
  <c r="E15" i="7"/>
  <c r="E16" i="7"/>
  <c r="D7" i="7"/>
  <c r="D8" i="7"/>
  <c r="D9" i="7"/>
  <c r="D10" i="7"/>
  <c r="F10" i="7" s="1"/>
  <c r="K84" i="5" s="1"/>
  <c r="D11" i="7"/>
  <c r="D12" i="7"/>
  <c r="D13" i="7"/>
  <c r="D14" i="7"/>
  <c r="D15" i="7"/>
  <c r="D16" i="7"/>
  <c r="F12" i="7" l="1"/>
  <c r="M84" i="5" s="1"/>
  <c r="F11" i="7"/>
  <c r="L84" i="5" s="1"/>
  <c r="F13" i="7"/>
  <c r="N84" i="5" s="1"/>
  <c r="F9" i="7"/>
  <c r="J84" i="5" s="1"/>
  <c r="F15" i="7"/>
  <c r="P84" i="5" s="1"/>
  <c r="F7" i="7"/>
  <c r="H84" i="5" s="1"/>
  <c r="F16" i="7"/>
  <c r="Q84" i="5" s="1"/>
  <c r="F8" i="7"/>
  <c r="I84" i="5" s="1"/>
  <c r="F14" i="7"/>
  <c r="O84" i="5" s="1"/>
  <c r="H7" i="10"/>
  <c r="H8" i="10"/>
  <c r="I84" i="9" s="1"/>
  <c r="H9" i="10"/>
  <c r="H10" i="10"/>
  <c r="H11" i="10"/>
  <c r="H12" i="10"/>
  <c r="H13" i="10"/>
  <c r="H14" i="10"/>
  <c r="G7" i="10"/>
  <c r="G8" i="10"/>
  <c r="G9" i="10"/>
  <c r="G10" i="10"/>
  <c r="G11" i="10"/>
  <c r="G12" i="10"/>
  <c r="G13" i="10"/>
  <c r="G14" i="10"/>
  <c r="E7" i="10"/>
  <c r="E8" i="10"/>
  <c r="E9" i="10"/>
  <c r="E10" i="10"/>
  <c r="E11" i="10"/>
  <c r="E12" i="10"/>
  <c r="E13" i="10"/>
  <c r="E14" i="10"/>
  <c r="D7" i="10"/>
  <c r="D8" i="10"/>
  <c r="D9" i="10"/>
  <c r="D10" i="10"/>
  <c r="D11" i="10"/>
  <c r="D12" i="10"/>
  <c r="D13" i="10"/>
  <c r="D14" i="10"/>
  <c r="H7" i="6"/>
  <c r="H8" i="6"/>
  <c r="H9" i="6"/>
  <c r="H10" i="6"/>
  <c r="H11" i="6"/>
  <c r="H12" i="6"/>
  <c r="H13" i="6"/>
  <c r="H14" i="6"/>
  <c r="H15" i="6"/>
  <c r="H16" i="6"/>
  <c r="G7" i="6"/>
  <c r="G8" i="6"/>
  <c r="G9" i="6"/>
  <c r="G10" i="6"/>
  <c r="G11" i="6"/>
  <c r="G12" i="6"/>
  <c r="G13" i="6"/>
  <c r="G14" i="6"/>
  <c r="G15" i="6"/>
  <c r="G16" i="6"/>
  <c r="F7" i="6"/>
  <c r="F8" i="6"/>
  <c r="F9" i="6"/>
  <c r="F10" i="6"/>
  <c r="F11" i="6"/>
  <c r="F12" i="6"/>
  <c r="F13" i="6"/>
  <c r="F14" i="6"/>
  <c r="F15" i="6"/>
  <c r="F16" i="6"/>
  <c r="E7" i="6"/>
  <c r="E8" i="6"/>
  <c r="E9" i="6"/>
  <c r="E10" i="6"/>
  <c r="E11" i="6"/>
  <c r="E12" i="6"/>
  <c r="E13" i="6"/>
  <c r="E14" i="6"/>
  <c r="E15" i="6"/>
  <c r="E16" i="6"/>
  <c r="D7" i="6"/>
  <c r="D8" i="6"/>
  <c r="D9" i="6"/>
  <c r="D10" i="6"/>
  <c r="D11" i="6"/>
  <c r="D12" i="6"/>
  <c r="D13" i="6"/>
  <c r="D14" i="6"/>
  <c r="D15" i="6"/>
  <c r="D16" i="6"/>
  <c r="W2" i="1" l="1"/>
  <c r="G2" i="7" s="1"/>
  <c r="W3" i="1"/>
  <c r="G3" i="7" s="1"/>
  <c r="W4" i="1"/>
  <c r="G4" i="7" s="1"/>
  <c r="W5" i="1"/>
  <c r="G5" i="7" s="1"/>
  <c r="W6" i="1"/>
  <c r="G6" i="7" s="1"/>
  <c r="W7" i="1"/>
  <c r="G7" i="7" s="1"/>
  <c r="I7" i="7" s="1"/>
  <c r="H85" i="8" s="1"/>
  <c r="W8" i="1"/>
  <c r="G8" i="7" s="1"/>
  <c r="I8" i="7" s="1"/>
  <c r="W9" i="1"/>
  <c r="G9" i="7" s="1"/>
  <c r="I9" i="7" s="1"/>
  <c r="W10" i="1"/>
  <c r="G10" i="7" s="1"/>
  <c r="I10" i="7" s="1"/>
  <c r="W11" i="1"/>
  <c r="G11" i="7" s="1"/>
  <c r="I11" i="7" s="1"/>
  <c r="W12" i="1"/>
  <c r="G12" i="7" s="1"/>
  <c r="I12" i="7" s="1"/>
  <c r="W13" i="1"/>
  <c r="G13" i="7" s="1"/>
  <c r="I13" i="7" s="1"/>
  <c r="W14" i="1"/>
  <c r="G14" i="7" s="1"/>
  <c r="I14" i="7" s="1"/>
  <c r="W15" i="1"/>
  <c r="G15" i="7" s="1"/>
  <c r="I15" i="7" s="1"/>
  <c r="W16" i="1"/>
  <c r="G16" i="7" s="1"/>
  <c r="I16" i="7" s="1"/>
  <c r="G17" i="7" l="1"/>
  <c r="V13" i="1"/>
  <c r="V9" i="1"/>
  <c r="V5" i="1"/>
  <c r="V16" i="1"/>
  <c r="V12" i="1"/>
  <c r="V8" i="1"/>
  <c r="V4" i="1"/>
  <c r="V15" i="1"/>
  <c r="V11" i="1"/>
  <c r="V7" i="1"/>
  <c r="V3" i="1"/>
  <c r="V14" i="1"/>
  <c r="V10" i="1"/>
  <c r="V6" i="1"/>
  <c r="V2" i="1"/>
  <c r="I2" i="6" s="1"/>
  <c r="B106" i="9"/>
  <c r="I87" i="9" l="1"/>
  <c r="I91" i="9" s="1"/>
  <c r="H87" i="9"/>
  <c r="H90" i="9" s="1"/>
  <c r="I28" i="5"/>
  <c r="O42" i="5"/>
  <c r="H84" i="9"/>
  <c r="O99" i="4"/>
  <c r="O95" i="4" s="1"/>
  <c r="N99" i="4"/>
  <c r="N96" i="4" s="1"/>
  <c r="M99" i="4"/>
  <c r="M95" i="4" s="1"/>
  <c r="L99" i="4"/>
  <c r="L96" i="4" s="1"/>
  <c r="K99" i="4"/>
  <c r="K95" i="4" s="1"/>
  <c r="J99" i="4"/>
  <c r="J96" i="4" s="1"/>
  <c r="I99" i="4"/>
  <c r="I95" i="4" s="1"/>
  <c r="H99" i="4"/>
  <c r="H96" i="4" s="1"/>
  <c r="I90" i="9" l="1"/>
  <c r="O68" i="5"/>
  <c r="O4" i="5"/>
  <c r="O36" i="5"/>
  <c r="H2" i="8"/>
  <c r="H4" i="8"/>
  <c r="H6" i="8"/>
  <c r="H8" i="8"/>
  <c r="H10" i="8"/>
  <c r="H12" i="8"/>
  <c r="H14" i="8"/>
  <c r="H16" i="8"/>
  <c r="H18" i="8"/>
  <c r="H20" i="8"/>
  <c r="H22" i="8"/>
  <c r="H24" i="8"/>
  <c r="H26" i="8"/>
  <c r="H28" i="8"/>
  <c r="H30" i="8"/>
  <c r="H32" i="8"/>
  <c r="H34" i="8"/>
  <c r="H36" i="8"/>
  <c r="H38" i="8"/>
  <c r="H40" i="8"/>
  <c r="H42" i="8"/>
  <c r="H44" i="8"/>
  <c r="H46" i="8"/>
  <c r="H48" i="8"/>
  <c r="H50" i="8"/>
  <c r="H52" i="8"/>
  <c r="H54" i="8"/>
  <c r="H56" i="8"/>
  <c r="H58" i="8"/>
  <c r="H60" i="8"/>
  <c r="H62" i="8"/>
  <c r="H64" i="8"/>
  <c r="H66" i="8"/>
  <c r="H68" i="8"/>
  <c r="H70" i="8"/>
  <c r="H72" i="8"/>
  <c r="H74" i="8"/>
  <c r="H76" i="8"/>
  <c r="H78" i="8"/>
  <c r="H80" i="8"/>
  <c r="H82" i="8"/>
  <c r="H3" i="8"/>
  <c r="H7" i="8"/>
  <c r="H11" i="8"/>
  <c r="H15" i="8"/>
  <c r="H19" i="8"/>
  <c r="H23" i="8"/>
  <c r="H27" i="8"/>
  <c r="H31" i="8"/>
  <c r="H35" i="8"/>
  <c r="H39" i="8"/>
  <c r="H43" i="8"/>
  <c r="H47" i="8"/>
  <c r="H51" i="8"/>
  <c r="H55" i="8"/>
  <c r="H59" i="8"/>
  <c r="H63" i="8"/>
  <c r="H67" i="8"/>
  <c r="H71" i="8"/>
  <c r="H75" i="8"/>
  <c r="H79" i="8"/>
  <c r="H83" i="8"/>
  <c r="H9" i="8"/>
  <c r="H17" i="8"/>
  <c r="H25" i="8"/>
  <c r="H33" i="8"/>
  <c r="H41" i="8"/>
  <c r="H49" i="8"/>
  <c r="H57" i="8"/>
  <c r="H65" i="8"/>
  <c r="H73" i="8"/>
  <c r="H81" i="8"/>
  <c r="H5" i="8"/>
  <c r="H13" i="8"/>
  <c r="H21" i="8"/>
  <c r="H29" i="8"/>
  <c r="H37" i="8"/>
  <c r="H45" i="8"/>
  <c r="H53" i="8"/>
  <c r="H61" i="8"/>
  <c r="H69" i="8"/>
  <c r="H77" i="8"/>
  <c r="Q24" i="5"/>
  <c r="Q3" i="5"/>
  <c r="Q61" i="5"/>
  <c r="Q49" i="5"/>
  <c r="Q62" i="5"/>
  <c r="Q8" i="5"/>
  <c r="Q40" i="5"/>
  <c r="Q35" i="5"/>
  <c r="Q77" i="5"/>
  <c r="Q5" i="5"/>
  <c r="O15" i="5"/>
  <c r="O31" i="5"/>
  <c r="O47" i="5"/>
  <c r="O63" i="5"/>
  <c r="O79" i="5"/>
  <c r="O26" i="5"/>
  <c r="O58" i="5"/>
  <c r="O78" i="5"/>
  <c r="O12" i="5"/>
  <c r="O28" i="5"/>
  <c r="O44" i="5"/>
  <c r="O60" i="5"/>
  <c r="O76" i="5"/>
  <c r="O7" i="5"/>
  <c r="O23" i="5"/>
  <c r="O39" i="5"/>
  <c r="O55" i="5"/>
  <c r="O71" i="5"/>
  <c r="M27" i="5"/>
  <c r="M59" i="5"/>
  <c r="M16" i="5"/>
  <c r="M80" i="5"/>
  <c r="M66" i="5"/>
  <c r="M11" i="5"/>
  <c r="M43" i="5"/>
  <c r="M75" i="5"/>
  <c r="M48" i="5"/>
  <c r="M34" i="5"/>
  <c r="K35" i="5"/>
  <c r="K34" i="5"/>
  <c r="K68" i="5"/>
  <c r="K3" i="5"/>
  <c r="K67" i="5"/>
  <c r="K16" i="5"/>
  <c r="I33" i="5"/>
  <c r="I22" i="5"/>
  <c r="I24" i="5"/>
  <c r="I76" i="5"/>
  <c r="I44" i="5"/>
  <c r="I12" i="5"/>
  <c r="I65" i="5"/>
  <c r="I56" i="5"/>
  <c r="I60" i="5"/>
  <c r="O52" i="5"/>
  <c r="O21" i="5"/>
  <c r="O70" i="5"/>
  <c r="O10" i="5"/>
  <c r="P2" i="5"/>
  <c r="P6" i="5"/>
  <c r="P10" i="5"/>
  <c r="P14" i="5"/>
  <c r="P18" i="5"/>
  <c r="P22" i="5"/>
  <c r="P26" i="5"/>
  <c r="P30" i="5"/>
  <c r="P34" i="5"/>
  <c r="P38" i="5"/>
  <c r="P42" i="5"/>
  <c r="P46" i="5"/>
  <c r="P50" i="5"/>
  <c r="P54" i="5"/>
  <c r="P58" i="5"/>
  <c r="P62" i="5"/>
  <c r="P66" i="5"/>
  <c r="P70" i="5"/>
  <c r="P74" i="5"/>
  <c r="P78" i="5"/>
  <c r="P82" i="5"/>
  <c r="P7" i="5"/>
  <c r="P15" i="5"/>
  <c r="P23" i="5"/>
  <c r="P31" i="5"/>
  <c r="P39" i="5"/>
  <c r="P47" i="5"/>
  <c r="P55" i="5"/>
  <c r="P63" i="5"/>
  <c r="P71" i="5"/>
  <c r="P79" i="5"/>
  <c r="P9" i="5"/>
  <c r="P17" i="5"/>
  <c r="P25" i="5"/>
  <c r="P33" i="5"/>
  <c r="P41" i="5"/>
  <c r="P49" i="5"/>
  <c r="P57" i="5"/>
  <c r="P65" i="5"/>
  <c r="P73" i="5"/>
  <c r="P81" i="5"/>
  <c r="N4" i="5"/>
  <c r="N8" i="5"/>
  <c r="N12" i="5"/>
  <c r="N16" i="5"/>
  <c r="N21" i="5"/>
  <c r="N24" i="5"/>
  <c r="N28" i="5"/>
  <c r="N32" i="5"/>
  <c r="N36" i="5"/>
  <c r="N40" i="5"/>
  <c r="N44" i="5"/>
  <c r="N48" i="5"/>
  <c r="N52" i="5"/>
  <c r="N56" i="5"/>
  <c r="N60" i="5"/>
  <c r="N64" i="5"/>
  <c r="N68" i="5"/>
  <c r="N72" i="5"/>
  <c r="N76" i="5"/>
  <c r="N80" i="5"/>
  <c r="N5" i="5"/>
  <c r="N13" i="5"/>
  <c r="N20" i="5"/>
  <c r="N29" i="5"/>
  <c r="N37" i="5"/>
  <c r="N45" i="5"/>
  <c r="N53" i="5"/>
  <c r="N61" i="5"/>
  <c r="N69" i="5"/>
  <c r="N77" i="5"/>
  <c r="N3" i="5"/>
  <c r="N11" i="5"/>
  <c r="N19" i="5"/>
  <c r="N27" i="5"/>
  <c r="N35" i="5"/>
  <c r="N43" i="5"/>
  <c r="N51" i="5"/>
  <c r="N59" i="5"/>
  <c r="N67" i="5"/>
  <c r="N75" i="5"/>
  <c r="L2" i="5"/>
  <c r="L6" i="5"/>
  <c r="L10" i="5"/>
  <c r="L14" i="5"/>
  <c r="L18" i="5"/>
  <c r="L22" i="5"/>
  <c r="L26" i="5"/>
  <c r="L30" i="5"/>
  <c r="L34" i="5"/>
  <c r="L38" i="5"/>
  <c r="L42" i="5"/>
  <c r="L46" i="5"/>
  <c r="L50" i="5"/>
  <c r="L54" i="5"/>
  <c r="L58" i="5"/>
  <c r="L62" i="5"/>
  <c r="L66" i="5"/>
  <c r="L70" i="5"/>
  <c r="L74" i="5"/>
  <c r="L78" i="5"/>
  <c r="L82" i="5"/>
  <c r="L7" i="5"/>
  <c r="L15" i="5"/>
  <c r="L23" i="5"/>
  <c r="L31" i="5"/>
  <c r="L39" i="5"/>
  <c r="L47" i="5"/>
  <c r="L55" i="5"/>
  <c r="L63" i="5"/>
  <c r="L71" i="5"/>
  <c r="L79" i="5"/>
  <c r="L9" i="5"/>
  <c r="L17" i="5"/>
  <c r="L25" i="5"/>
  <c r="L33" i="5"/>
  <c r="L41" i="5"/>
  <c r="L49" i="5"/>
  <c r="L57" i="5"/>
  <c r="L65" i="5"/>
  <c r="L73" i="5"/>
  <c r="L81" i="5"/>
  <c r="J4" i="5"/>
  <c r="J8" i="5"/>
  <c r="J12" i="5"/>
  <c r="J16" i="5"/>
  <c r="J21" i="5"/>
  <c r="J24" i="5"/>
  <c r="J28" i="5"/>
  <c r="J32" i="5"/>
  <c r="J36" i="5"/>
  <c r="J40" i="5"/>
  <c r="J44" i="5"/>
  <c r="J48" i="5"/>
  <c r="J52" i="5"/>
  <c r="J56" i="5"/>
  <c r="J60" i="5"/>
  <c r="J64" i="5"/>
  <c r="J68" i="5"/>
  <c r="J72" i="5"/>
  <c r="J76" i="5"/>
  <c r="J80" i="5"/>
  <c r="J6" i="5"/>
  <c r="J14" i="5"/>
  <c r="J22" i="5"/>
  <c r="J30" i="5"/>
  <c r="J38" i="5"/>
  <c r="J46" i="5"/>
  <c r="J54" i="5"/>
  <c r="J62" i="5"/>
  <c r="J70" i="5"/>
  <c r="J78" i="5"/>
  <c r="J5" i="5"/>
  <c r="J13" i="5"/>
  <c r="J20" i="5"/>
  <c r="J29" i="5"/>
  <c r="J37" i="5"/>
  <c r="J45" i="5"/>
  <c r="J53" i="5"/>
  <c r="J61" i="5"/>
  <c r="J69" i="5"/>
  <c r="J77" i="5"/>
  <c r="J3" i="5"/>
  <c r="J11" i="5"/>
  <c r="J19" i="5"/>
  <c r="J27" i="5"/>
  <c r="J35" i="5"/>
  <c r="J43" i="5"/>
  <c r="J51" i="5"/>
  <c r="J59" i="5"/>
  <c r="J67" i="5"/>
  <c r="J75" i="5"/>
  <c r="H4" i="5"/>
  <c r="H8" i="5"/>
  <c r="H12" i="5"/>
  <c r="H5" i="5"/>
  <c r="H13" i="5"/>
  <c r="H18" i="5"/>
  <c r="H22" i="5"/>
  <c r="H26" i="5"/>
  <c r="H30" i="5"/>
  <c r="H34" i="5"/>
  <c r="H38" i="5"/>
  <c r="H42" i="5"/>
  <c r="H46" i="5"/>
  <c r="H50" i="5"/>
  <c r="H54" i="5"/>
  <c r="H58" i="5"/>
  <c r="H62" i="5"/>
  <c r="H66" i="5"/>
  <c r="H70" i="5"/>
  <c r="H74" i="5"/>
  <c r="H78" i="5"/>
  <c r="H82" i="5"/>
  <c r="H6" i="5"/>
  <c r="H14" i="5"/>
  <c r="H16" i="5"/>
  <c r="H24" i="5"/>
  <c r="H32" i="5"/>
  <c r="H40" i="5"/>
  <c r="H48" i="5"/>
  <c r="H56" i="5"/>
  <c r="H64" i="5"/>
  <c r="H72" i="5"/>
  <c r="H80" i="5"/>
  <c r="H79" i="5"/>
  <c r="H71" i="5"/>
  <c r="H63" i="5"/>
  <c r="H55" i="5"/>
  <c r="H47" i="5"/>
  <c r="H39" i="5"/>
  <c r="H31" i="5"/>
  <c r="H23" i="5"/>
  <c r="H15" i="5"/>
  <c r="H11" i="5"/>
  <c r="H20" i="5"/>
  <c r="H29" i="5"/>
  <c r="H37" i="5"/>
  <c r="H45" i="5"/>
  <c r="H53" i="5"/>
  <c r="H61" i="5"/>
  <c r="H69" i="5"/>
  <c r="H77" i="5"/>
  <c r="H7" i="5"/>
  <c r="H27" i="5"/>
  <c r="H43" i="5"/>
  <c r="H59" i="5"/>
  <c r="H75" i="5"/>
  <c r="P77" i="5"/>
  <c r="P61" i="5"/>
  <c r="P45" i="5"/>
  <c r="P29" i="5"/>
  <c r="P13" i="5"/>
  <c r="P75" i="5"/>
  <c r="P59" i="5"/>
  <c r="P43" i="5"/>
  <c r="P27" i="5"/>
  <c r="P11" i="5"/>
  <c r="P80" i="5"/>
  <c r="P72" i="5"/>
  <c r="P64" i="5"/>
  <c r="P56" i="5"/>
  <c r="P48" i="5"/>
  <c r="P40" i="5"/>
  <c r="P32" i="5"/>
  <c r="P24" i="5"/>
  <c r="P16" i="5"/>
  <c r="P8" i="5"/>
  <c r="N79" i="5"/>
  <c r="N63" i="5"/>
  <c r="N47" i="5"/>
  <c r="N31" i="5"/>
  <c r="N15" i="5"/>
  <c r="N81" i="5"/>
  <c r="N65" i="5"/>
  <c r="N49" i="5"/>
  <c r="N33" i="5"/>
  <c r="N17" i="5"/>
  <c r="N82" i="5"/>
  <c r="N74" i="5"/>
  <c r="N66" i="5"/>
  <c r="N58" i="5"/>
  <c r="N50" i="5"/>
  <c r="N42" i="5"/>
  <c r="N34" i="5"/>
  <c r="N26" i="5"/>
  <c r="N18" i="5"/>
  <c r="N10" i="5"/>
  <c r="N2" i="5"/>
  <c r="L69" i="5"/>
  <c r="L53" i="5"/>
  <c r="L37" i="5"/>
  <c r="L20" i="5"/>
  <c r="L5" i="5"/>
  <c r="L67" i="5"/>
  <c r="L51" i="5"/>
  <c r="L35" i="5"/>
  <c r="L19" i="5"/>
  <c r="L3" i="5"/>
  <c r="L76" i="5"/>
  <c r="L68" i="5"/>
  <c r="L60" i="5"/>
  <c r="L52" i="5"/>
  <c r="L44" i="5"/>
  <c r="L36" i="5"/>
  <c r="L28" i="5"/>
  <c r="L21" i="5"/>
  <c r="L12" i="5"/>
  <c r="L4" i="5"/>
  <c r="J71" i="5"/>
  <c r="J55" i="5"/>
  <c r="J39" i="5"/>
  <c r="J23" i="5"/>
  <c r="J7" i="5"/>
  <c r="J73" i="5"/>
  <c r="J57" i="5"/>
  <c r="J41" i="5"/>
  <c r="J25" i="5"/>
  <c r="J9" i="5"/>
  <c r="J74" i="5"/>
  <c r="J58" i="5"/>
  <c r="J42" i="5"/>
  <c r="J26" i="5"/>
  <c r="J10" i="5"/>
  <c r="H76" i="5"/>
  <c r="H60" i="5"/>
  <c r="H44" i="5"/>
  <c r="H28" i="5"/>
  <c r="H9" i="5"/>
  <c r="H2" i="5"/>
  <c r="Q2" i="5"/>
  <c r="Q6" i="5"/>
  <c r="Q10" i="5"/>
  <c r="Q14" i="5"/>
  <c r="Q18" i="5"/>
  <c r="Q22" i="5"/>
  <c r="Q26" i="5"/>
  <c r="Q30" i="5"/>
  <c r="Q34" i="5"/>
  <c r="Q38" i="5"/>
  <c r="Q42" i="5"/>
  <c r="Q46" i="5"/>
  <c r="Q50" i="5"/>
  <c r="Q54" i="5"/>
  <c r="Q7" i="5"/>
  <c r="Q15" i="5"/>
  <c r="Q23" i="5"/>
  <c r="Q31" i="5"/>
  <c r="Q39" i="5"/>
  <c r="Q47" i="5"/>
  <c r="Q55" i="5"/>
  <c r="Q59" i="5"/>
  <c r="Q63" i="5"/>
  <c r="Q67" i="5"/>
  <c r="Q71" i="5"/>
  <c r="Q75" i="5"/>
  <c r="Q79" i="5"/>
  <c r="Q9" i="5"/>
  <c r="Q25" i="5"/>
  <c r="Q41" i="5"/>
  <c r="Q56" i="5"/>
  <c r="Q64" i="5"/>
  <c r="Q72" i="5"/>
  <c r="Q80" i="5"/>
  <c r="Q13" i="5"/>
  <c r="Q29" i="5"/>
  <c r="Q45" i="5"/>
  <c r="Q58" i="5"/>
  <c r="Q66" i="5"/>
  <c r="Q74" i="5"/>
  <c r="Q82" i="5"/>
  <c r="Q4" i="5"/>
  <c r="Q12" i="5"/>
  <c r="Q21" i="5"/>
  <c r="Q28" i="5"/>
  <c r="Q36" i="5"/>
  <c r="Q44" i="5"/>
  <c r="Q52" i="5"/>
  <c r="Q11" i="5"/>
  <c r="Q27" i="5"/>
  <c r="Q43" i="5"/>
  <c r="Q57" i="5"/>
  <c r="Q65" i="5"/>
  <c r="Q73" i="5"/>
  <c r="Q81" i="5"/>
  <c r="Q33" i="5"/>
  <c r="Q60" i="5"/>
  <c r="Q76" i="5"/>
  <c r="Q20" i="5"/>
  <c r="Q53" i="5"/>
  <c r="Q70" i="5"/>
  <c r="O5" i="5"/>
  <c r="O9" i="5"/>
  <c r="O13" i="5"/>
  <c r="O17" i="5"/>
  <c r="O20" i="5"/>
  <c r="O25" i="5"/>
  <c r="O29" i="5"/>
  <c r="O33" i="5"/>
  <c r="O37" i="5"/>
  <c r="O41" i="5"/>
  <c r="O45" i="5"/>
  <c r="O49" i="5"/>
  <c r="O53" i="5"/>
  <c r="O57" i="5"/>
  <c r="O61" i="5"/>
  <c r="O65" i="5"/>
  <c r="O69" i="5"/>
  <c r="O73" i="5"/>
  <c r="O77" i="5"/>
  <c r="O81" i="5"/>
  <c r="O6" i="5"/>
  <c r="O14" i="5"/>
  <c r="O22" i="5"/>
  <c r="O30" i="5"/>
  <c r="O38" i="5"/>
  <c r="O46" i="5"/>
  <c r="O54" i="5"/>
  <c r="O62" i="5"/>
  <c r="M5" i="5"/>
  <c r="M9" i="5"/>
  <c r="M13" i="5"/>
  <c r="M17" i="5"/>
  <c r="M20" i="5"/>
  <c r="M25" i="5"/>
  <c r="M29" i="5"/>
  <c r="M33" i="5"/>
  <c r="M37" i="5"/>
  <c r="M41" i="5"/>
  <c r="M45" i="5"/>
  <c r="M49" i="5"/>
  <c r="M53" i="5"/>
  <c r="M57" i="5"/>
  <c r="M61" i="5"/>
  <c r="M65" i="5"/>
  <c r="M69" i="5"/>
  <c r="M73" i="5"/>
  <c r="M77" i="5"/>
  <c r="M81" i="5"/>
  <c r="M4" i="5"/>
  <c r="M12" i="5"/>
  <c r="M21" i="5"/>
  <c r="M28" i="5"/>
  <c r="M36" i="5"/>
  <c r="M44" i="5"/>
  <c r="M52" i="5"/>
  <c r="M60" i="5"/>
  <c r="M68" i="5"/>
  <c r="M76" i="5"/>
  <c r="M6" i="5"/>
  <c r="M14" i="5"/>
  <c r="M22" i="5"/>
  <c r="M30" i="5"/>
  <c r="M38" i="5"/>
  <c r="M46" i="5"/>
  <c r="M54" i="5"/>
  <c r="M62" i="5"/>
  <c r="M70" i="5"/>
  <c r="M78" i="5"/>
  <c r="M7" i="5"/>
  <c r="M15" i="5"/>
  <c r="M23" i="5"/>
  <c r="M31" i="5"/>
  <c r="M39" i="5"/>
  <c r="M47" i="5"/>
  <c r="M55" i="5"/>
  <c r="M63" i="5"/>
  <c r="M71" i="5"/>
  <c r="M79" i="5"/>
  <c r="M8" i="5"/>
  <c r="M24" i="5"/>
  <c r="M40" i="5"/>
  <c r="M56" i="5"/>
  <c r="M72" i="5"/>
  <c r="M10" i="5"/>
  <c r="M26" i="5"/>
  <c r="M42" i="5"/>
  <c r="M58" i="5"/>
  <c r="M74" i="5"/>
  <c r="K5" i="5"/>
  <c r="K9" i="5"/>
  <c r="K13" i="5"/>
  <c r="K17" i="5"/>
  <c r="K20" i="5"/>
  <c r="K25" i="5"/>
  <c r="K29" i="5"/>
  <c r="K33" i="5"/>
  <c r="K37" i="5"/>
  <c r="K41" i="5"/>
  <c r="K45" i="5"/>
  <c r="K49" i="5"/>
  <c r="K53" i="5"/>
  <c r="K57" i="5"/>
  <c r="K61" i="5"/>
  <c r="K65" i="5"/>
  <c r="K69" i="5"/>
  <c r="K73" i="5"/>
  <c r="K77" i="5"/>
  <c r="K81" i="5"/>
  <c r="K6" i="5"/>
  <c r="K14" i="5"/>
  <c r="K22" i="5"/>
  <c r="K30" i="5"/>
  <c r="K38" i="5"/>
  <c r="K46" i="5"/>
  <c r="K54" i="5"/>
  <c r="K62" i="5"/>
  <c r="K70" i="5"/>
  <c r="K78" i="5"/>
  <c r="K4" i="5"/>
  <c r="K12" i="5"/>
  <c r="K21" i="5"/>
  <c r="K28" i="5"/>
  <c r="K36" i="5"/>
  <c r="K44" i="5"/>
  <c r="K52" i="5"/>
  <c r="K7" i="5"/>
  <c r="K15" i="5"/>
  <c r="K23" i="5"/>
  <c r="K31" i="5"/>
  <c r="K39" i="5"/>
  <c r="K47" i="5"/>
  <c r="K55" i="5"/>
  <c r="K63" i="5"/>
  <c r="K71" i="5"/>
  <c r="K79" i="5"/>
  <c r="K10" i="5"/>
  <c r="K26" i="5"/>
  <c r="K42" i="5"/>
  <c r="K58" i="5"/>
  <c r="K74" i="5"/>
  <c r="K8" i="5"/>
  <c r="K24" i="5"/>
  <c r="K40" i="5"/>
  <c r="K56" i="5"/>
  <c r="K64" i="5"/>
  <c r="K72" i="5"/>
  <c r="K80" i="5"/>
  <c r="K11" i="5"/>
  <c r="K27" i="5"/>
  <c r="K43" i="5"/>
  <c r="K59" i="5"/>
  <c r="K75" i="5"/>
  <c r="K18" i="5"/>
  <c r="K50" i="5"/>
  <c r="K82" i="5"/>
  <c r="K32" i="5"/>
  <c r="K60" i="5"/>
  <c r="K76" i="5"/>
  <c r="I3" i="5"/>
  <c r="I7" i="5"/>
  <c r="I11" i="5"/>
  <c r="I15" i="5"/>
  <c r="I19" i="5"/>
  <c r="I23" i="5"/>
  <c r="I27" i="5"/>
  <c r="I31" i="5"/>
  <c r="I35" i="5"/>
  <c r="I39" i="5"/>
  <c r="I43" i="5"/>
  <c r="I47" i="5"/>
  <c r="I51" i="5"/>
  <c r="I55" i="5"/>
  <c r="I59" i="5"/>
  <c r="I63" i="5"/>
  <c r="I67" i="5"/>
  <c r="I71" i="5"/>
  <c r="I75" i="5"/>
  <c r="I79" i="5"/>
  <c r="I4" i="5"/>
  <c r="I2" i="5"/>
  <c r="I10" i="5"/>
  <c r="I18" i="5"/>
  <c r="I26" i="5"/>
  <c r="I34" i="5"/>
  <c r="I42" i="5"/>
  <c r="I50" i="5"/>
  <c r="I58" i="5"/>
  <c r="I66" i="5"/>
  <c r="I74" i="5"/>
  <c r="I82" i="5"/>
  <c r="I5" i="5"/>
  <c r="I13" i="5"/>
  <c r="I20" i="5"/>
  <c r="I29" i="5"/>
  <c r="I37" i="5"/>
  <c r="I45" i="5"/>
  <c r="I53" i="5"/>
  <c r="I61" i="5"/>
  <c r="I69" i="5"/>
  <c r="I77" i="5"/>
  <c r="I8" i="5"/>
  <c r="I14" i="5"/>
  <c r="I30" i="5"/>
  <c r="I46" i="5"/>
  <c r="I62" i="5"/>
  <c r="I78" i="5"/>
  <c r="I9" i="5"/>
  <c r="I25" i="5"/>
  <c r="I41" i="5"/>
  <c r="I57" i="5"/>
  <c r="I73" i="5"/>
  <c r="I6" i="5"/>
  <c r="I38" i="5"/>
  <c r="I70" i="5"/>
  <c r="I80" i="5"/>
  <c r="I64" i="5"/>
  <c r="I48" i="5"/>
  <c r="I32" i="5"/>
  <c r="I16" i="5"/>
  <c r="I21" i="5"/>
  <c r="I36" i="5"/>
  <c r="I52" i="5"/>
  <c r="I68" i="5"/>
  <c r="H3" i="5"/>
  <c r="H17" i="5"/>
  <c r="H25" i="5"/>
  <c r="H33" i="5"/>
  <c r="H41" i="5"/>
  <c r="H49" i="5"/>
  <c r="H57" i="5"/>
  <c r="H65" i="5"/>
  <c r="H73" i="5"/>
  <c r="H81" i="5"/>
  <c r="O80" i="5"/>
  <c r="O72" i="5"/>
  <c r="O64" i="5"/>
  <c r="O56" i="5"/>
  <c r="O48" i="5"/>
  <c r="O40" i="5"/>
  <c r="O32" i="5"/>
  <c r="O24" i="5"/>
  <c r="O16" i="5"/>
  <c r="O8" i="5"/>
  <c r="O82" i="5"/>
  <c r="O74" i="5"/>
  <c r="O66" i="5"/>
  <c r="O50" i="5"/>
  <c r="O34" i="5"/>
  <c r="O18" i="5"/>
  <c r="O2" i="5"/>
  <c r="O75" i="5"/>
  <c r="O67" i="5"/>
  <c r="O59" i="5"/>
  <c r="O51" i="5"/>
  <c r="O43" i="5"/>
  <c r="O35" i="5"/>
  <c r="O27" i="5"/>
  <c r="O19" i="5"/>
  <c r="O11" i="5"/>
  <c r="O3" i="5"/>
  <c r="I40" i="5"/>
  <c r="I72" i="5"/>
  <c r="H19" i="5"/>
  <c r="H35" i="5"/>
  <c r="H51" i="5"/>
  <c r="H67" i="5"/>
  <c r="P69" i="5"/>
  <c r="P53" i="5"/>
  <c r="P37" i="5"/>
  <c r="P20" i="5"/>
  <c r="P5" i="5"/>
  <c r="P67" i="5"/>
  <c r="P51" i="5"/>
  <c r="P35" i="5"/>
  <c r="P19" i="5"/>
  <c r="P3" i="5"/>
  <c r="P76" i="5"/>
  <c r="P68" i="5"/>
  <c r="P60" i="5"/>
  <c r="P52" i="5"/>
  <c r="P44" i="5"/>
  <c r="P36" i="5"/>
  <c r="P28" i="5"/>
  <c r="P21" i="5"/>
  <c r="P12" i="5"/>
  <c r="P4" i="5"/>
  <c r="N71" i="5"/>
  <c r="N55" i="5"/>
  <c r="N39" i="5"/>
  <c r="N23" i="5"/>
  <c r="N7" i="5"/>
  <c r="N73" i="5"/>
  <c r="N57" i="5"/>
  <c r="N41" i="5"/>
  <c r="N25" i="5"/>
  <c r="N9" i="5"/>
  <c r="N78" i="5"/>
  <c r="N70" i="5"/>
  <c r="N62" i="5"/>
  <c r="N54" i="5"/>
  <c r="N46" i="5"/>
  <c r="N38" i="5"/>
  <c r="N30" i="5"/>
  <c r="N22" i="5"/>
  <c r="N14" i="5"/>
  <c r="N6" i="5"/>
  <c r="L77" i="5"/>
  <c r="L61" i="5"/>
  <c r="L45" i="5"/>
  <c r="L29" i="5"/>
  <c r="L13" i="5"/>
  <c r="L75" i="5"/>
  <c r="L59" i="5"/>
  <c r="L43" i="5"/>
  <c r="L27" i="5"/>
  <c r="L11" i="5"/>
  <c r="L80" i="5"/>
  <c r="L72" i="5"/>
  <c r="L64" i="5"/>
  <c r="L56" i="5"/>
  <c r="L48" i="5"/>
  <c r="L40" i="5"/>
  <c r="L32" i="5"/>
  <c r="L24" i="5"/>
  <c r="L16" i="5"/>
  <c r="L8" i="5"/>
  <c r="J79" i="5"/>
  <c r="J63" i="5"/>
  <c r="J47" i="5"/>
  <c r="J31" i="5"/>
  <c r="J15" i="5"/>
  <c r="J81" i="5"/>
  <c r="J65" i="5"/>
  <c r="J49" i="5"/>
  <c r="J33" i="5"/>
  <c r="J17" i="5"/>
  <c r="J82" i="5"/>
  <c r="J66" i="5"/>
  <c r="J50" i="5"/>
  <c r="J34" i="5"/>
  <c r="J18" i="5"/>
  <c r="J2" i="5"/>
  <c r="H68" i="5"/>
  <c r="H52" i="5"/>
  <c r="H36" i="5"/>
  <c r="H21" i="5"/>
  <c r="H10" i="5"/>
  <c r="Q78" i="5"/>
  <c r="Q37" i="5"/>
  <c r="Q68" i="5"/>
  <c r="Q17" i="5"/>
  <c r="Q69" i="5"/>
  <c r="Q51" i="5"/>
  <c r="Q19" i="5"/>
  <c r="Q48" i="5"/>
  <c r="Q32" i="5"/>
  <c r="Q16" i="5"/>
  <c r="M82" i="5"/>
  <c r="M50" i="5"/>
  <c r="M18" i="5"/>
  <c r="M64" i="5"/>
  <c r="M32" i="5"/>
  <c r="M2" i="5"/>
  <c r="M67" i="5"/>
  <c r="M51" i="5"/>
  <c r="M35" i="5"/>
  <c r="M19" i="5"/>
  <c r="M3" i="5"/>
  <c r="K48" i="5"/>
  <c r="K66" i="5"/>
  <c r="K2" i="5"/>
  <c r="K51" i="5"/>
  <c r="K19" i="5"/>
  <c r="I54" i="5"/>
  <c r="I81" i="5"/>
  <c r="I49" i="5"/>
  <c r="I17" i="5"/>
  <c r="H97" i="4"/>
  <c r="J97" i="4"/>
  <c r="L97" i="4"/>
  <c r="N97" i="4"/>
  <c r="H95" i="4"/>
  <c r="J95" i="4"/>
  <c r="L95" i="4"/>
  <c r="N95" i="4"/>
  <c r="H91" i="9"/>
  <c r="H2" i="9"/>
  <c r="H4" i="9"/>
  <c r="H6" i="9"/>
  <c r="H8" i="9"/>
  <c r="H10" i="9"/>
  <c r="H12" i="9"/>
  <c r="H14" i="9"/>
  <c r="H16" i="9"/>
  <c r="H18" i="9"/>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3" i="9"/>
  <c r="H7" i="9"/>
  <c r="H11" i="9"/>
  <c r="H15" i="9"/>
  <c r="H19" i="9"/>
  <c r="H23" i="9"/>
  <c r="H27" i="9"/>
  <c r="H31" i="9"/>
  <c r="H35" i="9"/>
  <c r="H39" i="9"/>
  <c r="H43" i="9"/>
  <c r="H47" i="9"/>
  <c r="H51" i="9"/>
  <c r="H55" i="9"/>
  <c r="H59" i="9"/>
  <c r="H63" i="9"/>
  <c r="H67" i="9"/>
  <c r="H71" i="9"/>
  <c r="H75" i="9"/>
  <c r="H79" i="9"/>
  <c r="H81" i="9"/>
  <c r="H73" i="9"/>
  <c r="H65" i="9"/>
  <c r="H57" i="9"/>
  <c r="H49" i="9"/>
  <c r="H41" i="9"/>
  <c r="H33" i="9"/>
  <c r="H25" i="9"/>
  <c r="H17" i="9"/>
  <c r="H9" i="9"/>
  <c r="H77" i="9"/>
  <c r="H69" i="9"/>
  <c r="H61" i="9"/>
  <c r="H53" i="9"/>
  <c r="H45" i="9"/>
  <c r="H37" i="9"/>
  <c r="H29" i="9"/>
  <c r="H21" i="9"/>
  <c r="H13" i="9"/>
  <c r="H5" i="9"/>
  <c r="I92" i="9"/>
  <c r="H92" i="9"/>
  <c r="I96" i="4"/>
  <c r="K96" i="4"/>
  <c r="M96" i="4"/>
  <c r="O96" i="4"/>
  <c r="I97" i="4"/>
  <c r="K97" i="4"/>
  <c r="M97" i="4"/>
  <c r="O97" i="4"/>
  <c r="I7" i="10" l="1"/>
  <c r="I8" i="10"/>
  <c r="I9" i="10"/>
  <c r="I10" i="10"/>
  <c r="I11" i="10"/>
  <c r="I12" i="10"/>
  <c r="I13" i="10"/>
  <c r="I14" i="10"/>
  <c r="F8" i="10"/>
  <c r="F10" i="10"/>
  <c r="F12" i="10"/>
  <c r="F14" i="10"/>
  <c r="I2" i="9" l="1"/>
  <c r="I4" i="9"/>
  <c r="I6" i="9"/>
  <c r="I8" i="9"/>
  <c r="I10" i="9"/>
  <c r="I12" i="9"/>
  <c r="I14" i="9"/>
  <c r="I16" i="9"/>
  <c r="I18" i="9"/>
  <c r="I20" i="9"/>
  <c r="I22" i="9"/>
  <c r="I24" i="9"/>
  <c r="I26" i="9"/>
  <c r="I28" i="9"/>
  <c r="I30" i="9"/>
  <c r="I32" i="9"/>
  <c r="I34" i="9"/>
  <c r="I36" i="9"/>
  <c r="I38" i="9"/>
  <c r="I40" i="9"/>
  <c r="I42" i="9"/>
  <c r="I44" i="9"/>
  <c r="I46" i="9"/>
  <c r="I48" i="9"/>
  <c r="I50" i="9"/>
  <c r="I52" i="9"/>
  <c r="I54" i="9"/>
  <c r="I56" i="9"/>
  <c r="I58" i="9"/>
  <c r="I60" i="9"/>
  <c r="I62" i="9"/>
  <c r="I3" i="9"/>
  <c r="I7" i="9"/>
  <c r="I11" i="9"/>
  <c r="I15" i="9"/>
  <c r="I19" i="9"/>
  <c r="I23" i="9"/>
  <c r="I27" i="9"/>
  <c r="I31" i="9"/>
  <c r="I35" i="9"/>
  <c r="I39" i="9"/>
  <c r="I43" i="9"/>
  <c r="I47" i="9"/>
  <c r="I51" i="9"/>
  <c r="I55" i="9"/>
  <c r="I59" i="9"/>
  <c r="I63" i="9"/>
  <c r="I65" i="9"/>
  <c r="I67" i="9"/>
  <c r="I69" i="9"/>
  <c r="I71" i="9"/>
  <c r="I73" i="9"/>
  <c r="I75" i="9"/>
  <c r="I77" i="9"/>
  <c r="I79" i="9"/>
  <c r="I81" i="9"/>
  <c r="I5" i="9"/>
  <c r="I9" i="9"/>
  <c r="I13" i="9"/>
  <c r="I17" i="9"/>
  <c r="I21" i="9"/>
  <c r="I25" i="9"/>
  <c r="I29" i="9"/>
  <c r="I33" i="9"/>
  <c r="I37" i="9"/>
  <c r="I41" i="9"/>
  <c r="I45" i="9"/>
  <c r="I49" i="9"/>
  <c r="I53" i="9"/>
  <c r="I57" i="9"/>
  <c r="I61" i="9"/>
  <c r="I64" i="9"/>
  <c r="I66" i="9"/>
  <c r="I68" i="9"/>
  <c r="I70" i="9"/>
  <c r="I72" i="9"/>
  <c r="I74" i="9"/>
  <c r="I76" i="9"/>
  <c r="I78" i="9"/>
  <c r="I80" i="9"/>
  <c r="I82" i="9"/>
  <c r="F11" i="10"/>
  <c r="F7" i="10"/>
  <c r="F13" i="10"/>
  <c r="F9" i="10"/>
  <c r="H92" i="4"/>
  <c r="I92" i="4"/>
  <c r="J92" i="4"/>
  <c r="K92" i="4"/>
  <c r="L92" i="4"/>
  <c r="M92" i="4"/>
  <c r="N92" i="4"/>
  <c r="O92" i="4"/>
  <c r="O4" i="4" l="1"/>
  <c r="O8" i="4"/>
  <c r="O12" i="4"/>
  <c r="O16" i="4"/>
  <c r="O20" i="4"/>
  <c r="O24" i="4"/>
  <c r="O28" i="4"/>
  <c r="O32" i="4"/>
  <c r="O36" i="4"/>
  <c r="O40" i="4"/>
  <c r="O44" i="4"/>
  <c r="O48" i="4"/>
  <c r="O52" i="4"/>
  <c r="O56" i="4"/>
  <c r="O60" i="4"/>
  <c r="O64" i="4"/>
  <c r="O2" i="4"/>
  <c r="O6" i="4"/>
  <c r="O10" i="4"/>
  <c r="O14" i="4"/>
  <c r="O18" i="4"/>
  <c r="O22" i="4"/>
  <c r="O26" i="4"/>
  <c r="O30" i="4"/>
  <c r="O34" i="4"/>
  <c r="O38" i="4"/>
  <c r="O42" i="4"/>
  <c r="O46" i="4"/>
  <c r="O50" i="4"/>
  <c r="O54" i="4"/>
  <c r="O58" i="4"/>
  <c r="O62" i="4"/>
  <c r="O66" i="4"/>
  <c r="O70" i="4"/>
  <c r="O74" i="4"/>
  <c r="O78" i="4"/>
  <c r="O82" i="4"/>
  <c r="O86" i="4"/>
  <c r="O90" i="4"/>
  <c r="O5" i="4"/>
  <c r="O13" i="4"/>
  <c r="O21" i="4"/>
  <c r="O29" i="4"/>
  <c r="O37" i="4"/>
  <c r="O45" i="4"/>
  <c r="O53" i="4"/>
  <c r="O61" i="4"/>
  <c r="O68" i="4"/>
  <c r="O73" i="4"/>
  <c r="O79" i="4"/>
  <c r="O84" i="4"/>
  <c r="O89" i="4"/>
  <c r="O3" i="4"/>
  <c r="O15" i="4"/>
  <c r="O25" i="4"/>
  <c r="O35" i="4"/>
  <c r="O47" i="4"/>
  <c r="O57" i="4"/>
  <c r="O67" i="4"/>
  <c r="O75" i="4"/>
  <c r="O81" i="4"/>
  <c r="O88" i="4"/>
  <c r="O7" i="4"/>
  <c r="O17" i="4"/>
  <c r="O27" i="4"/>
  <c r="O39" i="4"/>
  <c r="O49" i="4"/>
  <c r="O59" i="4"/>
  <c r="O69" i="4"/>
  <c r="O76" i="4"/>
  <c r="O83" i="4"/>
  <c r="O11" i="4"/>
  <c r="O33" i="4"/>
  <c r="O55" i="4"/>
  <c r="O72" i="4"/>
  <c r="O87" i="4"/>
  <c r="O31" i="4"/>
  <c r="O63" i="4"/>
  <c r="O80" i="4"/>
  <c r="O9" i="4"/>
  <c r="O41" i="4"/>
  <c r="O65" i="4"/>
  <c r="O85" i="4"/>
  <c r="O19" i="4"/>
  <c r="O43" i="4"/>
  <c r="O71" i="4"/>
  <c r="O77" i="4"/>
  <c r="O23" i="4"/>
  <c r="O51" i="4"/>
  <c r="K2" i="4"/>
  <c r="K6" i="4"/>
  <c r="K10" i="4"/>
  <c r="K14" i="4"/>
  <c r="K18" i="4"/>
  <c r="K22" i="4"/>
  <c r="K3" i="4"/>
  <c r="K8" i="4"/>
  <c r="K13" i="4"/>
  <c r="K19" i="4"/>
  <c r="K24" i="4"/>
  <c r="K28" i="4"/>
  <c r="K32" i="4"/>
  <c r="K36" i="4"/>
  <c r="K40" i="4"/>
  <c r="K44" i="4"/>
  <c r="K48" i="4"/>
  <c r="K52" i="4"/>
  <c r="K56" i="4"/>
  <c r="K60" i="4"/>
  <c r="K64" i="4"/>
  <c r="K68" i="4"/>
  <c r="K72" i="4"/>
  <c r="K76" i="4"/>
  <c r="K80" i="4"/>
  <c r="K84" i="4"/>
  <c r="K88" i="4"/>
  <c r="K4" i="4"/>
  <c r="K9" i="4"/>
  <c r="K15" i="4"/>
  <c r="K20" i="4"/>
  <c r="K25" i="4"/>
  <c r="K29" i="4"/>
  <c r="K33" i="4"/>
  <c r="K37" i="4"/>
  <c r="K41" i="4"/>
  <c r="K45" i="4"/>
  <c r="K49" i="4"/>
  <c r="K53" i="4"/>
  <c r="K57" i="4"/>
  <c r="K61" i="4"/>
  <c r="K65" i="4"/>
  <c r="K69" i="4"/>
  <c r="K73" i="4"/>
  <c r="K77" i="4"/>
  <c r="K81" i="4"/>
  <c r="K85" i="4"/>
  <c r="K89" i="4"/>
  <c r="K7" i="4"/>
  <c r="K17" i="4"/>
  <c r="K27" i="4"/>
  <c r="K35" i="4"/>
  <c r="K43" i="4"/>
  <c r="K51" i="4"/>
  <c r="K59" i="4"/>
  <c r="K67" i="4"/>
  <c r="K75" i="4"/>
  <c r="K83" i="4"/>
  <c r="K11" i="4"/>
  <c r="K23" i="4"/>
  <c r="K34" i="4"/>
  <c r="K46" i="4"/>
  <c r="K55" i="4"/>
  <c r="K66" i="4"/>
  <c r="K78" i="4"/>
  <c r="K87" i="4"/>
  <c r="K12" i="4"/>
  <c r="K26" i="4"/>
  <c r="K38" i="4"/>
  <c r="K47" i="4"/>
  <c r="K58" i="4"/>
  <c r="K70" i="4"/>
  <c r="K79" i="4"/>
  <c r="K90" i="4"/>
  <c r="K16" i="4"/>
  <c r="K30" i="4"/>
  <c r="K39" i="4"/>
  <c r="K50" i="4"/>
  <c r="K62" i="4"/>
  <c r="K71" i="4"/>
  <c r="K82" i="4"/>
  <c r="K42" i="4"/>
  <c r="K86" i="4"/>
  <c r="K5" i="4"/>
  <c r="K54" i="4"/>
  <c r="K21" i="4"/>
  <c r="K63" i="4"/>
  <c r="K31" i="4"/>
  <c r="K74" i="4"/>
  <c r="N5" i="4"/>
  <c r="N9" i="4"/>
  <c r="N13" i="4"/>
  <c r="N17" i="4"/>
  <c r="N21" i="4"/>
  <c r="N25" i="4"/>
  <c r="N29" i="4"/>
  <c r="N33" i="4"/>
  <c r="N37" i="4"/>
  <c r="N41" i="4"/>
  <c r="N45" i="4"/>
  <c r="N49" i="4"/>
  <c r="N53" i="4"/>
  <c r="N57" i="4"/>
  <c r="N61" i="4"/>
  <c r="N65" i="4"/>
  <c r="N69" i="4"/>
  <c r="N73" i="4"/>
  <c r="N77" i="4"/>
  <c r="N81" i="4"/>
  <c r="N85" i="4"/>
  <c r="N89" i="4"/>
  <c r="N6" i="4"/>
  <c r="N11" i="4"/>
  <c r="N16" i="4"/>
  <c r="N22" i="4"/>
  <c r="N27" i="4"/>
  <c r="N32" i="4"/>
  <c r="N38" i="4"/>
  <c r="N43" i="4"/>
  <c r="N48" i="4"/>
  <c r="N54" i="4"/>
  <c r="N59" i="4"/>
  <c r="N64" i="4"/>
  <c r="N70" i="4"/>
  <c r="N75" i="4"/>
  <c r="N80" i="4"/>
  <c r="N86" i="4"/>
  <c r="N7" i="4"/>
  <c r="N14" i="4"/>
  <c r="N20" i="4"/>
  <c r="N28" i="4"/>
  <c r="N35" i="4"/>
  <c r="N42" i="4"/>
  <c r="N50" i="4"/>
  <c r="N56" i="4"/>
  <c r="N63" i="4"/>
  <c r="N71" i="4"/>
  <c r="N78" i="4"/>
  <c r="N84" i="4"/>
  <c r="N2" i="4"/>
  <c r="N8" i="4"/>
  <c r="N15" i="4"/>
  <c r="N23" i="4"/>
  <c r="N30" i="4"/>
  <c r="N36" i="4"/>
  <c r="N44" i="4"/>
  <c r="N51" i="4"/>
  <c r="N58" i="4"/>
  <c r="N66" i="4"/>
  <c r="N72" i="4"/>
  <c r="N79" i="4"/>
  <c r="N87" i="4"/>
  <c r="N12" i="4"/>
  <c r="N26" i="4"/>
  <c r="N40" i="4"/>
  <c r="N55" i="4"/>
  <c r="N68" i="4"/>
  <c r="N83" i="4"/>
  <c r="N10" i="4"/>
  <c r="N31" i="4"/>
  <c r="N47" i="4"/>
  <c r="N67" i="4"/>
  <c r="N88" i="4"/>
  <c r="N18" i="4"/>
  <c r="N34" i="4"/>
  <c r="N52" i="4"/>
  <c r="N74" i="4"/>
  <c r="N90" i="4"/>
  <c r="N3" i="4"/>
  <c r="N19" i="4"/>
  <c r="N39" i="4"/>
  <c r="N60" i="4"/>
  <c r="N76" i="4"/>
  <c r="N62" i="4"/>
  <c r="N4" i="4"/>
  <c r="N82" i="4"/>
  <c r="N24" i="4"/>
  <c r="N46" i="4"/>
  <c r="J3" i="4"/>
  <c r="J7" i="4"/>
  <c r="J11" i="4"/>
  <c r="J15" i="4"/>
  <c r="J19" i="4"/>
  <c r="J23" i="4"/>
  <c r="J4" i="4"/>
  <c r="J8" i="4"/>
  <c r="J12" i="4"/>
  <c r="J16" i="4"/>
  <c r="J20" i="4"/>
  <c r="J24" i="4"/>
  <c r="J28" i="4"/>
  <c r="J32" i="4"/>
  <c r="J36" i="4"/>
  <c r="J40" i="4"/>
  <c r="J44" i="4"/>
  <c r="J2" i="4"/>
  <c r="J10" i="4"/>
  <c r="J18" i="4"/>
  <c r="J26" i="4"/>
  <c r="J31" i="4"/>
  <c r="J37" i="4"/>
  <c r="J42" i="4"/>
  <c r="J47" i="4"/>
  <c r="J51" i="4"/>
  <c r="J55" i="4"/>
  <c r="J59" i="4"/>
  <c r="J63" i="4"/>
  <c r="J67" i="4"/>
  <c r="J71" i="4"/>
  <c r="J75" i="4"/>
  <c r="J79" i="4"/>
  <c r="J83" i="4"/>
  <c r="J87" i="4"/>
  <c r="J9" i="4"/>
  <c r="J21" i="4"/>
  <c r="J29" i="4"/>
  <c r="J35" i="4"/>
  <c r="J43" i="4"/>
  <c r="J49" i="4"/>
  <c r="J54" i="4"/>
  <c r="J60" i="4"/>
  <c r="J65" i="4"/>
  <c r="J70" i="4"/>
  <c r="J76" i="4"/>
  <c r="J81" i="4"/>
  <c r="J86" i="4"/>
  <c r="J13" i="4"/>
  <c r="J22" i="4"/>
  <c r="J30" i="4"/>
  <c r="J38" i="4"/>
  <c r="J45" i="4"/>
  <c r="J50" i="4"/>
  <c r="J56" i="4"/>
  <c r="J61" i="4"/>
  <c r="J66" i="4"/>
  <c r="J72" i="4"/>
  <c r="J77" i="4"/>
  <c r="J82" i="4"/>
  <c r="J88" i="4"/>
  <c r="J5" i="4"/>
  <c r="J14" i="4"/>
  <c r="J25" i="4"/>
  <c r="J33" i="4"/>
  <c r="J39" i="4"/>
  <c r="J46" i="4"/>
  <c r="J52" i="4"/>
  <c r="J57" i="4"/>
  <c r="J62" i="4"/>
  <c r="J68" i="4"/>
  <c r="J73" i="4"/>
  <c r="J78" i="4"/>
  <c r="J84" i="4"/>
  <c r="J89" i="4"/>
  <c r="J34" i="4"/>
  <c r="J58" i="4"/>
  <c r="J80" i="4"/>
  <c r="J6" i="4"/>
  <c r="J41" i="4"/>
  <c r="J64" i="4"/>
  <c r="J85" i="4"/>
  <c r="J17" i="4"/>
  <c r="J48" i="4"/>
  <c r="J69" i="4"/>
  <c r="J90" i="4"/>
  <c r="J27" i="4"/>
  <c r="J53" i="4"/>
  <c r="J74" i="4"/>
  <c r="L3" i="4"/>
  <c r="L7" i="4"/>
  <c r="L11" i="4"/>
  <c r="L15" i="4"/>
  <c r="L19" i="4"/>
  <c r="L23" i="4"/>
  <c r="L27" i="4"/>
  <c r="L31" i="4"/>
  <c r="L35" i="4"/>
  <c r="L39" i="4"/>
  <c r="L43" i="4"/>
  <c r="L47" i="4"/>
  <c r="L51" i="4"/>
  <c r="L55" i="4"/>
  <c r="L59" i="4"/>
  <c r="L63" i="4"/>
  <c r="L67" i="4"/>
  <c r="L71" i="4"/>
  <c r="L75" i="4"/>
  <c r="L79" i="4"/>
  <c r="L83" i="4"/>
  <c r="L87" i="4"/>
  <c r="L6" i="4"/>
  <c r="L12" i="4"/>
  <c r="L17" i="4"/>
  <c r="L22" i="4"/>
  <c r="L28" i="4"/>
  <c r="L33" i="4"/>
  <c r="L38" i="4"/>
  <c r="L44" i="4"/>
  <c r="L49" i="4"/>
  <c r="L54" i="4"/>
  <c r="L60" i="4"/>
  <c r="L65" i="4"/>
  <c r="L70" i="4"/>
  <c r="L76" i="4"/>
  <c r="L81" i="4"/>
  <c r="L86" i="4"/>
  <c r="L2" i="4"/>
  <c r="L8" i="4"/>
  <c r="L13" i="4"/>
  <c r="L18" i="4"/>
  <c r="L24" i="4"/>
  <c r="L29" i="4"/>
  <c r="L34" i="4"/>
  <c r="L40" i="4"/>
  <c r="L45" i="4"/>
  <c r="L50" i="4"/>
  <c r="L56" i="4"/>
  <c r="L61" i="4"/>
  <c r="L66" i="4"/>
  <c r="L72" i="4"/>
  <c r="L77" i="4"/>
  <c r="L82" i="4"/>
  <c r="L88" i="4"/>
  <c r="L10" i="4"/>
  <c r="L21" i="4"/>
  <c r="L32" i="4"/>
  <c r="L42" i="4"/>
  <c r="L53" i="4"/>
  <c r="L64" i="4"/>
  <c r="L74" i="4"/>
  <c r="L85" i="4"/>
  <c r="L14" i="4"/>
  <c r="L26" i="4"/>
  <c r="L41" i="4"/>
  <c r="L57" i="4"/>
  <c r="L69" i="4"/>
  <c r="L84" i="4"/>
  <c r="L4" i="4"/>
  <c r="L16" i="4"/>
  <c r="L30" i="4"/>
  <c r="L46" i="4"/>
  <c r="L58" i="4"/>
  <c r="L73" i="4"/>
  <c r="L89" i="4"/>
  <c r="L5" i="4"/>
  <c r="L20" i="4"/>
  <c r="L36" i="4"/>
  <c r="L48" i="4"/>
  <c r="L62" i="4"/>
  <c r="L78" i="4"/>
  <c r="L90" i="4"/>
  <c r="L25" i="4"/>
  <c r="L80" i="4"/>
  <c r="L37" i="4"/>
  <c r="L52" i="4"/>
  <c r="L9" i="4"/>
  <c r="L68" i="4"/>
  <c r="H5" i="4"/>
  <c r="H9" i="4"/>
  <c r="H13" i="4"/>
  <c r="H17" i="4"/>
  <c r="H21" i="4"/>
  <c r="H25" i="4"/>
  <c r="H29" i="4"/>
  <c r="H33" i="4"/>
  <c r="H37" i="4"/>
  <c r="H41" i="4"/>
  <c r="H45" i="4"/>
  <c r="H49" i="4"/>
  <c r="H53" i="4"/>
  <c r="H57" i="4"/>
  <c r="H61" i="4"/>
  <c r="H65" i="4"/>
  <c r="H69" i="4"/>
  <c r="H73" i="4"/>
  <c r="H77" i="4"/>
  <c r="H81" i="4"/>
  <c r="H85" i="4"/>
  <c r="H89" i="4"/>
  <c r="H4" i="4"/>
  <c r="H10" i="4"/>
  <c r="H15" i="4"/>
  <c r="H20" i="4"/>
  <c r="H26" i="4"/>
  <c r="H31" i="4"/>
  <c r="H36" i="4"/>
  <c r="H42" i="4"/>
  <c r="H47" i="4"/>
  <c r="H52" i="4"/>
  <c r="H58" i="4"/>
  <c r="H63" i="4"/>
  <c r="H68" i="4"/>
  <c r="H74" i="4"/>
  <c r="H79" i="4"/>
  <c r="H84" i="4"/>
  <c r="H90" i="4"/>
  <c r="H2" i="4"/>
  <c r="H12" i="4"/>
  <c r="H23" i="4"/>
  <c r="H28" i="4"/>
  <c r="H39" i="4"/>
  <c r="H50" i="4"/>
  <c r="H60" i="4"/>
  <c r="H71" i="4"/>
  <c r="H82" i="4"/>
  <c r="H6" i="4"/>
  <c r="H11" i="4"/>
  <c r="H16" i="4"/>
  <c r="H22" i="4"/>
  <c r="H27" i="4"/>
  <c r="H32" i="4"/>
  <c r="H38" i="4"/>
  <c r="H43" i="4"/>
  <c r="H48" i="4"/>
  <c r="H54" i="4"/>
  <c r="H59" i="4"/>
  <c r="H64" i="4"/>
  <c r="H70" i="4"/>
  <c r="H75" i="4"/>
  <c r="H80" i="4"/>
  <c r="H86" i="4"/>
  <c r="H7" i="4"/>
  <c r="H18" i="4"/>
  <c r="H34" i="4"/>
  <c r="H44" i="4"/>
  <c r="H55" i="4"/>
  <c r="H66" i="4"/>
  <c r="H76" i="4"/>
  <c r="H87" i="4"/>
  <c r="H8" i="4"/>
  <c r="H30" i="4"/>
  <c r="H51" i="4"/>
  <c r="H72" i="4"/>
  <c r="H14" i="4"/>
  <c r="H35" i="4"/>
  <c r="H56" i="4"/>
  <c r="H78" i="4"/>
  <c r="H19" i="4"/>
  <c r="H40" i="4"/>
  <c r="H62" i="4"/>
  <c r="H83" i="4"/>
  <c r="H3" i="4"/>
  <c r="H24" i="4"/>
  <c r="H46" i="4"/>
  <c r="H67" i="4"/>
  <c r="H88" i="4"/>
  <c r="I2" i="4"/>
  <c r="I6" i="4"/>
  <c r="I10" i="4"/>
  <c r="I14" i="4"/>
  <c r="I18" i="4"/>
  <c r="I22" i="4"/>
  <c r="I26" i="4"/>
  <c r="I30" i="4"/>
  <c r="I34" i="4"/>
  <c r="I38" i="4"/>
  <c r="I42" i="4"/>
  <c r="I46" i="4"/>
  <c r="I50" i="4"/>
  <c r="I54" i="4"/>
  <c r="I58" i="4"/>
  <c r="I62" i="4"/>
  <c r="I66" i="4"/>
  <c r="I70" i="4"/>
  <c r="I74" i="4"/>
  <c r="I78" i="4"/>
  <c r="I82" i="4"/>
  <c r="I86" i="4"/>
  <c r="I90" i="4"/>
  <c r="I3" i="4"/>
  <c r="I8" i="4"/>
  <c r="I13" i="4"/>
  <c r="I19" i="4"/>
  <c r="I24" i="4"/>
  <c r="I29" i="4"/>
  <c r="I35" i="4"/>
  <c r="I40" i="4"/>
  <c r="I45" i="4"/>
  <c r="I51" i="4"/>
  <c r="I56" i="4"/>
  <c r="I61" i="4"/>
  <c r="I67" i="4"/>
  <c r="I72" i="4"/>
  <c r="I77" i="4"/>
  <c r="I83" i="4"/>
  <c r="I88" i="4"/>
  <c r="I37" i="4"/>
  <c r="I75" i="4"/>
  <c r="I4" i="4"/>
  <c r="I9" i="4"/>
  <c r="I15" i="4"/>
  <c r="I20" i="4"/>
  <c r="I25" i="4"/>
  <c r="I31" i="4"/>
  <c r="I36" i="4"/>
  <c r="I41" i="4"/>
  <c r="I47" i="4"/>
  <c r="I52" i="4"/>
  <c r="I57" i="4"/>
  <c r="I63" i="4"/>
  <c r="I68" i="4"/>
  <c r="I73" i="4"/>
  <c r="I79" i="4"/>
  <c r="I84" i="4"/>
  <c r="I89" i="4"/>
  <c r="I5" i="4"/>
  <c r="I11" i="4"/>
  <c r="I16" i="4"/>
  <c r="I21" i="4"/>
  <c r="I27" i="4"/>
  <c r="I32" i="4"/>
  <c r="I43" i="4"/>
  <c r="I48" i="4"/>
  <c r="I53" i="4"/>
  <c r="I59" i="4"/>
  <c r="I64" i="4"/>
  <c r="I69" i="4"/>
  <c r="I80" i="4"/>
  <c r="I85" i="4"/>
  <c r="I12" i="4"/>
  <c r="I33" i="4"/>
  <c r="I55" i="4"/>
  <c r="I76" i="4"/>
  <c r="I17" i="4"/>
  <c r="I39" i="4"/>
  <c r="I60" i="4"/>
  <c r="I81" i="4"/>
  <c r="I23" i="4"/>
  <c r="I44" i="4"/>
  <c r="I65" i="4"/>
  <c r="I87" i="4"/>
  <c r="I7" i="4"/>
  <c r="I28" i="4"/>
  <c r="I49" i="4"/>
  <c r="I71" i="4"/>
  <c r="M4" i="4"/>
  <c r="M8" i="4"/>
  <c r="M12" i="4"/>
  <c r="M16" i="4"/>
  <c r="M20" i="4"/>
  <c r="M24" i="4"/>
  <c r="M28" i="4"/>
  <c r="M32" i="4"/>
  <c r="M36" i="4"/>
  <c r="M40" i="4"/>
  <c r="M44" i="4"/>
  <c r="M48" i="4"/>
  <c r="M52" i="4"/>
  <c r="M56" i="4"/>
  <c r="M60" i="4"/>
  <c r="M64" i="4"/>
  <c r="M68" i="4"/>
  <c r="M72" i="4"/>
  <c r="M2" i="4"/>
  <c r="M7" i="4"/>
  <c r="M13" i="4"/>
  <c r="M18" i="4"/>
  <c r="M23" i="4"/>
  <c r="M29" i="4"/>
  <c r="M34" i="4"/>
  <c r="M39" i="4"/>
  <c r="M45" i="4"/>
  <c r="M50" i="4"/>
  <c r="M55" i="4"/>
  <c r="M61" i="4"/>
  <c r="M66" i="4"/>
  <c r="M71" i="4"/>
  <c r="M76" i="4"/>
  <c r="M80" i="4"/>
  <c r="M84" i="4"/>
  <c r="M88" i="4"/>
  <c r="M3" i="4"/>
  <c r="M10" i="4"/>
  <c r="M17" i="4"/>
  <c r="M25" i="4"/>
  <c r="M31" i="4"/>
  <c r="M38" i="4"/>
  <c r="M46" i="4"/>
  <c r="M53" i="4"/>
  <c r="M59" i="4"/>
  <c r="M67" i="4"/>
  <c r="M74" i="4"/>
  <c r="M79" i="4"/>
  <c r="M85" i="4"/>
  <c r="M90" i="4"/>
  <c r="M5" i="4"/>
  <c r="M11" i="4"/>
  <c r="M19" i="4"/>
  <c r="M26" i="4"/>
  <c r="M33" i="4"/>
  <c r="M41" i="4"/>
  <c r="M47" i="4"/>
  <c r="M54" i="4"/>
  <c r="M62" i="4"/>
  <c r="M69" i="4"/>
  <c r="M75" i="4"/>
  <c r="M81" i="4"/>
  <c r="M86" i="4"/>
  <c r="M9" i="4"/>
  <c r="M22" i="4"/>
  <c r="M37" i="4"/>
  <c r="M51" i="4"/>
  <c r="M65" i="4"/>
  <c r="M78" i="4"/>
  <c r="M89" i="4"/>
  <c r="M15" i="4"/>
  <c r="M35" i="4"/>
  <c r="M57" i="4"/>
  <c r="M73" i="4"/>
  <c r="M87" i="4"/>
  <c r="M21" i="4"/>
  <c r="M42" i="4"/>
  <c r="M58" i="4"/>
  <c r="M77" i="4"/>
  <c r="M6" i="4"/>
  <c r="M27" i="4"/>
  <c r="M43" i="4"/>
  <c r="M63" i="4"/>
  <c r="M82" i="4"/>
  <c r="M49" i="4"/>
  <c r="M70" i="4"/>
  <c r="M14" i="4"/>
  <c r="M83" i="4"/>
  <c r="M30" i="4"/>
  <c r="I17" i="6" l="1"/>
  <c r="K7" i="6"/>
  <c r="H70" i="3" s="1"/>
  <c r="K8" i="6"/>
  <c r="I70" i="3" s="1"/>
  <c r="K9" i="6"/>
  <c r="J70" i="3" s="1"/>
  <c r="K10" i="6"/>
  <c r="K70" i="3" s="1"/>
  <c r="K11" i="6"/>
  <c r="L70" i="3" s="1"/>
  <c r="K12" i="6"/>
  <c r="M70" i="3" s="1"/>
  <c r="K13" i="6"/>
  <c r="N70" i="3" s="1"/>
  <c r="K14" i="6"/>
  <c r="O70" i="3" s="1"/>
  <c r="K15" i="6"/>
  <c r="P70" i="3" s="1"/>
  <c r="K16" i="6"/>
  <c r="Q70" i="3" s="1"/>
  <c r="J9" i="6"/>
  <c r="J70" i="2" s="1"/>
  <c r="J13" i="6"/>
  <c r="N70" i="2" s="1"/>
  <c r="J7" i="6"/>
  <c r="H70" i="2" s="1"/>
  <c r="J8" i="6"/>
  <c r="I70" i="2" s="1"/>
  <c r="J10" i="6"/>
  <c r="K70" i="2" s="1"/>
  <c r="J11" i="6"/>
  <c r="L70" i="2" s="1"/>
  <c r="J12" i="6"/>
  <c r="M70" i="2" s="1"/>
  <c r="J14" i="6"/>
  <c r="O70" i="2" s="1"/>
  <c r="J15" i="6"/>
  <c r="J16" i="6"/>
  <c r="M3" i="2" l="1"/>
  <c r="M5" i="2"/>
  <c r="M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M2" i="2"/>
  <c r="M6" i="2"/>
  <c r="M10" i="2"/>
  <c r="M14" i="2"/>
  <c r="M18" i="2"/>
  <c r="M22" i="2"/>
  <c r="M26" i="2"/>
  <c r="M30" i="2"/>
  <c r="M34" i="2"/>
  <c r="M38" i="2"/>
  <c r="M42" i="2"/>
  <c r="M46" i="2"/>
  <c r="M50" i="2"/>
  <c r="M54" i="2"/>
  <c r="M58" i="2"/>
  <c r="M62" i="2"/>
  <c r="M66" i="2"/>
  <c r="M8" i="2"/>
  <c r="M16" i="2"/>
  <c r="M24" i="2"/>
  <c r="M32" i="2"/>
  <c r="M40" i="2"/>
  <c r="M48" i="2"/>
  <c r="M56" i="2"/>
  <c r="M64" i="2"/>
  <c r="M4" i="2"/>
  <c r="M12" i="2"/>
  <c r="M20" i="2"/>
  <c r="M28" i="2"/>
  <c r="M36" i="2"/>
  <c r="M44" i="2"/>
  <c r="M52" i="2"/>
  <c r="M60" i="2"/>
  <c r="M68" i="2"/>
  <c r="K3" i="2"/>
  <c r="K5" i="2"/>
  <c r="K7" i="2"/>
  <c r="K9" i="2"/>
  <c r="K11" i="2"/>
  <c r="K13" i="2"/>
  <c r="K15" i="2"/>
  <c r="K17" i="2"/>
  <c r="K19" i="2"/>
  <c r="K21" i="2"/>
  <c r="K23" i="2"/>
  <c r="K25" i="2"/>
  <c r="K27" i="2"/>
  <c r="K29" i="2"/>
  <c r="K31" i="2"/>
  <c r="K33" i="2"/>
  <c r="K35" i="2"/>
  <c r="K37" i="2"/>
  <c r="K39" i="2"/>
  <c r="K41" i="2"/>
  <c r="K43" i="2"/>
  <c r="K45" i="2"/>
  <c r="K47" i="2"/>
  <c r="K49" i="2"/>
  <c r="K51" i="2"/>
  <c r="K53" i="2"/>
  <c r="K55" i="2"/>
  <c r="K57" i="2"/>
  <c r="K59" i="2"/>
  <c r="K61" i="2"/>
  <c r="K63" i="2"/>
  <c r="K65" i="2"/>
  <c r="K67" i="2"/>
  <c r="K4" i="2"/>
  <c r="K8" i="2"/>
  <c r="K12" i="2"/>
  <c r="K16" i="2"/>
  <c r="K20" i="2"/>
  <c r="K24" i="2"/>
  <c r="K28" i="2"/>
  <c r="K32" i="2"/>
  <c r="K36" i="2"/>
  <c r="K40" i="2"/>
  <c r="K44" i="2"/>
  <c r="K48" i="2"/>
  <c r="K52" i="2"/>
  <c r="K56" i="2"/>
  <c r="K60" i="2"/>
  <c r="K64" i="2"/>
  <c r="K68" i="2"/>
  <c r="K2" i="2"/>
  <c r="K10" i="2"/>
  <c r="K18" i="2"/>
  <c r="K26" i="2"/>
  <c r="K34" i="2"/>
  <c r="K42" i="2"/>
  <c r="K50" i="2"/>
  <c r="K58" i="2"/>
  <c r="K66" i="2"/>
  <c r="K6" i="2"/>
  <c r="K14" i="2"/>
  <c r="K22" i="2"/>
  <c r="K30" i="2"/>
  <c r="K38" i="2"/>
  <c r="K46" i="2"/>
  <c r="K54" i="2"/>
  <c r="K62" i="2"/>
  <c r="O2" i="2"/>
  <c r="O4" i="2"/>
  <c r="O6" i="2"/>
  <c r="O8" i="2"/>
  <c r="O10" i="2"/>
  <c r="O12" i="2"/>
  <c r="O14" i="2"/>
  <c r="O16" i="2"/>
  <c r="O18" i="2"/>
  <c r="O20" i="2"/>
  <c r="O22" i="2"/>
  <c r="O24" i="2"/>
  <c r="O26" i="2"/>
  <c r="O28" i="2"/>
  <c r="O30" i="2"/>
  <c r="O32" i="2"/>
  <c r="O34" i="2"/>
  <c r="O36" i="2"/>
  <c r="O38" i="2"/>
  <c r="O40" i="2"/>
  <c r="O42" i="2"/>
  <c r="O44" i="2"/>
  <c r="O46" i="2"/>
  <c r="O48" i="2"/>
  <c r="O50" i="2"/>
  <c r="O52" i="2"/>
  <c r="O54" i="2"/>
  <c r="O56" i="2"/>
  <c r="O58" i="2"/>
  <c r="O60" i="2"/>
  <c r="O62" i="2"/>
  <c r="O64" i="2"/>
  <c r="O66" i="2"/>
  <c r="O68" i="2"/>
  <c r="O3" i="2"/>
  <c r="O7" i="2"/>
  <c r="O11" i="2"/>
  <c r="O15" i="2"/>
  <c r="O19" i="2"/>
  <c r="O23" i="2"/>
  <c r="O27" i="2"/>
  <c r="O31" i="2"/>
  <c r="O35" i="2"/>
  <c r="O39" i="2"/>
  <c r="O43" i="2"/>
  <c r="O47" i="2"/>
  <c r="O51" i="2"/>
  <c r="O55" i="2"/>
  <c r="O59" i="2"/>
  <c r="O63" i="2"/>
  <c r="O67" i="2"/>
  <c r="O9" i="2"/>
  <c r="O17" i="2"/>
  <c r="O25" i="2"/>
  <c r="O33" i="2"/>
  <c r="O41" i="2"/>
  <c r="O49" i="2"/>
  <c r="O57" i="2"/>
  <c r="O65" i="2"/>
  <c r="O5" i="2"/>
  <c r="O21" i="2"/>
  <c r="O37" i="2"/>
  <c r="O53" i="2"/>
  <c r="O13" i="2"/>
  <c r="O29" i="2"/>
  <c r="O45" i="2"/>
  <c r="O61" i="2"/>
  <c r="L2" i="2"/>
  <c r="L4" i="2"/>
  <c r="L6" i="2"/>
  <c r="L8" i="2"/>
  <c r="L10" i="2"/>
  <c r="L12" i="2"/>
  <c r="L14" i="2"/>
  <c r="L16" i="2"/>
  <c r="L18" i="2"/>
  <c r="L20" i="2"/>
  <c r="L22" i="2"/>
  <c r="L24" i="2"/>
  <c r="L26" i="2"/>
  <c r="L28" i="2"/>
  <c r="L30" i="2"/>
  <c r="L32" i="2"/>
  <c r="L34" i="2"/>
  <c r="L36" i="2"/>
  <c r="L38" i="2"/>
  <c r="L40" i="2"/>
  <c r="L42" i="2"/>
  <c r="L44" i="2"/>
  <c r="L46" i="2"/>
  <c r="L48" i="2"/>
  <c r="L50" i="2"/>
  <c r="L52" i="2"/>
  <c r="L54" i="2"/>
  <c r="L56" i="2"/>
  <c r="L58" i="2"/>
  <c r="L60" i="2"/>
  <c r="L62" i="2"/>
  <c r="L64" i="2"/>
  <c r="L66" i="2"/>
  <c r="L68" i="2"/>
  <c r="L3" i="2"/>
  <c r="L7" i="2"/>
  <c r="L11" i="2"/>
  <c r="L15" i="2"/>
  <c r="L19" i="2"/>
  <c r="L23" i="2"/>
  <c r="L27" i="2"/>
  <c r="L31" i="2"/>
  <c r="L35" i="2"/>
  <c r="L39" i="2"/>
  <c r="L43" i="2"/>
  <c r="L47" i="2"/>
  <c r="L51" i="2"/>
  <c r="L55" i="2"/>
  <c r="L59" i="2"/>
  <c r="L63" i="2"/>
  <c r="L67" i="2"/>
  <c r="L5" i="2"/>
  <c r="L13" i="2"/>
  <c r="L21" i="2"/>
  <c r="L29" i="2"/>
  <c r="L37" i="2"/>
  <c r="L45" i="2"/>
  <c r="L53" i="2"/>
  <c r="L61" i="2"/>
  <c r="L9" i="2"/>
  <c r="L17" i="2"/>
  <c r="L25" i="2"/>
  <c r="L33" i="2"/>
  <c r="L41" i="2"/>
  <c r="L49" i="2"/>
  <c r="L57" i="2"/>
  <c r="L65" i="2"/>
  <c r="I3" i="2"/>
  <c r="I5" i="2"/>
  <c r="I7" i="2"/>
  <c r="I9" i="2"/>
  <c r="I11" i="2"/>
  <c r="I13" i="2"/>
  <c r="I15" i="2"/>
  <c r="I17" i="2"/>
  <c r="I19" i="2"/>
  <c r="I21" i="2"/>
  <c r="I23" i="2"/>
  <c r="I25" i="2"/>
  <c r="I27" i="2"/>
  <c r="I29" i="2"/>
  <c r="I31" i="2"/>
  <c r="I33" i="2"/>
  <c r="I35" i="2"/>
  <c r="I37" i="2"/>
  <c r="I39" i="2"/>
  <c r="I41" i="2"/>
  <c r="I43" i="2"/>
  <c r="I45" i="2"/>
  <c r="I47" i="2"/>
  <c r="I49" i="2"/>
  <c r="I51" i="2"/>
  <c r="I53" i="2"/>
  <c r="I55" i="2"/>
  <c r="I57" i="2"/>
  <c r="I59" i="2"/>
  <c r="I61" i="2"/>
  <c r="I63" i="2"/>
  <c r="I65" i="2"/>
  <c r="I67" i="2"/>
  <c r="I4" i="2"/>
  <c r="I8" i="2"/>
  <c r="I12" i="2"/>
  <c r="I16" i="2"/>
  <c r="I20" i="2"/>
  <c r="I24" i="2"/>
  <c r="I28" i="2"/>
  <c r="I32" i="2"/>
  <c r="I36" i="2"/>
  <c r="I40" i="2"/>
  <c r="I44" i="2"/>
  <c r="I48" i="2"/>
  <c r="I52" i="2"/>
  <c r="I56" i="2"/>
  <c r="I60" i="2"/>
  <c r="I64" i="2"/>
  <c r="I68" i="2"/>
  <c r="I2" i="2"/>
  <c r="I6" i="2"/>
  <c r="I10" i="2"/>
  <c r="I14" i="2"/>
  <c r="I18" i="2"/>
  <c r="I22" i="2"/>
  <c r="I26" i="2"/>
  <c r="I30" i="2"/>
  <c r="I34" i="2"/>
  <c r="I38" i="2"/>
  <c r="I42" i="2"/>
  <c r="I46" i="2"/>
  <c r="I50" i="2"/>
  <c r="I54" i="2"/>
  <c r="I58" i="2"/>
  <c r="I62" i="2"/>
  <c r="I66" i="2"/>
  <c r="N3" i="2"/>
  <c r="N5" i="2"/>
  <c r="N7" i="2"/>
  <c r="N9" i="2"/>
  <c r="N11" i="2"/>
  <c r="N13" i="2"/>
  <c r="N15" i="2"/>
  <c r="N17" i="2"/>
  <c r="N19" i="2"/>
  <c r="N21" i="2"/>
  <c r="N23" i="2"/>
  <c r="N25" i="2"/>
  <c r="N27" i="2"/>
  <c r="N29" i="2"/>
  <c r="N31" i="2"/>
  <c r="N33" i="2"/>
  <c r="N35" i="2"/>
  <c r="N4" i="2"/>
  <c r="N8" i="2"/>
  <c r="N12" i="2"/>
  <c r="N16" i="2"/>
  <c r="N20" i="2"/>
  <c r="N24" i="2"/>
  <c r="N28" i="2"/>
  <c r="N32" i="2"/>
  <c r="N36" i="2"/>
  <c r="N38" i="2"/>
  <c r="N40" i="2"/>
  <c r="N42" i="2"/>
  <c r="N44" i="2"/>
  <c r="N46" i="2"/>
  <c r="N48" i="2"/>
  <c r="N50" i="2"/>
  <c r="N52" i="2"/>
  <c r="N54" i="2"/>
  <c r="N56" i="2"/>
  <c r="N58" i="2"/>
  <c r="N60" i="2"/>
  <c r="N62" i="2"/>
  <c r="N64" i="2"/>
  <c r="N66" i="2"/>
  <c r="N68" i="2"/>
  <c r="N6" i="2"/>
  <c r="N14" i="2"/>
  <c r="N22" i="2"/>
  <c r="N30" i="2"/>
  <c r="N37" i="2"/>
  <c r="N41" i="2"/>
  <c r="N45" i="2"/>
  <c r="N49" i="2"/>
  <c r="N53" i="2"/>
  <c r="N57" i="2"/>
  <c r="N61" i="2"/>
  <c r="N65" i="2"/>
  <c r="N2" i="2"/>
  <c r="N18" i="2"/>
  <c r="N34" i="2"/>
  <c r="N43" i="2"/>
  <c r="N51" i="2"/>
  <c r="N59" i="2"/>
  <c r="N67" i="2"/>
  <c r="N10" i="2"/>
  <c r="N26" i="2"/>
  <c r="N39" i="2"/>
  <c r="N47" i="2"/>
  <c r="N55" i="2"/>
  <c r="N63" i="2"/>
  <c r="H2" i="2"/>
  <c r="H4" i="2"/>
  <c r="H6" i="2"/>
  <c r="H8" i="2"/>
  <c r="H10" i="2"/>
  <c r="H12" i="2"/>
  <c r="H14" i="2"/>
  <c r="H16" i="2"/>
  <c r="H18" i="2"/>
  <c r="H20" i="2"/>
  <c r="H22" i="2"/>
  <c r="H24" i="2"/>
  <c r="H26" i="2"/>
  <c r="H28" i="2"/>
  <c r="H30" i="2"/>
  <c r="H32" i="2"/>
  <c r="H34" i="2"/>
  <c r="H36" i="2"/>
  <c r="H38" i="2"/>
  <c r="H40" i="2"/>
  <c r="H42" i="2"/>
  <c r="H44" i="2"/>
  <c r="H46" i="2"/>
  <c r="H48" i="2"/>
  <c r="H50" i="2"/>
  <c r="H52" i="2"/>
  <c r="H54" i="2"/>
  <c r="H56" i="2"/>
  <c r="H58" i="2"/>
  <c r="H60" i="2"/>
  <c r="H62" i="2"/>
  <c r="H64" i="2"/>
  <c r="H66" i="2"/>
  <c r="H68" i="2"/>
  <c r="J2" i="2"/>
  <c r="J4" i="2"/>
  <c r="J6" i="2"/>
  <c r="J8" i="2"/>
  <c r="J10" i="2"/>
  <c r="J12" i="2"/>
  <c r="J14" i="2"/>
  <c r="J16" i="2"/>
  <c r="J18" i="2"/>
  <c r="J20" i="2"/>
  <c r="J22" i="2"/>
  <c r="J5" i="2"/>
  <c r="J9" i="2"/>
  <c r="J13" i="2"/>
  <c r="J17" i="2"/>
  <c r="J21" i="2"/>
  <c r="J24" i="2"/>
  <c r="J26" i="2"/>
  <c r="J28" i="2"/>
  <c r="J30" i="2"/>
  <c r="J32" i="2"/>
  <c r="J34" i="2"/>
  <c r="J36" i="2"/>
  <c r="J38" i="2"/>
  <c r="J40" i="2"/>
  <c r="J42" i="2"/>
  <c r="J44" i="2"/>
  <c r="J46" i="2"/>
  <c r="J48" i="2"/>
  <c r="J50" i="2"/>
  <c r="J52" i="2"/>
  <c r="J54" i="2"/>
  <c r="J56" i="2"/>
  <c r="J58" i="2"/>
  <c r="J60" i="2"/>
  <c r="J62" i="2"/>
  <c r="J64" i="2"/>
  <c r="J66" i="2"/>
  <c r="J68" i="2"/>
  <c r="H67" i="2"/>
  <c r="H63" i="2"/>
  <c r="H59" i="2"/>
  <c r="H55" i="2"/>
  <c r="H51" i="2"/>
  <c r="H47" i="2"/>
  <c r="H43" i="2"/>
  <c r="H39" i="2"/>
  <c r="H35" i="2"/>
  <c r="H31" i="2"/>
  <c r="H27" i="2"/>
  <c r="H23" i="2"/>
  <c r="H19" i="2"/>
  <c r="H15" i="2"/>
  <c r="H11" i="2"/>
  <c r="H7" i="2"/>
  <c r="H3" i="2"/>
  <c r="J65" i="2"/>
  <c r="J61" i="2"/>
  <c r="J57" i="2"/>
  <c r="J53" i="2"/>
  <c r="J49" i="2"/>
  <c r="J45" i="2"/>
  <c r="J41" i="2"/>
  <c r="J37" i="2"/>
  <c r="J33" i="2"/>
  <c r="J29" i="2"/>
  <c r="J25" i="2"/>
  <c r="J19" i="2"/>
  <c r="J11" i="2"/>
  <c r="J3" i="2"/>
  <c r="H65" i="2"/>
  <c r="H61" i="2"/>
  <c r="H57" i="2"/>
  <c r="H53" i="2"/>
  <c r="H49" i="2"/>
  <c r="H45" i="2"/>
  <c r="H41" i="2"/>
  <c r="H37" i="2"/>
  <c r="H33" i="2"/>
  <c r="H29" i="2"/>
  <c r="H25" i="2"/>
  <c r="H21" i="2"/>
  <c r="H17" i="2"/>
  <c r="H13" i="2"/>
  <c r="H9" i="2"/>
  <c r="H5" i="2"/>
  <c r="J67" i="2"/>
  <c r="J63" i="2"/>
  <c r="J59" i="2"/>
  <c r="J55" i="2"/>
  <c r="J51" i="2"/>
  <c r="J47" i="2"/>
  <c r="J43" i="2"/>
  <c r="J39" i="2"/>
  <c r="J35" i="2"/>
  <c r="J31" i="2"/>
  <c r="J27" i="2"/>
  <c r="J23" i="2"/>
  <c r="J15" i="2"/>
  <c r="J7" i="2"/>
  <c r="Q2" i="3"/>
  <c r="Q4" i="3"/>
  <c r="Q6" i="3"/>
  <c r="Q8" i="3"/>
  <c r="Q10" i="3"/>
  <c r="Q12" i="3"/>
  <c r="Q14" i="3"/>
  <c r="Q16" i="3"/>
  <c r="Q18" i="3"/>
  <c r="Q20" i="3"/>
  <c r="Q22" i="3"/>
  <c r="Q24" i="3"/>
  <c r="Q26" i="3"/>
  <c r="Q28" i="3"/>
  <c r="Q30" i="3"/>
  <c r="Q32" i="3"/>
  <c r="Q34" i="3"/>
  <c r="Q36" i="3"/>
  <c r="Q38" i="3"/>
  <c r="Q40" i="3"/>
  <c r="Q42" i="3"/>
  <c r="Q44" i="3"/>
  <c r="Q46" i="3"/>
  <c r="Q48" i="3"/>
  <c r="Q50" i="3"/>
  <c r="Q52" i="3"/>
  <c r="Q54" i="3"/>
  <c r="Q56" i="3"/>
  <c r="Q58" i="3"/>
  <c r="Q60" i="3"/>
  <c r="Q62" i="3"/>
  <c r="Q64" i="3"/>
  <c r="Q66" i="3"/>
  <c r="Q68" i="3"/>
  <c r="Q3" i="3"/>
  <c r="Q7" i="3"/>
  <c r="Q11" i="3"/>
  <c r="Q15" i="3"/>
  <c r="Q19" i="3"/>
  <c r="Q23" i="3"/>
  <c r="Q27" i="3"/>
  <c r="Q31" i="3"/>
  <c r="Q35" i="3"/>
  <c r="Q39" i="3"/>
  <c r="Q43" i="3"/>
  <c r="Q47" i="3"/>
  <c r="Q51" i="3"/>
  <c r="Q55" i="3"/>
  <c r="Q59" i="3"/>
  <c r="Q63" i="3"/>
  <c r="Q67" i="3"/>
  <c r="Q9" i="3"/>
  <c r="Q17" i="3"/>
  <c r="Q25" i="3"/>
  <c r="Q33" i="3"/>
  <c r="Q41" i="3"/>
  <c r="Q49" i="3"/>
  <c r="Q57" i="3"/>
  <c r="Q65" i="3"/>
  <c r="Q5" i="3"/>
  <c r="Q21" i="3"/>
  <c r="Q37" i="3"/>
  <c r="Q53" i="3"/>
  <c r="Q13" i="3"/>
  <c r="Q29" i="3"/>
  <c r="Q45" i="3"/>
  <c r="Q61" i="3"/>
  <c r="O3" i="3"/>
  <c r="O5" i="3"/>
  <c r="O7" i="3"/>
  <c r="O9" i="3"/>
  <c r="O11" i="3"/>
  <c r="O13" i="3"/>
  <c r="O15" i="3"/>
  <c r="O17" i="3"/>
  <c r="O19" i="3"/>
  <c r="O21" i="3"/>
  <c r="O23" i="3"/>
  <c r="O25" i="3"/>
  <c r="O27" i="3"/>
  <c r="O29" i="3"/>
  <c r="O31" i="3"/>
  <c r="O33" i="3"/>
  <c r="O35" i="3"/>
  <c r="O37" i="3"/>
  <c r="O39" i="3"/>
  <c r="O41" i="3"/>
  <c r="O43" i="3"/>
  <c r="O45" i="3"/>
  <c r="O47" i="3"/>
  <c r="O49" i="3"/>
  <c r="O51" i="3"/>
  <c r="O53" i="3"/>
  <c r="O55" i="3"/>
  <c r="O57" i="3"/>
  <c r="O59" i="3"/>
  <c r="O61" i="3"/>
  <c r="O63" i="3"/>
  <c r="O65" i="3"/>
  <c r="O67" i="3"/>
  <c r="O2" i="3"/>
  <c r="O6" i="3"/>
  <c r="O10" i="3"/>
  <c r="O14" i="3"/>
  <c r="O18" i="3"/>
  <c r="O22" i="3"/>
  <c r="O26" i="3"/>
  <c r="O30" i="3"/>
  <c r="O34" i="3"/>
  <c r="O38" i="3"/>
  <c r="O42" i="3"/>
  <c r="O46" i="3"/>
  <c r="O50" i="3"/>
  <c r="O54" i="3"/>
  <c r="O58" i="3"/>
  <c r="O62" i="3"/>
  <c r="O66" i="3"/>
  <c r="O8" i="3"/>
  <c r="O16" i="3"/>
  <c r="O24" i="3"/>
  <c r="O32" i="3"/>
  <c r="O40" i="3"/>
  <c r="O48" i="3"/>
  <c r="O56" i="3"/>
  <c r="O64" i="3"/>
  <c r="O4" i="3"/>
  <c r="O12" i="3"/>
  <c r="O20" i="3"/>
  <c r="O28" i="3"/>
  <c r="O36" i="3"/>
  <c r="O44" i="3"/>
  <c r="O52" i="3"/>
  <c r="O60" i="3"/>
  <c r="O68" i="3"/>
  <c r="M3" i="3"/>
  <c r="M5" i="3"/>
  <c r="M7" i="3"/>
  <c r="M9" i="3"/>
  <c r="M11" i="3"/>
  <c r="M13" i="3"/>
  <c r="M15" i="3"/>
  <c r="M17" i="3"/>
  <c r="M19" i="3"/>
  <c r="M21" i="3"/>
  <c r="M23" i="3"/>
  <c r="M25" i="3"/>
  <c r="M27" i="3"/>
  <c r="M29" i="3"/>
  <c r="M31" i="3"/>
  <c r="M33" i="3"/>
  <c r="M35" i="3"/>
  <c r="M37" i="3"/>
  <c r="M39" i="3"/>
  <c r="M41" i="3"/>
  <c r="M43" i="3"/>
  <c r="M45" i="3"/>
  <c r="M47" i="3"/>
  <c r="M49" i="3"/>
  <c r="M51" i="3"/>
  <c r="M53" i="3"/>
  <c r="M55" i="3"/>
  <c r="M57" i="3"/>
  <c r="M59" i="3"/>
  <c r="M61" i="3"/>
  <c r="M63" i="3"/>
  <c r="M65" i="3"/>
  <c r="M67" i="3"/>
  <c r="M4" i="3"/>
  <c r="M8" i="3"/>
  <c r="M12" i="3"/>
  <c r="M16" i="3"/>
  <c r="M20" i="3"/>
  <c r="M24" i="3"/>
  <c r="M28" i="3"/>
  <c r="M32" i="3"/>
  <c r="M36" i="3"/>
  <c r="M40" i="3"/>
  <c r="M44" i="3"/>
  <c r="M48" i="3"/>
  <c r="M52" i="3"/>
  <c r="M56" i="3"/>
  <c r="M60" i="3"/>
  <c r="M64" i="3"/>
  <c r="M68" i="3"/>
  <c r="M2" i="3"/>
  <c r="M10" i="3"/>
  <c r="M18" i="3"/>
  <c r="M26" i="3"/>
  <c r="M34" i="3"/>
  <c r="M42" i="3"/>
  <c r="M50" i="3"/>
  <c r="M58" i="3"/>
  <c r="M66" i="3"/>
  <c r="M6" i="3"/>
  <c r="M14" i="3"/>
  <c r="M22" i="3"/>
  <c r="M30" i="3"/>
  <c r="M38" i="3"/>
  <c r="M46" i="3"/>
  <c r="M54" i="3"/>
  <c r="M62" i="3"/>
  <c r="K3" i="3"/>
  <c r="K5" i="3"/>
  <c r="K7" i="3"/>
  <c r="K9" i="3"/>
  <c r="K11" i="3"/>
  <c r="K13" i="3"/>
  <c r="K15" i="3"/>
  <c r="K17" i="3"/>
  <c r="K19" i="3"/>
  <c r="K21" i="3"/>
  <c r="K23" i="3"/>
  <c r="K25" i="3"/>
  <c r="K27" i="3"/>
  <c r="K29" i="3"/>
  <c r="K31" i="3"/>
  <c r="K33" i="3"/>
  <c r="K35" i="3"/>
  <c r="K37" i="3"/>
  <c r="K39" i="3"/>
  <c r="K41" i="3"/>
  <c r="K43" i="3"/>
  <c r="K45" i="3"/>
  <c r="K47" i="3"/>
  <c r="K49" i="3"/>
  <c r="K51" i="3"/>
  <c r="K53" i="3"/>
  <c r="K55" i="3"/>
  <c r="K57" i="3"/>
  <c r="K59" i="3"/>
  <c r="K61" i="3"/>
  <c r="K63" i="3"/>
  <c r="K65" i="3"/>
  <c r="K67" i="3"/>
  <c r="K4" i="3"/>
  <c r="K8" i="3"/>
  <c r="K12" i="3"/>
  <c r="K16" i="3"/>
  <c r="K20" i="3"/>
  <c r="K24" i="3"/>
  <c r="K28" i="3"/>
  <c r="K32" i="3"/>
  <c r="K36" i="3"/>
  <c r="K40" i="3"/>
  <c r="K44" i="3"/>
  <c r="K48" i="3"/>
  <c r="K52" i="3"/>
  <c r="K56" i="3"/>
  <c r="K60" i="3"/>
  <c r="K64" i="3"/>
  <c r="K68" i="3"/>
  <c r="K2" i="3"/>
  <c r="K6" i="3"/>
  <c r="K10" i="3"/>
  <c r="K14" i="3"/>
  <c r="K18" i="3"/>
  <c r="K22" i="3"/>
  <c r="K26" i="3"/>
  <c r="K30" i="3"/>
  <c r="K34" i="3"/>
  <c r="K38" i="3"/>
  <c r="K42" i="3"/>
  <c r="K46" i="3"/>
  <c r="K50" i="3"/>
  <c r="K54" i="3"/>
  <c r="K58" i="3"/>
  <c r="K62" i="3"/>
  <c r="K66" i="3"/>
  <c r="I3" i="3"/>
  <c r="I5" i="3"/>
  <c r="I7" i="3"/>
  <c r="I9" i="3"/>
  <c r="I11" i="3"/>
  <c r="I13" i="3"/>
  <c r="I15" i="3"/>
  <c r="I17" i="3"/>
  <c r="I19" i="3"/>
  <c r="I21" i="3"/>
  <c r="I23" i="3"/>
  <c r="I25" i="3"/>
  <c r="I27" i="3"/>
  <c r="I29" i="3"/>
  <c r="I31" i="3"/>
  <c r="I33" i="3"/>
  <c r="I35" i="3"/>
  <c r="I37" i="3"/>
  <c r="I39" i="3"/>
  <c r="I41" i="3"/>
  <c r="I43" i="3"/>
  <c r="I45" i="3"/>
  <c r="I47" i="3"/>
  <c r="I49" i="3"/>
  <c r="I51" i="3"/>
  <c r="I53" i="3"/>
  <c r="I55" i="3"/>
  <c r="I57" i="3"/>
  <c r="I59" i="3"/>
  <c r="I61" i="3"/>
  <c r="I63" i="3"/>
  <c r="I65" i="3"/>
  <c r="I67" i="3"/>
  <c r="I2" i="3"/>
  <c r="I6" i="3"/>
  <c r="I10" i="3"/>
  <c r="I14" i="3"/>
  <c r="I18" i="3"/>
  <c r="I22" i="3"/>
  <c r="I26" i="3"/>
  <c r="I30" i="3"/>
  <c r="I34" i="3"/>
  <c r="I38" i="3"/>
  <c r="I42" i="3"/>
  <c r="I46" i="3"/>
  <c r="I50" i="3"/>
  <c r="I54" i="3"/>
  <c r="I58" i="3"/>
  <c r="I62" i="3"/>
  <c r="I66" i="3"/>
  <c r="I4" i="3"/>
  <c r="I8" i="3"/>
  <c r="I12" i="3"/>
  <c r="I16" i="3"/>
  <c r="I20" i="3"/>
  <c r="I24" i="3"/>
  <c r="I28" i="3"/>
  <c r="I32" i="3"/>
  <c r="I36" i="3"/>
  <c r="I40" i="3"/>
  <c r="I44" i="3"/>
  <c r="I48" i="3"/>
  <c r="I52" i="3"/>
  <c r="I56" i="3"/>
  <c r="I60" i="3"/>
  <c r="I64" i="3"/>
  <c r="I68" i="3"/>
  <c r="P3" i="3"/>
  <c r="P5" i="3"/>
  <c r="P7" i="3"/>
  <c r="P9" i="3"/>
  <c r="P11" i="3"/>
  <c r="P13" i="3"/>
  <c r="P15" i="3"/>
  <c r="P17" i="3"/>
  <c r="P19" i="3"/>
  <c r="P21" i="3"/>
  <c r="P23" i="3"/>
  <c r="P25" i="3"/>
  <c r="P27" i="3"/>
  <c r="P29" i="3"/>
  <c r="P31" i="3"/>
  <c r="P33" i="3"/>
  <c r="P35" i="3"/>
  <c r="P4" i="3"/>
  <c r="P8" i="3"/>
  <c r="P12" i="3"/>
  <c r="P16" i="3"/>
  <c r="P20" i="3"/>
  <c r="P24" i="3"/>
  <c r="P28" i="3"/>
  <c r="P32" i="3"/>
  <c r="P36" i="3"/>
  <c r="P38" i="3"/>
  <c r="P40" i="3"/>
  <c r="P42" i="3"/>
  <c r="P44" i="3"/>
  <c r="P46" i="3"/>
  <c r="P48" i="3"/>
  <c r="P50" i="3"/>
  <c r="P52" i="3"/>
  <c r="P54" i="3"/>
  <c r="P56" i="3"/>
  <c r="P58" i="3"/>
  <c r="P60" i="3"/>
  <c r="P62" i="3"/>
  <c r="P64" i="3"/>
  <c r="P66" i="3"/>
  <c r="P68" i="3"/>
  <c r="P6" i="3"/>
  <c r="P14" i="3"/>
  <c r="P22" i="3"/>
  <c r="P30" i="3"/>
  <c r="P37" i="3"/>
  <c r="P41" i="3"/>
  <c r="P45" i="3"/>
  <c r="P49" i="3"/>
  <c r="P53" i="3"/>
  <c r="P57" i="3"/>
  <c r="P61" i="3"/>
  <c r="P65" i="3"/>
  <c r="P2" i="3"/>
  <c r="P18" i="3"/>
  <c r="P34" i="3"/>
  <c r="P43" i="3"/>
  <c r="P51" i="3"/>
  <c r="P59" i="3"/>
  <c r="P67" i="3"/>
  <c r="P10" i="3"/>
  <c r="P26" i="3"/>
  <c r="P39" i="3"/>
  <c r="P47" i="3"/>
  <c r="P55" i="3"/>
  <c r="P63" i="3"/>
  <c r="N2" i="3"/>
  <c r="N4" i="3"/>
  <c r="N6" i="3"/>
  <c r="N8" i="3"/>
  <c r="N10" i="3"/>
  <c r="N12" i="3"/>
  <c r="N14" i="3"/>
  <c r="N16" i="3"/>
  <c r="N18" i="3"/>
  <c r="N20" i="3"/>
  <c r="N22" i="3"/>
  <c r="N24" i="3"/>
  <c r="N26" i="3"/>
  <c r="N28" i="3"/>
  <c r="N30" i="3"/>
  <c r="N32" i="3"/>
  <c r="N34" i="3"/>
  <c r="N36" i="3"/>
  <c r="N38" i="3"/>
  <c r="N40" i="3"/>
  <c r="N42" i="3"/>
  <c r="N44" i="3"/>
  <c r="N46" i="3"/>
  <c r="N48" i="3"/>
  <c r="N50" i="3"/>
  <c r="N52" i="3"/>
  <c r="N54" i="3"/>
  <c r="N56" i="3"/>
  <c r="N58" i="3"/>
  <c r="N60" i="3"/>
  <c r="N62" i="3"/>
  <c r="N64" i="3"/>
  <c r="N66" i="3"/>
  <c r="N68" i="3"/>
  <c r="N3" i="3"/>
  <c r="N7" i="3"/>
  <c r="N11" i="3"/>
  <c r="N15" i="3"/>
  <c r="N19" i="3"/>
  <c r="N23" i="3"/>
  <c r="N27" i="3"/>
  <c r="N31" i="3"/>
  <c r="N35" i="3"/>
  <c r="N39" i="3"/>
  <c r="N43" i="3"/>
  <c r="N47" i="3"/>
  <c r="N51" i="3"/>
  <c r="N55" i="3"/>
  <c r="N59" i="3"/>
  <c r="N63" i="3"/>
  <c r="N67" i="3"/>
  <c r="N5" i="3"/>
  <c r="N13" i="3"/>
  <c r="N21" i="3"/>
  <c r="N29" i="3"/>
  <c r="N37" i="3"/>
  <c r="N45" i="3"/>
  <c r="N53" i="3"/>
  <c r="N61" i="3"/>
  <c r="N9" i="3"/>
  <c r="N17" i="3"/>
  <c r="N25" i="3"/>
  <c r="N33" i="3"/>
  <c r="N41" i="3"/>
  <c r="N49" i="3"/>
  <c r="N57" i="3"/>
  <c r="N65" i="3"/>
  <c r="L2" i="3"/>
  <c r="L4" i="3"/>
  <c r="L6" i="3"/>
  <c r="L8" i="3"/>
  <c r="L10" i="3"/>
  <c r="L12" i="3"/>
  <c r="L14" i="3"/>
  <c r="L16" i="3"/>
  <c r="L18" i="3"/>
  <c r="L20" i="3"/>
  <c r="L22" i="3"/>
  <c r="L5" i="3"/>
  <c r="L9" i="3"/>
  <c r="L13" i="3"/>
  <c r="L17" i="3"/>
  <c r="L21" i="3"/>
  <c r="L24" i="3"/>
  <c r="L26" i="3"/>
  <c r="L28" i="3"/>
  <c r="L30" i="3"/>
  <c r="L32" i="3"/>
  <c r="L34" i="3"/>
  <c r="L36" i="3"/>
  <c r="L38" i="3"/>
  <c r="L40" i="3"/>
  <c r="L42" i="3"/>
  <c r="L44" i="3"/>
  <c r="L46" i="3"/>
  <c r="L48" i="3"/>
  <c r="L50" i="3"/>
  <c r="L52" i="3"/>
  <c r="L54" i="3"/>
  <c r="L56" i="3"/>
  <c r="L58" i="3"/>
  <c r="L60" i="3"/>
  <c r="L62" i="3"/>
  <c r="L64" i="3"/>
  <c r="L66" i="3"/>
  <c r="L68" i="3"/>
  <c r="L7" i="3"/>
  <c r="L15" i="3"/>
  <c r="L23" i="3"/>
  <c r="L27" i="3"/>
  <c r="L31" i="3"/>
  <c r="L35" i="3"/>
  <c r="L39" i="3"/>
  <c r="L43" i="3"/>
  <c r="L47" i="3"/>
  <c r="L51" i="3"/>
  <c r="L55" i="3"/>
  <c r="L59" i="3"/>
  <c r="L63" i="3"/>
  <c r="L67" i="3"/>
  <c r="L3" i="3"/>
  <c r="L11" i="3"/>
  <c r="L19" i="3"/>
  <c r="L25" i="3"/>
  <c r="L29" i="3"/>
  <c r="L33" i="3"/>
  <c r="L37" i="3"/>
  <c r="L41" i="3"/>
  <c r="L45" i="3"/>
  <c r="L49" i="3"/>
  <c r="L53" i="3"/>
  <c r="L57" i="3"/>
  <c r="L61" i="3"/>
  <c r="L65" i="3"/>
  <c r="J2" i="3"/>
  <c r="J4" i="3"/>
  <c r="J6" i="3"/>
  <c r="J8" i="3"/>
  <c r="J10" i="3"/>
  <c r="J12" i="3"/>
  <c r="J14" i="3"/>
  <c r="J16" i="3"/>
  <c r="J18" i="3"/>
  <c r="J20" i="3"/>
  <c r="J22" i="3"/>
  <c r="J24" i="3"/>
  <c r="J26" i="3"/>
  <c r="J28" i="3"/>
  <c r="J30" i="3"/>
  <c r="J32" i="3"/>
  <c r="J34" i="3"/>
  <c r="J36" i="3"/>
  <c r="J38" i="3"/>
  <c r="J40" i="3"/>
  <c r="J42" i="3"/>
  <c r="J44" i="3"/>
  <c r="J46" i="3"/>
  <c r="J48" i="3"/>
  <c r="J50" i="3"/>
  <c r="J52" i="3"/>
  <c r="J54" i="3"/>
  <c r="J56" i="3"/>
  <c r="J58" i="3"/>
  <c r="J60" i="3"/>
  <c r="J62" i="3"/>
  <c r="J64" i="3"/>
  <c r="J66" i="3"/>
  <c r="J68" i="3"/>
  <c r="J5" i="3"/>
  <c r="J9" i="3"/>
  <c r="J13" i="3"/>
  <c r="J17" i="3"/>
  <c r="J21" i="3"/>
  <c r="J25" i="3"/>
  <c r="J29" i="3"/>
  <c r="J33" i="3"/>
  <c r="J37" i="3"/>
  <c r="J41" i="3"/>
  <c r="J45" i="3"/>
  <c r="J49" i="3"/>
  <c r="J53" i="3"/>
  <c r="J57" i="3"/>
  <c r="J61" i="3"/>
  <c r="J65" i="3"/>
  <c r="J3" i="3"/>
  <c r="J7" i="3"/>
  <c r="J11" i="3"/>
  <c r="J15" i="3"/>
  <c r="J19" i="3"/>
  <c r="J23" i="3"/>
  <c r="J27" i="3"/>
  <c r="J31" i="3"/>
  <c r="J35" i="3"/>
  <c r="J39" i="3"/>
  <c r="J43" i="3"/>
  <c r="J47" i="3"/>
  <c r="J51" i="3"/>
  <c r="J55" i="3"/>
  <c r="J59" i="3"/>
  <c r="J63" i="3"/>
  <c r="J67" i="3"/>
  <c r="H2" i="3"/>
  <c r="H4" i="3"/>
  <c r="H6" i="3"/>
  <c r="H8" i="3"/>
  <c r="H10" i="3"/>
  <c r="H12" i="3"/>
  <c r="H14" i="3"/>
  <c r="H16" i="3"/>
  <c r="H18" i="3"/>
  <c r="H20" i="3"/>
  <c r="H22" i="3"/>
  <c r="H24" i="3"/>
  <c r="H26" i="3"/>
  <c r="H28" i="3"/>
  <c r="H30" i="3"/>
  <c r="H32" i="3"/>
  <c r="H34" i="3"/>
  <c r="H36" i="3"/>
  <c r="H38" i="3"/>
  <c r="H40" i="3"/>
  <c r="H42" i="3"/>
  <c r="H44" i="3"/>
  <c r="H46" i="3"/>
  <c r="H48" i="3"/>
  <c r="H50" i="3"/>
  <c r="H52" i="3"/>
  <c r="H54" i="3"/>
  <c r="H56" i="3"/>
  <c r="H58" i="3"/>
  <c r="H60" i="3"/>
  <c r="H62" i="3"/>
  <c r="H64" i="3"/>
  <c r="H66" i="3"/>
  <c r="H68" i="3"/>
  <c r="H3" i="3"/>
  <c r="H7" i="3"/>
  <c r="H11" i="3"/>
  <c r="H15" i="3"/>
  <c r="H19" i="3"/>
  <c r="H23" i="3"/>
  <c r="H27" i="3"/>
  <c r="H31" i="3"/>
  <c r="H35" i="3"/>
  <c r="H39" i="3"/>
  <c r="H43" i="3"/>
  <c r="H47" i="3"/>
  <c r="H51" i="3"/>
  <c r="H55" i="3"/>
  <c r="H59" i="3"/>
  <c r="H63" i="3"/>
  <c r="H67" i="3"/>
  <c r="H5" i="3"/>
  <c r="H9" i="3"/>
  <c r="H13" i="3"/>
  <c r="H17" i="3"/>
  <c r="H21" i="3"/>
  <c r="H25" i="3"/>
  <c r="H29" i="3"/>
  <c r="H33" i="3"/>
  <c r="H37" i="3"/>
  <c r="H41" i="3"/>
  <c r="H45" i="3"/>
  <c r="H49" i="3"/>
  <c r="H53" i="3"/>
  <c r="H57" i="3"/>
  <c r="H61" i="3"/>
  <c r="H65" i="3"/>
  <c r="T16" i="1" l="1"/>
  <c r="Y16" i="1" s="1"/>
  <c r="T15" i="1"/>
  <c r="Y15" i="1" s="1"/>
  <c r="T14" i="1"/>
  <c r="Y14" i="1" s="1"/>
  <c r="T13" i="1"/>
  <c r="Y13" i="1" s="1"/>
  <c r="T12" i="1"/>
  <c r="Y12" i="1" s="1"/>
  <c r="T11" i="1"/>
  <c r="Y11" i="1" s="1"/>
  <c r="T10" i="1"/>
  <c r="Y10" i="1" s="1"/>
  <c r="T9" i="1"/>
  <c r="Y9" i="1" s="1"/>
  <c r="T8" i="1"/>
  <c r="Y8" i="1" s="1"/>
  <c r="T7" i="1"/>
  <c r="Y7" i="1" s="1"/>
  <c r="U17" i="1"/>
  <c r="W17" i="1" s="1"/>
  <c r="V17" i="1" s="1"/>
  <c r="S7" i="1" l="1"/>
  <c r="C7" i="7" s="1"/>
  <c r="S8" i="1"/>
  <c r="C8" i="7" s="1"/>
  <c r="S9" i="1"/>
  <c r="C9" i="7" s="1"/>
  <c r="S10" i="1"/>
  <c r="C10" i="7" s="1"/>
  <c r="S11" i="1"/>
  <c r="C11" i="7" s="1"/>
  <c r="S12" i="1"/>
  <c r="C12" i="7" s="1"/>
  <c r="S13" i="1"/>
  <c r="C13" i="7" s="1"/>
  <c r="S14" i="1"/>
  <c r="C14" i="7" s="1"/>
  <c r="S15" i="1"/>
  <c r="C15" i="7" s="1"/>
  <c r="S16" i="1"/>
  <c r="C16" i="7" s="1"/>
  <c r="R7" i="1"/>
  <c r="C7" i="10" s="1"/>
  <c r="R8" i="1"/>
  <c r="C8" i="10" s="1"/>
  <c r="R9" i="1"/>
  <c r="C9" i="10" s="1"/>
  <c r="R10" i="1"/>
  <c r="C10" i="10" s="1"/>
  <c r="R11" i="1"/>
  <c r="C11" i="10" s="1"/>
  <c r="R12" i="1"/>
  <c r="C12" i="10" s="1"/>
  <c r="R13" i="1"/>
  <c r="C13" i="10" s="1"/>
  <c r="R14" i="1"/>
  <c r="C14" i="10" s="1"/>
  <c r="R15" i="1"/>
  <c r="R16" i="1"/>
  <c r="G17" i="1" l="1"/>
  <c r="F17" i="1"/>
  <c r="E17" i="1"/>
  <c r="D17" i="1"/>
  <c r="J17" i="1" l="1"/>
  <c r="J6" i="1" s="1"/>
  <c r="E17" i="6"/>
  <c r="L17" i="1"/>
  <c r="L4" i="1" s="1"/>
  <c r="M17" i="1"/>
  <c r="K17" i="1"/>
  <c r="D17" i="7" s="1"/>
  <c r="J3" i="1" l="1"/>
  <c r="J5" i="1"/>
  <c r="J4" i="1"/>
  <c r="J2" i="1"/>
  <c r="E2" i="6" s="1"/>
  <c r="L2" i="1"/>
  <c r="E2" i="7" s="1"/>
  <c r="L5" i="1"/>
  <c r="L6" i="1"/>
  <c r="E6" i="7" s="1"/>
  <c r="L3" i="1"/>
  <c r="E3" i="7" s="1"/>
  <c r="G17" i="6"/>
  <c r="E17" i="7"/>
  <c r="F17" i="7" s="1"/>
  <c r="E4" i="7"/>
  <c r="G4" i="6"/>
  <c r="G6" i="10"/>
  <c r="E6" i="6"/>
  <c r="H6" i="10"/>
  <c r="G84" i="9" s="1"/>
  <c r="M3" i="1"/>
  <c r="M2" i="1"/>
  <c r="F17" i="6"/>
  <c r="M6" i="1"/>
  <c r="E5" i="7"/>
  <c r="G5" i="6"/>
  <c r="G2" i="10"/>
  <c r="H2" i="10"/>
  <c r="H4" i="10"/>
  <c r="E84" i="9" s="1"/>
  <c r="G4" i="10"/>
  <c r="E4" i="6"/>
  <c r="M4" i="1"/>
  <c r="H5" i="10"/>
  <c r="F84" i="9" s="1"/>
  <c r="G5" i="10"/>
  <c r="E5" i="6"/>
  <c r="H17" i="6"/>
  <c r="M5" i="1"/>
  <c r="H3" i="10"/>
  <c r="D84" i="9" s="1"/>
  <c r="G3" i="10"/>
  <c r="E3" i="6"/>
  <c r="H17" i="7"/>
  <c r="I17" i="7" s="1"/>
  <c r="K3" i="1"/>
  <c r="K5" i="1"/>
  <c r="K2" i="1"/>
  <c r="K4" i="1"/>
  <c r="K6" i="1"/>
  <c r="S17" i="1"/>
  <c r="H2" i="1"/>
  <c r="H3" i="1"/>
  <c r="H4" i="1"/>
  <c r="H5" i="1"/>
  <c r="H6" i="1"/>
  <c r="H7" i="1"/>
  <c r="N7" i="1" s="1"/>
  <c r="C7" i="6" s="1"/>
  <c r="H8" i="1"/>
  <c r="H9" i="1"/>
  <c r="N9" i="1" s="1"/>
  <c r="C9" i="6" s="1"/>
  <c r="H10" i="1"/>
  <c r="N10" i="1" s="1"/>
  <c r="C10" i="6" s="1"/>
  <c r="H11" i="1"/>
  <c r="N11" i="1" s="1"/>
  <c r="C11" i="6" s="1"/>
  <c r="H12" i="1"/>
  <c r="N12" i="1" s="1"/>
  <c r="C12" i="6" s="1"/>
  <c r="H13" i="1"/>
  <c r="H14" i="1"/>
  <c r="N14" i="1" s="1"/>
  <c r="C14" i="6" s="1"/>
  <c r="H15" i="1"/>
  <c r="N15" i="1" s="1"/>
  <c r="C15" i="6" s="1"/>
  <c r="H16" i="1"/>
  <c r="N16" i="1" s="1"/>
  <c r="C16" i="6" s="1"/>
  <c r="C17" i="1"/>
  <c r="G3" i="6" l="1"/>
  <c r="G2" i="6"/>
  <c r="G6" i="6"/>
  <c r="D23" i="1"/>
  <c r="K17" i="6"/>
  <c r="S2" i="1"/>
  <c r="C2" i="7" s="1"/>
  <c r="D2" i="7"/>
  <c r="F2" i="7" s="1"/>
  <c r="C84" i="5" s="1"/>
  <c r="F2" i="6"/>
  <c r="K2" i="6" s="1"/>
  <c r="C70" i="3" s="1"/>
  <c r="F87" i="9"/>
  <c r="I5" i="10"/>
  <c r="H4" i="7"/>
  <c r="I4" i="7" s="1"/>
  <c r="E85" i="8" s="1"/>
  <c r="H4" i="6"/>
  <c r="H15" i="10"/>
  <c r="C84" i="9"/>
  <c r="H3" i="6"/>
  <c r="H3" i="7"/>
  <c r="I3" i="7" s="1"/>
  <c r="D85" i="8" s="1"/>
  <c r="S5" i="1"/>
  <c r="C5" i="7" s="1"/>
  <c r="D5" i="7"/>
  <c r="F5" i="7" s="1"/>
  <c r="F84" i="5" s="1"/>
  <c r="F5" i="6"/>
  <c r="K5" i="6" s="1"/>
  <c r="F70" i="3" s="1"/>
  <c r="D87" i="9"/>
  <c r="I3" i="10"/>
  <c r="H5" i="7"/>
  <c r="I5" i="7" s="1"/>
  <c r="F85" i="8" s="1"/>
  <c r="H5" i="6"/>
  <c r="F4" i="9"/>
  <c r="F9" i="9"/>
  <c r="F17" i="9"/>
  <c r="F25" i="9"/>
  <c r="F33" i="9"/>
  <c r="F41" i="9"/>
  <c r="F49" i="9"/>
  <c r="F57" i="9"/>
  <c r="F65" i="9"/>
  <c r="F73" i="9"/>
  <c r="F81" i="9"/>
  <c r="F76" i="9"/>
  <c r="F60" i="9"/>
  <c r="F44" i="9"/>
  <c r="F28" i="9"/>
  <c r="F12" i="9"/>
  <c r="F82" i="9"/>
  <c r="F66" i="9"/>
  <c r="F50" i="9"/>
  <c r="F34" i="9"/>
  <c r="F18" i="9"/>
  <c r="F8" i="9"/>
  <c r="F15" i="9"/>
  <c r="F27" i="9"/>
  <c r="F37" i="9"/>
  <c r="F47" i="9"/>
  <c r="F59" i="9"/>
  <c r="F69" i="9"/>
  <c r="F79" i="9"/>
  <c r="F68" i="9"/>
  <c r="F48" i="9"/>
  <c r="F24" i="9"/>
  <c r="F74" i="9"/>
  <c r="F54" i="9"/>
  <c r="F30" i="9"/>
  <c r="F10" i="9"/>
  <c r="F5" i="9"/>
  <c r="F19" i="9"/>
  <c r="F29" i="9"/>
  <c r="F39" i="9"/>
  <c r="F51" i="9"/>
  <c r="F61" i="9"/>
  <c r="F71" i="9"/>
  <c r="F64" i="9"/>
  <c r="F40" i="9"/>
  <c r="F20" i="9"/>
  <c r="F70" i="9"/>
  <c r="F46" i="9"/>
  <c r="F26" i="9"/>
  <c r="F3" i="9"/>
  <c r="F2" i="9"/>
  <c r="F11" i="9"/>
  <c r="F21" i="9"/>
  <c r="F31" i="9"/>
  <c r="F43" i="9"/>
  <c r="F53" i="9"/>
  <c r="F63" i="9"/>
  <c r="F75" i="9"/>
  <c r="F80" i="9"/>
  <c r="F56" i="9"/>
  <c r="F36" i="9"/>
  <c r="F16" i="9"/>
  <c r="F62" i="9"/>
  <c r="F42" i="9"/>
  <c r="F22" i="9"/>
  <c r="F6" i="9"/>
  <c r="F13" i="9"/>
  <c r="F23" i="9"/>
  <c r="F35" i="9"/>
  <c r="F45" i="9"/>
  <c r="F55" i="9"/>
  <c r="F67" i="9"/>
  <c r="F77" i="9"/>
  <c r="F72" i="9"/>
  <c r="F52" i="9"/>
  <c r="F32" i="9"/>
  <c r="F7" i="9"/>
  <c r="F78" i="9"/>
  <c r="F58" i="9"/>
  <c r="F38" i="9"/>
  <c r="F14" i="9"/>
  <c r="H6" i="7"/>
  <c r="I6" i="7" s="1"/>
  <c r="G85" i="8" s="1"/>
  <c r="H6" i="6"/>
  <c r="G16" i="9"/>
  <c r="G24" i="9"/>
  <c r="G8" i="9"/>
  <c r="G80" i="9"/>
  <c r="G5" i="9"/>
  <c r="G13" i="9"/>
  <c r="G21" i="9"/>
  <c r="G29" i="9"/>
  <c r="G37" i="9"/>
  <c r="G45" i="9"/>
  <c r="G53" i="9"/>
  <c r="G61" i="9"/>
  <c r="G69" i="9"/>
  <c r="G77" i="9"/>
  <c r="G6" i="9"/>
  <c r="G22" i="9"/>
  <c r="G38" i="9"/>
  <c r="G54" i="9"/>
  <c r="G70" i="9"/>
  <c r="G76" i="9"/>
  <c r="G44" i="9"/>
  <c r="G12" i="9"/>
  <c r="G56" i="9"/>
  <c r="G48" i="9"/>
  <c r="G3" i="9"/>
  <c r="G15" i="9"/>
  <c r="G25" i="9"/>
  <c r="G35" i="9"/>
  <c r="G47" i="9"/>
  <c r="G57" i="9"/>
  <c r="G67" i="9"/>
  <c r="G79" i="9"/>
  <c r="G14" i="9"/>
  <c r="G34" i="9"/>
  <c r="G58" i="9"/>
  <c r="G78" i="9"/>
  <c r="G52" i="9"/>
  <c r="G4" i="9"/>
  <c r="G40" i="9"/>
  <c r="G32" i="9"/>
  <c r="G7" i="9"/>
  <c r="G17" i="9"/>
  <c r="G27" i="9"/>
  <c r="G39" i="9"/>
  <c r="G49" i="9"/>
  <c r="G59" i="9"/>
  <c r="G71" i="9"/>
  <c r="G81" i="9"/>
  <c r="G18" i="9"/>
  <c r="G42" i="9"/>
  <c r="G62" i="9"/>
  <c r="G82" i="9"/>
  <c r="G36" i="9"/>
  <c r="G9" i="9"/>
  <c r="G19" i="9"/>
  <c r="G31" i="9"/>
  <c r="G41" i="9"/>
  <c r="G51" i="9"/>
  <c r="G63" i="9"/>
  <c r="G73" i="9"/>
  <c r="G2" i="9"/>
  <c r="G26" i="9"/>
  <c r="G46" i="9"/>
  <c r="G66" i="9"/>
  <c r="G68" i="9"/>
  <c r="G28" i="9"/>
  <c r="G72" i="9"/>
  <c r="G64" i="9"/>
  <c r="G11" i="9"/>
  <c r="G23" i="9"/>
  <c r="G33" i="9"/>
  <c r="G43" i="9"/>
  <c r="G55" i="9"/>
  <c r="G65" i="9"/>
  <c r="G75" i="9"/>
  <c r="G10" i="9"/>
  <c r="G30" i="9"/>
  <c r="G50" i="9"/>
  <c r="G74" i="9"/>
  <c r="G60" i="9"/>
  <c r="G20" i="9"/>
  <c r="S6" i="1"/>
  <c r="C6" i="7" s="1"/>
  <c r="D6" i="7"/>
  <c r="F6" i="7" s="1"/>
  <c r="G84" i="5" s="1"/>
  <c r="F6" i="6"/>
  <c r="K6" i="6" s="1"/>
  <c r="G70" i="3" s="1"/>
  <c r="S3" i="1"/>
  <c r="C3" i="7" s="1"/>
  <c r="D3" i="7"/>
  <c r="F3" i="7" s="1"/>
  <c r="D84" i="5" s="1"/>
  <c r="F3" i="6"/>
  <c r="K3" i="6" s="1"/>
  <c r="D70" i="3" s="1"/>
  <c r="D5" i="9"/>
  <c r="D13" i="9"/>
  <c r="D21" i="9"/>
  <c r="D29" i="9"/>
  <c r="D37" i="9"/>
  <c r="D45" i="9"/>
  <c r="D53" i="9"/>
  <c r="D61" i="9"/>
  <c r="D69" i="9"/>
  <c r="D77" i="9"/>
  <c r="D74" i="9"/>
  <c r="D58" i="9"/>
  <c r="D42" i="9"/>
  <c r="D26" i="9"/>
  <c r="D10" i="9"/>
  <c r="D80" i="9"/>
  <c r="D64" i="9"/>
  <c r="D48" i="9"/>
  <c r="D32" i="9"/>
  <c r="D16" i="9"/>
  <c r="D3" i="9"/>
  <c r="D15" i="9"/>
  <c r="D25" i="9"/>
  <c r="D35" i="9"/>
  <c r="D47" i="9"/>
  <c r="D57" i="9"/>
  <c r="D67" i="9"/>
  <c r="D79" i="9"/>
  <c r="D70" i="9"/>
  <c r="D50" i="9"/>
  <c r="D30" i="9"/>
  <c r="D6" i="9"/>
  <c r="D60" i="9"/>
  <c r="D40" i="9"/>
  <c r="D20" i="9"/>
  <c r="D7" i="9"/>
  <c r="D17" i="9"/>
  <c r="D27" i="9"/>
  <c r="D39" i="9"/>
  <c r="D49" i="9"/>
  <c r="D59" i="9"/>
  <c r="D71" i="9"/>
  <c r="D81" i="9"/>
  <c r="D66" i="9"/>
  <c r="D46" i="9"/>
  <c r="D22" i="9"/>
  <c r="D2" i="9"/>
  <c r="D76" i="9"/>
  <c r="D56" i="9"/>
  <c r="D36" i="9"/>
  <c r="D12" i="9"/>
  <c r="D9" i="9"/>
  <c r="D19" i="9"/>
  <c r="D31" i="9"/>
  <c r="D41" i="9"/>
  <c r="D51" i="9"/>
  <c r="D63" i="9"/>
  <c r="D73" i="9"/>
  <c r="D82" i="9"/>
  <c r="D62" i="9"/>
  <c r="D38" i="9"/>
  <c r="D18" i="9"/>
  <c r="D72" i="9"/>
  <c r="D52" i="9"/>
  <c r="D28" i="9"/>
  <c r="D8" i="9"/>
  <c r="D11" i="9"/>
  <c r="D23" i="9"/>
  <c r="D33" i="9"/>
  <c r="D43" i="9"/>
  <c r="D55" i="9"/>
  <c r="D65" i="9"/>
  <c r="D75" i="9"/>
  <c r="D78" i="9"/>
  <c r="D54" i="9"/>
  <c r="D34" i="9"/>
  <c r="D14" i="9"/>
  <c r="D68" i="9"/>
  <c r="D44" i="9"/>
  <c r="D24" i="9"/>
  <c r="D4" i="9"/>
  <c r="E87" i="9"/>
  <c r="I4" i="10"/>
  <c r="I2" i="10"/>
  <c r="G15" i="10"/>
  <c r="C87" i="9"/>
  <c r="S4" i="1"/>
  <c r="C4" i="7" s="1"/>
  <c r="D4" i="7"/>
  <c r="F4" i="7" s="1"/>
  <c r="E84" i="5" s="1"/>
  <c r="F4" i="6"/>
  <c r="K4" i="6" s="1"/>
  <c r="E70" i="3" s="1"/>
  <c r="E7" i="9"/>
  <c r="E67" i="9"/>
  <c r="E35" i="9"/>
  <c r="E3" i="9"/>
  <c r="E51" i="9"/>
  <c r="E11" i="9"/>
  <c r="E71" i="9"/>
  <c r="E39" i="9"/>
  <c r="E6" i="9"/>
  <c r="E14" i="9"/>
  <c r="E22" i="9"/>
  <c r="E30" i="9"/>
  <c r="E38" i="9"/>
  <c r="E46" i="9"/>
  <c r="E54" i="9"/>
  <c r="E62" i="9"/>
  <c r="E70" i="9"/>
  <c r="E78" i="9"/>
  <c r="E81" i="9"/>
  <c r="E65" i="9"/>
  <c r="E49" i="9"/>
  <c r="E33" i="9"/>
  <c r="E17" i="9"/>
  <c r="E43" i="9"/>
  <c r="E79" i="9"/>
  <c r="E31" i="9"/>
  <c r="E10" i="9"/>
  <c r="E20" i="9"/>
  <c r="E32" i="9"/>
  <c r="E42" i="9"/>
  <c r="E52" i="9"/>
  <c r="E64" i="9"/>
  <c r="E74" i="9"/>
  <c r="E77" i="9"/>
  <c r="E57" i="9"/>
  <c r="E37" i="9"/>
  <c r="E13" i="9"/>
  <c r="E27" i="9"/>
  <c r="E63" i="9"/>
  <c r="E23" i="9"/>
  <c r="E2" i="9"/>
  <c r="E12" i="9"/>
  <c r="E24" i="9"/>
  <c r="E34" i="9"/>
  <c r="E44" i="9"/>
  <c r="E56" i="9"/>
  <c r="E66" i="9"/>
  <c r="E76" i="9"/>
  <c r="E73" i="9"/>
  <c r="E53" i="9"/>
  <c r="E29" i="9"/>
  <c r="E9" i="9"/>
  <c r="E75" i="9"/>
  <c r="E19" i="9"/>
  <c r="E55" i="9"/>
  <c r="E15" i="9"/>
  <c r="E4" i="9"/>
  <c r="E16" i="9"/>
  <c r="E26" i="9"/>
  <c r="E36" i="9"/>
  <c r="E48" i="9"/>
  <c r="E58" i="9"/>
  <c r="E68" i="9"/>
  <c r="E80" i="9"/>
  <c r="E69" i="9"/>
  <c r="E45" i="9"/>
  <c r="E25" i="9"/>
  <c r="E5" i="9"/>
  <c r="E59" i="9"/>
  <c r="E47" i="9"/>
  <c r="E8" i="9"/>
  <c r="E18" i="9"/>
  <c r="E28" i="9"/>
  <c r="E40" i="9"/>
  <c r="E50" i="9"/>
  <c r="E60" i="9"/>
  <c r="E72" i="9"/>
  <c r="E82" i="9"/>
  <c r="E61" i="9"/>
  <c r="E41" i="9"/>
  <c r="E21" i="9"/>
  <c r="H2" i="7"/>
  <c r="I2" i="7" s="1"/>
  <c r="C85" i="8" s="1"/>
  <c r="H2" i="6"/>
  <c r="G87" i="9"/>
  <c r="I6" i="10"/>
  <c r="N13" i="1"/>
  <c r="N8" i="1"/>
  <c r="H17" i="1"/>
  <c r="I17" i="1"/>
  <c r="D17" i="6" s="1"/>
  <c r="J17" i="6" s="1"/>
  <c r="O7" i="1"/>
  <c r="Q7" i="1"/>
  <c r="O11" i="1"/>
  <c r="Q11" i="1"/>
  <c r="P11" i="1"/>
  <c r="P7" i="1"/>
  <c r="O15" i="1"/>
  <c r="Q15" i="1"/>
  <c r="P15" i="1"/>
  <c r="Q10" i="1"/>
  <c r="P10" i="1"/>
  <c r="O10" i="1"/>
  <c r="P12" i="1"/>
  <c r="O12" i="1"/>
  <c r="Q12" i="1"/>
  <c r="Q9" i="1"/>
  <c r="P9" i="1"/>
  <c r="O9" i="1"/>
  <c r="Q14" i="1"/>
  <c r="P14" i="1"/>
  <c r="O14" i="1"/>
  <c r="P16" i="1"/>
  <c r="O16" i="1"/>
  <c r="Q16" i="1"/>
  <c r="D69" i="5" l="1"/>
  <c r="D33" i="5"/>
  <c r="D9" i="5"/>
  <c r="D80" i="5"/>
  <c r="D76" i="5"/>
  <c r="D72" i="5"/>
  <c r="D68" i="5"/>
  <c r="D64" i="5"/>
  <c r="D60" i="5"/>
  <c r="D56" i="5"/>
  <c r="D52" i="5"/>
  <c r="D48" i="5"/>
  <c r="D44" i="5"/>
  <c r="D40" i="5"/>
  <c r="D36" i="5"/>
  <c r="D32" i="5"/>
  <c r="D28" i="5"/>
  <c r="D24" i="5"/>
  <c r="D20" i="5"/>
  <c r="D16" i="5"/>
  <c r="D12" i="5"/>
  <c r="D8" i="5"/>
  <c r="D4" i="5"/>
  <c r="D53" i="5"/>
  <c r="D65" i="5"/>
  <c r="D41" i="5"/>
  <c r="D17" i="5"/>
  <c r="D79" i="5"/>
  <c r="D75" i="5"/>
  <c r="D71" i="5"/>
  <c r="D67" i="5"/>
  <c r="D63" i="5"/>
  <c r="D59" i="5"/>
  <c r="D55" i="5"/>
  <c r="D51" i="5"/>
  <c r="D47" i="5"/>
  <c r="D43" i="5"/>
  <c r="D39" i="5"/>
  <c r="D35" i="5"/>
  <c r="D31" i="5"/>
  <c r="D27" i="5"/>
  <c r="D23" i="5"/>
  <c r="D19" i="5"/>
  <c r="D15" i="5"/>
  <c r="D11" i="5"/>
  <c r="D7" i="5"/>
  <c r="D3" i="5"/>
  <c r="D81" i="5"/>
  <c r="D61" i="5"/>
  <c r="D37" i="5"/>
  <c r="D25" i="5"/>
  <c r="D5" i="5"/>
  <c r="D77" i="5"/>
  <c r="D57" i="5"/>
  <c r="D49" i="5"/>
  <c r="D29" i="5"/>
  <c r="D21" i="5"/>
  <c r="D82" i="5"/>
  <c r="D78" i="5"/>
  <c r="D74" i="5"/>
  <c r="D70" i="5"/>
  <c r="D66" i="5"/>
  <c r="D62" i="5"/>
  <c r="D58" i="5"/>
  <c r="D54" i="5"/>
  <c r="D50" i="5"/>
  <c r="D46" i="5"/>
  <c r="D42" i="5"/>
  <c r="D38" i="5"/>
  <c r="D34" i="5"/>
  <c r="D30" i="5"/>
  <c r="D26" i="5"/>
  <c r="D22" i="5"/>
  <c r="D18" i="5"/>
  <c r="D14" i="5"/>
  <c r="D10" i="5"/>
  <c r="D6" i="5"/>
  <c r="D2" i="5"/>
  <c r="D73" i="5"/>
  <c r="D45" i="5"/>
  <c r="D13" i="5"/>
  <c r="C81" i="5"/>
  <c r="C77" i="5"/>
  <c r="C73" i="5"/>
  <c r="C69" i="5"/>
  <c r="C65" i="5"/>
  <c r="C61" i="5"/>
  <c r="C57" i="5"/>
  <c r="C53" i="5"/>
  <c r="C49" i="5"/>
  <c r="C45" i="5"/>
  <c r="C41" i="5"/>
  <c r="C37" i="5"/>
  <c r="C33" i="5"/>
  <c r="C29" i="5"/>
  <c r="C25" i="5"/>
  <c r="C21" i="5"/>
  <c r="C17" i="5"/>
  <c r="C13" i="5"/>
  <c r="C9" i="5"/>
  <c r="C5" i="5"/>
  <c r="C66" i="5"/>
  <c r="C10" i="5"/>
  <c r="C62" i="5"/>
  <c r="C80" i="5"/>
  <c r="C76" i="5"/>
  <c r="C72" i="5"/>
  <c r="C68" i="5"/>
  <c r="C64" i="5"/>
  <c r="C60" i="5"/>
  <c r="C56" i="5"/>
  <c r="C52" i="5"/>
  <c r="C48" i="5"/>
  <c r="C44" i="5"/>
  <c r="C40" i="5"/>
  <c r="C36" i="5"/>
  <c r="C32" i="5"/>
  <c r="C28" i="5"/>
  <c r="C24" i="5"/>
  <c r="C20" i="5"/>
  <c r="C16" i="5"/>
  <c r="C12" i="5"/>
  <c r="C8" i="5"/>
  <c r="C4" i="5"/>
  <c r="C70" i="5"/>
  <c r="C58" i="5"/>
  <c r="C38" i="5"/>
  <c r="C34" i="5"/>
  <c r="C22" i="5"/>
  <c r="C74" i="5"/>
  <c r="C46" i="5"/>
  <c r="C26" i="5"/>
  <c r="C2" i="5"/>
  <c r="C79" i="5"/>
  <c r="C75" i="5"/>
  <c r="C71" i="5"/>
  <c r="C67" i="5"/>
  <c r="C63" i="5"/>
  <c r="C59" i="5"/>
  <c r="C55" i="5"/>
  <c r="C51" i="5"/>
  <c r="C47" i="5"/>
  <c r="C43" i="5"/>
  <c r="C39" i="5"/>
  <c r="C35" i="5"/>
  <c r="C31" i="5"/>
  <c r="C27" i="5"/>
  <c r="C23" i="5"/>
  <c r="C19" i="5"/>
  <c r="C15" i="5"/>
  <c r="C11" i="5"/>
  <c r="C7" i="5"/>
  <c r="C3" i="5"/>
  <c r="C82" i="5"/>
  <c r="C50" i="5"/>
  <c r="C18" i="5"/>
  <c r="C78" i="5"/>
  <c r="C54" i="5"/>
  <c r="C42" i="5"/>
  <c r="C30" i="5"/>
  <c r="C14" i="5"/>
  <c r="C6" i="5"/>
  <c r="C17" i="7"/>
  <c r="I85" i="8"/>
  <c r="C8" i="8"/>
  <c r="C16" i="8"/>
  <c r="C24" i="8"/>
  <c r="C32" i="8"/>
  <c r="C40" i="8"/>
  <c r="C48" i="8"/>
  <c r="C56" i="8"/>
  <c r="C64" i="8"/>
  <c r="C72" i="8"/>
  <c r="C80" i="8"/>
  <c r="C7" i="8"/>
  <c r="C15" i="8"/>
  <c r="C23" i="8"/>
  <c r="C31" i="8"/>
  <c r="C39" i="8"/>
  <c r="C47" i="8"/>
  <c r="C55" i="8"/>
  <c r="C63" i="8"/>
  <c r="C71" i="8"/>
  <c r="C79" i="8"/>
  <c r="C81" i="8"/>
  <c r="C2" i="8"/>
  <c r="C12" i="8"/>
  <c r="C22" i="8"/>
  <c r="C34" i="8"/>
  <c r="C44" i="8"/>
  <c r="C54" i="8"/>
  <c r="C66" i="8"/>
  <c r="C76" i="8"/>
  <c r="C5" i="8"/>
  <c r="C17" i="8"/>
  <c r="C27" i="8"/>
  <c r="C37" i="8"/>
  <c r="C49" i="8"/>
  <c r="C59" i="8"/>
  <c r="C69" i="8"/>
  <c r="C83" i="8"/>
  <c r="C4" i="8"/>
  <c r="C14" i="8"/>
  <c r="C26" i="8"/>
  <c r="C36" i="8"/>
  <c r="C46" i="8"/>
  <c r="C58" i="8"/>
  <c r="C68" i="8"/>
  <c r="C78" i="8"/>
  <c r="C9" i="8"/>
  <c r="C19" i="8"/>
  <c r="C29" i="8"/>
  <c r="C41" i="8"/>
  <c r="C51" i="8"/>
  <c r="C61" i="8"/>
  <c r="C73" i="8"/>
  <c r="C6" i="8"/>
  <c r="C18" i="8"/>
  <c r="C28" i="8"/>
  <c r="C38" i="8"/>
  <c r="C50" i="8"/>
  <c r="C60" i="8"/>
  <c r="C70" i="8"/>
  <c r="C82" i="8"/>
  <c r="C11" i="8"/>
  <c r="C21" i="8"/>
  <c r="C33" i="8"/>
  <c r="C43" i="8"/>
  <c r="C53" i="8"/>
  <c r="C65" i="8"/>
  <c r="C75" i="8"/>
  <c r="C10" i="8"/>
  <c r="C20" i="8"/>
  <c r="C30" i="8"/>
  <c r="C42" i="8"/>
  <c r="C52" i="8"/>
  <c r="C62" i="8"/>
  <c r="C74" i="8"/>
  <c r="C3" i="8"/>
  <c r="C13" i="8"/>
  <c r="C25" i="8"/>
  <c r="C35" i="8"/>
  <c r="C45" i="8"/>
  <c r="C57" i="8"/>
  <c r="C67" i="8"/>
  <c r="C77" i="8"/>
  <c r="D90" i="9"/>
  <c r="D91" i="9"/>
  <c r="D92" i="9"/>
  <c r="F90" i="9"/>
  <c r="F92" i="9"/>
  <c r="F91" i="9"/>
  <c r="C92" i="9"/>
  <c r="C91" i="9"/>
  <c r="C90" i="9"/>
  <c r="J87" i="9"/>
  <c r="E91" i="9"/>
  <c r="E90" i="9"/>
  <c r="E92" i="9"/>
  <c r="F2" i="3"/>
  <c r="F10" i="3"/>
  <c r="F18" i="3"/>
  <c r="F26" i="3"/>
  <c r="F34" i="3"/>
  <c r="F42" i="3"/>
  <c r="F50" i="3"/>
  <c r="F58" i="3"/>
  <c r="F66" i="3"/>
  <c r="F13" i="3"/>
  <c r="F29" i="3"/>
  <c r="F45" i="3"/>
  <c r="F61" i="3"/>
  <c r="F11" i="3"/>
  <c r="F27" i="3"/>
  <c r="F43" i="3"/>
  <c r="F59" i="3"/>
  <c r="F4" i="3"/>
  <c r="F12" i="3"/>
  <c r="F20" i="3"/>
  <c r="F28" i="3"/>
  <c r="F36" i="3"/>
  <c r="F44" i="3"/>
  <c r="F52" i="3"/>
  <c r="F60" i="3"/>
  <c r="F68" i="3"/>
  <c r="F17" i="3"/>
  <c r="F33" i="3"/>
  <c r="F49" i="3"/>
  <c r="F65" i="3"/>
  <c r="F15" i="3"/>
  <c r="F31" i="3"/>
  <c r="F47" i="3"/>
  <c r="F63" i="3"/>
  <c r="F6" i="3"/>
  <c r="F14" i="3"/>
  <c r="F22" i="3"/>
  <c r="F30" i="3"/>
  <c r="F38" i="3"/>
  <c r="F46" i="3"/>
  <c r="F54" i="3"/>
  <c r="F62" i="3"/>
  <c r="F5" i="3"/>
  <c r="F21" i="3"/>
  <c r="F37" i="3"/>
  <c r="F53" i="3"/>
  <c r="F3" i="3"/>
  <c r="F19" i="3"/>
  <c r="F35" i="3"/>
  <c r="F51" i="3"/>
  <c r="F67" i="3"/>
  <c r="F8" i="3"/>
  <c r="F16" i="3"/>
  <c r="F24" i="3"/>
  <c r="F32" i="3"/>
  <c r="F40" i="3"/>
  <c r="F48" i="3"/>
  <c r="F56" i="3"/>
  <c r="F64" i="3"/>
  <c r="F9" i="3"/>
  <c r="F25" i="3"/>
  <c r="F41" i="3"/>
  <c r="F57" i="3"/>
  <c r="F7" i="3"/>
  <c r="F23" i="3"/>
  <c r="F39" i="3"/>
  <c r="F55" i="3"/>
  <c r="D3" i="8"/>
  <c r="D11" i="8"/>
  <c r="D19" i="8"/>
  <c r="D27" i="8"/>
  <c r="D35" i="8"/>
  <c r="D43" i="8"/>
  <c r="D51" i="8"/>
  <c r="D59" i="8"/>
  <c r="D67" i="8"/>
  <c r="D75" i="8"/>
  <c r="D12" i="8"/>
  <c r="D28" i="8"/>
  <c r="D44" i="8"/>
  <c r="D60" i="8"/>
  <c r="D76" i="8"/>
  <c r="D2" i="8"/>
  <c r="D18" i="8"/>
  <c r="D34" i="8"/>
  <c r="D50" i="8"/>
  <c r="D66" i="8"/>
  <c r="D80" i="8"/>
  <c r="D9" i="8"/>
  <c r="D21" i="8"/>
  <c r="D31" i="8"/>
  <c r="D41" i="8"/>
  <c r="D53" i="8"/>
  <c r="D63" i="8"/>
  <c r="D73" i="8"/>
  <c r="D16" i="8"/>
  <c r="D36" i="8"/>
  <c r="D56" i="8"/>
  <c r="D79" i="8"/>
  <c r="D10" i="8"/>
  <c r="D30" i="8"/>
  <c r="D54" i="8"/>
  <c r="D74" i="8"/>
  <c r="D13" i="8"/>
  <c r="D23" i="8"/>
  <c r="D33" i="8"/>
  <c r="D45" i="8"/>
  <c r="D55" i="8"/>
  <c r="D65" i="8"/>
  <c r="D77" i="8"/>
  <c r="D20" i="8"/>
  <c r="D40" i="8"/>
  <c r="D64" i="8"/>
  <c r="D81" i="8"/>
  <c r="D14" i="8"/>
  <c r="D38" i="8"/>
  <c r="D58" i="8"/>
  <c r="D78" i="8"/>
  <c r="D7" i="8"/>
  <c r="D29" i="8"/>
  <c r="D49" i="8"/>
  <c r="D71" i="8"/>
  <c r="D32" i="8"/>
  <c r="D72" i="8"/>
  <c r="D26" i="8"/>
  <c r="D70" i="8"/>
  <c r="D15" i="8"/>
  <c r="D37" i="8"/>
  <c r="D57" i="8"/>
  <c r="D4" i="8"/>
  <c r="D48" i="8"/>
  <c r="D83" i="8"/>
  <c r="D42" i="8"/>
  <c r="D82" i="8"/>
  <c r="D17" i="8"/>
  <c r="D39" i="8"/>
  <c r="D61" i="8"/>
  <c r="D8" i="8"/>
  <c r="D52" i="8"/>
  <c r="D6" i="8"/>
  <c r="D46" i="8"/>
  <c r="D5" i="8"/>
  <c r="D25" i="8"/>
  <c r="D47" i="8"/>
  <c r="D69" i="8"/>
  <c r="D24" i="8"/>
  <c r="D68" i="8"/>
  <c r="D22" i="8"/>
  <c r="D62" i="8"/>
  <c r="C6" i="3"/>
  <c r="C14" i="3"/>
  <c r="C22" i="3"/>
  <c r="C30" i="3"/>
  <c r="C38" i="3"/>
  <c r="C46" i="3"/>
  <c r="C54" i="3"/>
  <c r="C62" i="3"/>
  <c r="C3" i="3"/>
  <c r="C11" i="3"/>
  <c r="C19" i="3"/>
  <c r="C27" i="3"/>
  <c r="C35" i="3"/>
  <c r="C43" i="3"/>
  <c r="C51" i="3"/>
  <c r="C59" i="3"/>
  <c r="C67" i="3"/>
  <c r="R70" i="3"/>
  <c r="C8" i="3"/>
  <c r="C16" i="3"/>
  <c r="C24" i="3"/>
  <c r="C32" i="3"/>
  <c r="C40" i="3"/>
  <c r="C48" i="3"/>
  <c r="C56" i="3"/>
  <c r="C64" i="3"/>
  <c r="C5" i="3"/>
  <c r="C13" i="3"/>
  <c r="C21" i="3"/>
  <c r="C29" i="3"/>
  <c r="C37" i="3"/>
  <c r="C45" i="3"/>
  <c r="C53" i="3"/>
  <c r="C61" i="3"/>
  <c r="C2" i="3"/>
  <c r="C10" i="3"/>
  <c r="C18" i="3"/>
  <c r="C26" i="3"/>
  <c r="C34" i="3"/>
  <c r="C42" i="3"/>
  <c r="C50" i="3"/>
  <c r="C58" i="3"/>
  <c r="C66" i="3"/>
  <c r="C7" i="3"/>
  <c r="C15" i="3"/>
  <c r="C23" i="3"/>
  <c r="C31" i="3"/>
  <c r="C39" i="3"/>
  <c r="C47" i="3"/>
  <c r="C55" i="3"/>
  <c r="C63" i="3"/>
  <c r="C4" i="3"/>
  <c r="C12" i="3"/>
  <c r="C20" i="3"/>
  <c r="C28" i="3"/>
  <c r="C36" i="3"/>
  <c r="C44" i="3"/>
  <c r="C52" i="3"/>
  <c r="C60" i="3"/>
  <c r="C68" i="3"/>
  <c r="C9" i="3"/>
  <c r="C17" i="3"/>
  <c r="C25" i="3"/>
  <c r="C33" i="3"/>
  <c r="C41" i="3"/>
  <c r="C49" i="3"/>
  <c r="C57" i="3"/>
  <c r="C65" i="3"/>
  <c r="Q8" i="1"/>
  <c r="C8" i="6"/>
  <c r="G91" i="9"/>
  <c r="G92" i="9"/>
  <c r="G90" i="9"/>
  <c r="E7" i="3"/>
  <c r="E15" i="3"/>
  <c r="E23" i="3"/>
  <c r="E31" i="3"/>
  <c r="E39" i="3"/>
  <c r="E47" i="3"/>
  <c r="E55" i="3"/>
  <c r="E63" i="3"/>
  <c r="E10" i="3"/>
  <c r="E26" i="3"/>
  <c r="E42" i="3"/>
  <c r="E58" i="3"/>
  <c r="E4" i="3"/>
  <c r="E20" i="3"/>
  <c r="E36" i="3"/>
  <c r="E52" i="3"/>
  <c r="E67" i="3"/>
  <c r="E9" i="3"/>
  <c r="E17" i="3"/>
  <c r="E25" i="3"/>
  <c r="E33" i="3"/>
  <c r="E41" i="3"/>
  <c r="E49" i="3"/>
  <c r="E57" i="3"/>
  <c r="E65" i="3"/>
  <c r="E14" i="3"/>
  <c r="E30" i="3"/>
  <c r="E46" i="3"/>
  <c r="E62" i="3"/>
  <c r="E8" i="3"/>
  <c r="E24" i="3"/>
  <c r="E40" i="3"/>
  <c r="E56" i="3"/>
  <c r="E3" i="3"/>
  <c r="E11" i="3"/>
  <c r="E19" i="3"/>
  <c r="E27" i="3"/>
  <c r="E35" i="3"/>
  <c r="E43" i="3"/>
  <c r="E51" i="3"/>
  <c r="E59" i="3"/>
  <c r="E2" i="3"/>
  <c r="E18" i="3"/>
  <c r="E34" i="3"/>
  <c r="E50" i="3"/>
  <c r="E66" i="3"/>
  <c r="E12" i="3"/>
  <c r="E28" i="3"/>
  <c r="E44" i="3"/>
  <c r="E60" i="3"/>
  <c r="E5" i="3"/>
  <c r="E13" i="3"/>
  <c r="E21" i="3"/>
  <c r="E29" i="3"/>
  <c r="E37" i="3"/>
  <c r="E45" i="3"/>
  <c r="E53" i="3"/>
  <c r="E61" i="3"/>
  <c r="E6" i="3"/>
  <c r="E22" i="3"/>
  <c r="E38" i="3"/>
  <c r="E54" i="3"/>
  <c r="E68" i="3"/>
  <c r="E16" i="3"/>
  <c r="E32" i="3"/>
  <c r="E48" i="3"/>
  <c r="E64" i="3"/>
  <c r="G5" i="3"/>
  <c r="G13" i="3"/>
  <c r="G21" i="3"/>
  <c r="G29" i="3"/>
  <c r="G37" i="3"/>
  <c r="G45" i="3"/>
  <c r="G53" i="3"/>
  <c r="G61" i="3"/>
  <c r="G4" i="3"/>
  <c r="G20" i="3"/>
  <c r="G36" i="3"/>
  <c r="G52" i="3"/>
  <c r="G68" i="3"/>
  <c r="G14" i="3"/>
  <c r="G30" i="3"/>
  <c r="G46" i="3"/>
  <c r="G62" i="3"/>
  <c r="G7" i="3"/>
  <c r="G15" i="3"/>
  <c r="G23" i="3"/>
  <c r="G31" i="3"/>
  <c r="G39" i="3"/>
  <c r="G47" i="3"/>
  <c r="G55" i="3"/>
  <c r="G63" i="3"/>
  <c r="G8" i="3"/>
  <c r="G24" i="3"/>
  <c r="G40" i="3"/>
  <c r="G56" i="3"/>
  <c r="G2" i="3"/>
  <c r="G18" i="3"/>
  <c r="G34" i="3"/>
  <c r="G50" i="3"/>
  <c r="G66" i="3"/>
  <c r="G9" i="3"/>
  <c r="G17" i="3"/>
  <c r="G25" i="3"/>
  <c r="G33" i="3"/>
  <c r="G41" i="3"/>
  <c r="G49" i="3"/>
  <c r="G57" i="3"/>
  <c r="G65" i="3"/>
  <c r="G12" i="3"/>
  <c r="G28" i="3"/>
  <c r="G44" i="3"/>
  <c r="G60" i="3"/>
  <c r="G6" i="3"/>
  <c r="G22" i="3"/>
  <c r="G38" i="3"/>
  <c r="G54" i="3"/>
  <c r="G3" i="3"/>
  <c r="G11" i="3"/>
  <c r="G19" i="3"/>
  <c r="G27" i="3"/>
  <c r="G35" i="3"/>
  <c r="G43" i="3"/>
  <c r="G51" i="3"/>
  <c r="G59" i="3"/>
  <c r="G67" i="3"/>
  <c r="G16" i="3"/>
  <c r="G32" i="3"/>
  <c r="G48" i="3"/>
  <c r="G64" i="3"/>
  <c r="G10" i="3"/>
  <c r="G26" i="3"/>
  <c r="G42" i="3"/>
  <c r="G58" i="3"/>
  <c r="F7" i="8"/>
  <c r="F15" i="8"/>
  <c r="F23" i="8"/>
  <c r="F31" i="8"/>
  <c r="F39" i="8"/>
  <c r="F47" i="8"/>
  <c r="F55" i="8"/>
  <c r="F63" i="8"/>
  <c r="F71" i="8"/>
  <c r="F79" i="8"/>
  <c r="F8" i="8"/>
  <c r="F24" i="8"/>
  <c r="F40" i="8"/>
  <c r="F56" i="8"/>
  <c r="F72" i="8"/>
  <c r="F6" i="8"/>
  <c r="F22" i="8"/>
  <c r="F38" i="8"/>
  <c r="F54" i="8"/>
  <c r="F70" i="8"/>
  <c r="F3" i="8"/>
  <c r="F13" i="8"/>
  <c r="F25" i="8"/>
  <c r="F35" i="8"/>
  <c r="F45" i="8"/>
  <c r="F57" i="8"/>
  <c r="F67" i="8"/>
  <c r="F77" i="8"/>
  <c r="F12" i="8"/>
  <c r="F32" i="8"/>
  <c r="F52" i="8"/>
  <c r="F76" i="8"/>
  <c r="F14" i="8"/>
  <c r="F34" i="8"/>
  <c r="F58" i="8"/>
  <c r="F78" i="8"/>
  <c r="F5" i="8"/>
  <c r="F17" i="8"/>
  <c r="F27" i="8"/>
  <c r="F37" i="8"/>
  <c r="F49" i="8"/>
  <c r="F59" i="8"/>
  <c r="F69" i="8"/>
  <c r="F81" i="8"/>
  <c r="F16" i="8"/>
  <c r="F36" i="8"/>
  <c r="F60" i="8"/>
  <c r="F80" i="8"/>
  <c r="F18" i="8"/>
  <c r="F42" i="8"/>
  <c r="F62" i="8"/>
  <c r="F82" i="8"/>
  <c r="F21" i="8"/>
  <c r="F43" i="8"/>
  <c r="F65" i="8"/>
  <c r="F4" i="8"/>
  <c r="F48" i="8"/>
  <c r="F10" i="8"/>
  <c r="F50" i="8"/>
  <c r="F9" i="8"/>
  <c r="F29" i="8"/>
  <c r="F51" i="8"/>
  <c r="F73" i="8"/>
  <c r="F20" i="8"/>
  <c r="F64" i="8"/>
  <c r="F26" i="8"/>
  <c r="F66" i="8"/>
  <c r="F11" i="8"/>
  <c r="F33" i="8"/>
  <c r="F53" i="8"/>
  <c r="F75" i="8"/>
  <c r="F28" i="8"/>
  <c r="F68" i="8"/>
  <c r="F30" i="8"/>
  <c r="F74" i="8"/>
  <c r="F19" i="8"/>
  <c r="F41" i="8"/>
  <c r="F61" i="8"/>
  <c r="F83" i="8"/>
  <c r="F44" i="8"/>
  <c r="F2" i="8"/>
  <c r="F46" i="8"/>
  <c r="F75" i="5"/>
  <c r="F59" i="5"/>
  <c r="F43" i="5"/>
  <c r="F27" i="5"/>
  <c r="F11" i="5"/>
  <c r="F16" i="5"/>
  <c r="F32" i="5"/>
  <c r="F48" i="5"/>
  <c r="F64" i="5"/>
  <c r="F80" i="5"/>
  <c r="F20" i="5"/>
  <c r="F53" i="5"/>
  <c r="F14" i="5"/>
  <c r="F30" i="5"/>
  <c r="F46" i="5"/>
  <c r="F62" i="5"/>
  <c r="F78" i="5"/>
  <c r="F9" i="5"/>
  <c r="F41" i="5"/>
  <c r="F73" i="5"/>
  <c r="F67" i="5"/>
  <c r="F47" i="5"/>
  <c r="F23" i="5"/>
  <c r="F3" i="5"/>
  <c r="F4" i="5"/>
  <c r="F24" i="5"/>
  <c r="F44" i="5"/>
  <c r="F68" i="5"/>
  <c r="F5" i="5"/>
  <c r="F45" i="5"/>
  <c r="F6" i="5"/>
  <c r="F26" i="5"/>
  <c r="F50" i="5"/>
  <c r="F70" i="5"/>
  <c r="F17" i="5"/>
  <c r="F57" i="5"/>
  <c r="F2" i="5"/>
  <c r="F63" i="5"/>
  <c r="F39" i="5"/>
  <c r="F19" i="5"/>
  <c r="F8" i="5"/>
  <c r="F28" i="5"/>
  <c r="F52" i="5"/>
  <c r="F72" i="5"/>
  <c r="F51" i="5"/>
  <c r="F7" i="5"/>
  <c r="F40" i="5"/>
  <c r="F61" i="5"/>
  <c r="F18" i="5"/>
  <c r="F42" i="5"/>
  <c r="F74" i="5"/>
  <c r="F49" i="5"/>
  <c r="F79" i="5"/>
  <c r="F35" i="5"/>
  <c r="F12" i="5"/>
  <c r="F56" i="5"/>
  <c r="F13" i="5"/>
  <c r="F69" i="5"/>
  <c r="F22" i="5"/>
  <c r="F54" i="5"/>
  <c r="F82" i="5"/>
  <c r="F65" i="5"/>
  <c r="F71" i="5"/>
  <c r="F31" i="5"/>
  <c r="F21" i="5"/>
  <c r="F60" i="5"/>
  <c r="F29" i="5"/>
  <c r="F77" i="5"/>
  <c r="F34" i="5"/>
  <c r="F58" i="5"/>
  <c r="F25" i="5"/>
  <c r="F81" i="5"/>
  <c r="F55" i="5"/>
  <c r="F15" i="5"/>
  <c r="F36" i="5"/>
  <c r="F76" i="5"/>
  <c r="F37" i="5"/>
  <c r="F10" i="5"/>
  <c r="F38" i="5"/>
  <c r="F66" i="5"/>
  <c r="F33" i="5"/>
  <c r="E7" i="8"/>
  <c r="E15" i="8"/>
  <c r="E23" i="8"/>
  <c r="E31" i="8"/>
  <c r="E39" i="8"/>
  <c r="E47" i="8"/>
  <c r="E55" i="8"/>
  <c r="E63" i="8"/>
  <c r="E71" i="8"/>
  <c r="E79" i="8"/>
  <c r="E6" i="8"/>
  <c r="E22" i="8"/>
  <c r="E38" i="8"/>
  <c r="E54" i="8"/>
  <c r="E70" i="8"/>
  <c r="E4" i="8"/>
  <c r="E20" i="8"/>
  <c r="E36" i="8"/>
  <c r="E52" i="8"/>
  <c r="E68" i="8"/>
  <c r="E3" i="8"/>
  <c r="E13" i="8"/>
  <c r="E25" i="8"/>
  <c r="E35" i="8"/>
  <c r="E45" i="8"/>
  <c r="E57" i="8"/>
  <c r="E67" i="8"/>
  <c r="E77" i="8"/>
  <c r="E10" i="8"/>
  <c r="E30" i="8"/>
  <c r="E50" i="8"/>
  <c r="E74" i="8"/>
  <c r="E12" i="8"/>
  <c r="E32" i="8"/>
  <c r="E56" i="8"/>
  <c r="E76" i="8"/>
  <c r="E5" i="8"/>
  <c r="E17" i="8"/>
  <c r="E27" i="8"/>
  <c r="E37" i="8"/>
  <c r="E49" i="8"/>
  <c r="E59" i="8"/>
  <c r="E69" i="8"/>
  <c r="E81" i="8"/>
  <c r="E14" i="8"/>
  <c r="E34" i="8"/>
  <c r="E58" i="8"/>
  <c r="E78" i="8"/>
  <c r="E16" i="8"/>
  <c r="E40" i="8"/>
  <c r="E60" i="8"/>
  <c r="E80" i="8"/>
  <c r="E21" i="8"/>
  <c r="E43" i="8"/>
  <c r="E65" i="8"/>
  <c r="E2" i="8"/>
  <c r="E46" i="8"/>
  <c r="E8" i="8"/>
  <c r="E48" i="8"/>
  <c r="E9" i="8"/>
  <c r="E29" i="8"/>
  <c r="E51" i="8"/>
  <c r="E73" i="8"/>
  <c r="E18" i="8"/>
  <c r="E62" i="8"/>
  <c r="E24" i="8"/>
  <c r="E64" i="8"/>
  <c r="E11" i="8"/>
  <c r="E33" i="8"/>
  <c r="E53" i="8"/>
  <c r="E75" i="8"/>
  <c r="E26" i="8"/>
  <c r="E66" i="8"/>
  <c r="E28" i="8"/>
  <c r="E72" i="8"/>
  <c r="E19" i="8"/>
  <c r="E41" i="8"/>
  <c r="E61" i="8"/>
  <c r="E83" i="8"/>
  <c r="E42" i="8"/>
  <c r="E82" i="8"/>
  <c r="E44" i="8"/>
  <c r="R84" i="5"/>
  <c r="Q13" i="1"/>
  <c r="C13" i="6"/>
  <c r="E69" i="5"/>
  <c r="E68" i="5"/>
  <c r="E4" i="5"/>
  <c r="E49" i="5"/>
  <c r="E17" i="5"/>
  <c r="E44" i="5"/>
  <c r="E29" i="5"/>
  <c r="E3" i="5"/>
  <c r="E78" i="5"/>
  <c r="E62" i="5"/>
  <c r="E46" i="5"/>
  <c r="E30" i="5"/>
  <c r="E14" i="5"/>
  <c r="E15" i="5"/>
  <c r="E31" i="5"/>
  <c r="E47" i="5"/>
  <c r="E63" i="5"/>
  <c r="E24" i="5"/>
  <c r="E56" i="5"/>
  <c r="E20" i="5"/>
  <c r="E5" i="5"/>
  <c r="E21" i="5"/>
  <c r="E41" i="5"/>
  <c r="E76" i="5"/>
  <c r="E45" i="5"/>
  <c r="E81" i="5"/>
  <c r="E66" i="5"/>
  <c r="E42" i="5"/>
  <c r="E22" i="5"/>
  <c r="E2" i="5"/>
  <c r="E11" i="5"/>
  <c r="E35" i="5"/>
  <c r="E55" i="5"/>
  <c r="E77" i="5"/>
  <c r="E16" i="5"/>
  <c r="E64" i="5"/>
  <c r="E53" i="5"/>
  <c r="E37" i="5"/>
  <c r="E73" i="5"/>
  <c r="E33" i="5"/>
  <c r="E60" i="5"/>
  <c r="E61" i="5"/>
  <c r="E36" i="5"/>
  <c r="E9" i="5"/>
  <c r="E70" i="5"/>
  <c r="E38" i="5"/>
  <c r="E10" i="5"/>
  <c r="E23" i="5"/>
  <c r="E51" i="5"/>
  <c r="E32" i="5"/>
  <c r="E80" i="5"/>
  <c r="E65" i="5"/>
  <c r="E28" i="5"/>
  <c r="E13" i="5"/>
  <c r="E75" i="5"/>
  <c r="E58" i="5"/>
  <c r="E34" i="5"/>
  <c r="E6" i="5"/>
  <c r="E27" i="5"/>
  <c r="E59" i="5"/>
  <c r="E40" i="5"/>
  <c r="E57" i="5"/>
  <c r="E12" i="5"/>
  <c r="E79" i="5"/>
  <c r="E82" i="5"/>
  <c r="E54" i="5"/>
  <c r="E26" i="5"/>
  <c r="E7" i="5"/>
  <c r="E39" i="5"/>
  <c r="E67" i="5"/>
  <c r="E48" i="5"/>
  <c r="E52" i="5"/>
  <c r="E25" i="5"/>
  <c r="E74" i="5"/>
  <c r="E50" i="5"/>
  <c r="E18" i="5"/>
  <c r="E19" i="5"/>
  <c r="E43" i="5"/>
  <c r="E71" i="5"/>
  <c r="E8" i="5"/>
  <c r="E72" i="5"/>
  <c r="I15" i="10"/>
  <c r="D5" i="3"/>
  <c r="D13" i="3"/>
  <c r="D21" i="3"/>
  <c r="D29" i="3"/>
  <c r="D37" i="3"/>
  <c r="D45" i="3"/>
  <c r="D53" i="3"/>
  <c r="D61" i="3"/>
  <c r="D2" i="3"/>
  <c r="D10" i="3"/>
  <c r="D18" i="3"/>
  <c r="D26" i="3"/>
  <c r="D34" i="3"/>
  <c r="D42" i="3"/>
  <c r="D50" i="3"/>
  <c r="D58" i="3"/>
  <c r="D66" i="3"/>
  <c r="D7" i="3"/>
  <c r="D15" i="3"/>
  <c r="D23" i="3"/>
  <c r="D31" i="3"/>
  <c r="D39" i="3"/>
  <c r="D47" i="3"/>
  <c r="D55" i="3"/>
  <c r="D63" i="3"/>
  <c r="D4" i="3"/>
  <c r="D12" i="3"/>
  <c r="D20" i="3"/>
  <c r="D28" i="3"/>
  <c r="D36" i="3"/>
  <c r="D44" i="3"/>
  <c r="D52" i="3"/>
  <c r="D60" i="3"/>
  <c r="D68" i="3"/>
  <c r="D9" i="3"/>
  <c r="D17" i="3"/>
  <c r="D25" i="3"/>
  <c r="D33" i="3"/>
  <c r="D41" i="3"/>
  <c r="D49" i="3"/>
  <c r="D57" i="3"/>
  <c r="D65" i="3"/>
  <c r="D6" i="3"/>
  <c r="D14" i="3"/>
  <c r="D22" i="3"/>
  <c r="D30" i="3"/>
  <c r="D38" i="3"/>
  <c r="D46" i="3"/>
  <c r="D54" i="3"/>
  <c r="D62" i="3"/>
  <c r="D3" i="3"/>
  <c r="D11" i="3"/>
  <c r="D19" i="3"/>
  <c r="D27" i="3"/>
  <c r="D35" i="3"/>
  <c r="D43" i="3"/>
  <c r="D51" i="3"/>
  <c r="D59" i="3"/>
  <c r="D67" i="3"/>
  <c r="D8" i="3"/>
  <c r="D16" i="3"/>
  <c r="D24" i="3"/>
  <c r="D32" i="3"/>
  <c r="D40" i="3"/>
  <c r="D48" i="3"/>
  <c r="D56" i="3"/>
  <c r="D64" i="3"/>
  <c r="G36" i="5"/>
  <c r="G67" i="5"/>
  <c r="G42" i="5"/>
  <c r="G60" i="5"/>
  <c r="G65" i="5"/>
  <c r="G21" i="5"/>
  <c r="G3" i="5"/>
  <c r="G19" i="5"/>
  <c r="G35" i="5"/>
  <c r="G51" i="5"/>
  <c r="G5" i="5"/>
  <c r="G37" i="5"/>
  <c r="G9" i="5"/>
  <c r="G80" i="5"/>
  <c r="G62" i="5"/>
  <c r="G30" i="5"/>
  <c r="G24" i="5"/>
  <c r="G56" i="5"/>
  <c r="G77" i="5"/>
  <c r="G50" i="5"/>
  <c r="G70" i="5"/>
  <c r="G44" i="5"/>
  <c r="G58" i="5"/>
  <c r="G23" i="5"/>
  <c r="G43" i="5"/>
  <c r="G63" i="5"/>
  <c r="G45" i="5"/>
  <c r="G41" i="5"/>
  <c r="G68" i="5"/>
  <c r="G22" i="5"/>
  <c r="G16" i="5"/>
  <c r="G64" i="5"/>
  <c r="G34" i="5"/>
  <c r="G10" i="5"/>
  <c r="G28" i="5"/>
  <c r="G26" i="5"/>
  <c r="G52" i="5"/>
  <c r="G71" i="5"/>
  <c r="G75" i="5"/>
  <c r="G15" i="5"/>
  <c r="G47" i="5"/>
  <c r="G20" i="5"/>
  <c r="G25" i="5"/>
  <c r="G54" i="5"/>
  <c r="G6" i="5"/>
  <c r="G8" i="5"/>
  <c r="G69" i="5"/>
  <c r="G74" i="5"/>
  <c r="G12" i="5"/>
  <c r="G27" i="5"/>
  <c r="G55" i="5"/>
  <c r="G29" i="5"/>
  <c r="G57" i="5"/>
  <c r="G46" i="5"/>
  <c r="G32" i="5"/>
  <c r="G73" i="5"/>
  <c r="G2" i="5"/>
  <c r="G82" i="5"/>
  <c r="G49" i="5"/>
  <c r="G4" i="5"/>
  <c r="G33" i="5"/>
  <c r="G78" i="5"/>
  <c r="G7" i="5"/>
  <c r="G31" i="5"/>
  <c r="G59" i="5"/>
  <c r="G53" i="5"/>
  <c r="G76" i="5"/>
  <c r="G38" i="5"/>
  <c r="G40" i="5"/>
  <c r="G81" i="5"/>
  <c r="G18" i="5"/>
  <c r="G17" i="5"/>
  <c r="G79" i="5"/>
  <c r="G11" i="5"/>
  <c r="G39" i="5"/>
  <c r="G13" i="5"/>
  <c r="G61" i="5"/>
  <c r="G72" i="5"/>
  <c r="G14" i="5"/>
  <c r="G48" i="5"/>
  <c r="G66" i="5"/>
  <c r="G2" i="8"/>
  <c r="G10" i="8"/>
  <c r="G18" i="8"/>
  <c r="G26" i="8"/>
  <c r="G34" i="8"/>
  <c r="G42" i="8"/>
  <c r="G50" i="8"/>
  <c r="G58" i="8"/>
  <c r="G66" i="8"/>
  <c r="G13" i="8"/>
  <c r="G29" i="8"/>
  <c r="G45" i="8"/>
  <c r="G61" i="8"/>
  <c r="G73" i="8"/>
  <c r="G81" i="8"/>
  <c r="G23" i="8"/>
  <c r="G55" i="8"/>
  <c r="G78" i="8"/>
  <c r="G19" i="8"/>
  <c r="G51" i="8"/>
  <c r="G76" i="8"/>
  <c r="G6" i="8"/>
  <c r="G16" i="8"/>
  <c r="G28" i="8"/>
  <c r="G38" i="8"/>
  <c r="G48" i="8"/>
  <c r="G60" i="8"/>
  <c r="G5" i="8"/>
  <c r="G25" i="8"/>
  <c r="G49" i="8"/>
  <c r="G69" i="8"/>
  <c r="G79" i="8"/>
  <c r="G31" i="8"/>
  <c r="G70" i="8"/>
  <c r="G11" i="8"/>
  <c r="G59" i="8"/>
  <c r="G8" i="8"/>
  <c r="G20" i="8"/>
  <c r="G30" i="8"/>
  <c r="G40" i="8"/>
  <c r="G52" i="8"/>
  <c r="G62" i="8"/>
  <c r="G9" i="8"/>
  <c r="G33" i="8"/>
  <c r="G53" i="8"/>
  <c r="G71" i="8"/>
  <c r="G83" i="8"/>
  <c r="G39" i="8"/>
  <c r="G74" i="8"/>
  <c r="G27" i="8"/>
  <c r="G67" i="8"/>
  <c r="G14" i="8"/>
  <c r="G36" i="8"/>
  <c r="G56" i="8"/>
  <c r="G21" i="8"/>
  <c r="G65" i="8"/>
  <c r="G15" i="8"/>
  <c r="G3" i="8"/>
  <c r="G80" i="8"/>
  <c r="G22" i="8"/>
  <c r="G44" i="8"/>
  <c r="G64" i="8"/>
  <c r="G37" i="8"/>
  <c r="G75" i="8"/>
  <c r="G47" i="8"/>
  <c r="G35" i="8"/>
  <c r="G4" i="8"/>
  <c r="G24" i="8"/>
  <c r="G46" i="8"/>
  <c r="G68" i="8"/>
  <c r="G41" i="8"/>
  <c r="G77" i="8"/>
  <c r="G63" i="8"/>
  <c r="G43" i="8"/>
  <c r="G12" i="8"/>
  <c r="G32" i="8"/>
  <c r="G54" i="8"/>
  <c r="G17" i="8"/>
  <c r="G57" i="8"/>
  <c r="G7" i="8"/>
  <c r="G82" i="8"/>
  <c r="G72" i="8"/>
  <c r="C9" i="9"/>
  <c r="J9" i="9" s="1"/>
  <c r="C69" i="9"/>
  <c r="J69" i="9" s="1"/>
  <c r="C53" i="9"/>
  <c r="J53" i="9" s="1"/>
  <c r="C37" i="9"/>
  <c r="J37" i="9" s="1"/>
  <c r="C21" i="9"/>
  <c r="J21" i="9" s="1"/>
  <c r="C81" i="9"/>
  <c r="J81" i="9" s="1"/>
  <c r="C61" i="9"/>
  <c r="J61" i="9" s="1"/>
  <c r="C41" i="9"/>
  <c r="J41" i="9" s="1"/>
  <c r="C13" i="9"/>
  <c r="J13" i="9" s="1"/>
  <c r="C75" i="9"/>
  <c r="J75" i="9" s="1"/>
  <c r="C59" i="9"/>
  <c r="J59" i="9" s="1"/>
  <c r="C43" i="9"/>
  <c r="J43" i="9" s="1"/>
  <c r="C27" i="9"/>
  <c r="J27" i="9" s="1"/>
  <c r="C2" i="9"/>
  <c r="J2" i="9" s="1"/>
  <c r="C10" i="9"/>
  <c r="J10" i="9" s="1"/>
  <c r="C18" i="9"/>
  <c r="J18" i="9" s="1"/>
  <c r="C82" i="9"/>
  <c r="J82" i="9" s="1"/>
  <c r="C74" i="9"/>
  <c r="J74" i="9" s="1"/>
  <c r="C66" i="9"/>
  <c r="J66" i="9" s="1"/>
  <c r="C58" i="9"/>
  <c r="J58" i="9" s="1"/>
  <c r="C50" i="9"/>
  <c r="J50" i="9" s="1"/>
  <c r="C42" i="9"/>
  <c r="J42" i="9" s="1"/>
  <c r="C34" i="9"/>
  <c r="J34" i="9" s="1"/>
  <c r="C26" i="9"/>
  <c r="J26" i="9" s="1"/>
  <c r="C15" i="9"/>
  <c r="J15" i="9" s="1"/>
  <c r="C77" i="9"/>
  <c r="J77" i="9" s="1"/>
  <c r="C49" i="9"/>
  <c r="J49" i="9" s="1"/>
  <c r="C25" i="9"/>
  <c r="J25" i="9" s="1"/>
  <c r="C79" i="9"/>
  <c r="J79" i="9" s="1"/>
  <c r="C55" i="9"/>
  <c r="J55" i="9" s="1"/>
  <c r="C35" i="9"/>
  <c r="J35" i="9" s="1"/>
  <c r="C8" i="9"/>
  <c r="J8" i="9" s="1"/>
  <c r="C20" i="9"/>
  <c r="J20" i="9" s="1"/>
  <c r="C76" i="9"/>
  <c r="J76" i="9" s="1"/>
  <c r="C64" i="9"/>
  <c r="J64" i="9" s="1"/>
  <c r="C54" i="9"/>
  <c r="J54" i="9" s="1"/>
  <c r="C44" i="9"/>
  <c r="J44" i="9" s="1"/>
  <c r="C32" i="9"/>
  <c r="J32" i="9" s="1"/>
  <c r="C22" i="9"/>
  <c r="J22" i="9" s="1"/>
  <c r="C3" i="9"/>
  <c r="J3" i="9" s="1"/>
  <c r="C73" i="9"/>
  <c r="J73" i="9" s="1"/>
  <c r="C45" i="9"/>
  <c r="J45" i="9" s="1"/>
  <c r="C5" i="9"/>
  <c r="J5" i="9" s="1"/>
  <c r="C71" i="9"/>
  <c r="J71" i="9" s="1"/>
  <c r="C51" i="9"/>
  <c r="J51" i="9" s="1"/>
  <c r="C31" i="9"/>
  <c r="J31" i="9" s="1"/>
  <c r="C12" i="9"/>
  <c r="J12" i="9" s="1"/>
  <c r="C72" i="9"/>
  <c r="J72" i="9" s="1"/>
  <c r="C62" i="9"/>
  <c r="J62" i="9" s="1"/>
  <c r="C52" i="9"/>
  <c r="J52" i="9" s="1"/>
  <c r="C40" i="9"/>
  <c r="J40" i="9" s="1"/>
  <c r="C30" i="9"/>
  <c r="J30" i="9" s="1"/>
  <c r="C19" i="9"/>
  <c r="J19" i="9" s="1"/>
  <c r="C65" i="9"/>
  <c r="J65" i="9" s="1"/>
  <c r="C33" i="9"/>
  <c r="J33" i="9" s="1"/>
  <c r="C67" i="9"/>
  <c r="J67" i="9" s="1"/>
  <c r="C47" i="9"/>
  <c r="J47" i="9" s="1"/>
  <c r="C23" i="9"/>
  <c r="J23" i="9" s="1"/>
  <c r="C4" i="9"/>
  <c r="J4" i="9" s="1"/>
  <c r="C14" i="9"/>
  <c r="J14" i="9" s="1"/>
  <c r="C80" i="9"/>
  <c r="J80" i="9" s="1"/>
  <c r="C70" i="9"/>
  <c r="J70" i="9" s="1"/>
  <c r="C60" i="9"/>
  <c r="J60" i="9" s="1"/>
  <c r="C48" i="9"/>
  <c r="J48" i="9" s="1"/>
  <c r="C38" i="9"/>
  <c r="J38" i="9" s="1"/>
  <c r="C28" i="9"/>
  <c r="J28" i="9" s="1"/>
  <c r="C11" i="9"/>
  <c r="J11" i="9" s="1"/>
  <c r="C57" i="9"/>
  <c r="J57" i="9" s="1"/>
  <c r="C29" i="9"/>
  <c r="J29" i="9" s="1"/>
  <c r="C63" i="9"/>
  <c r="J63" i="9" s="1"/>
  <c r="C39" i="9"/>
  <c r="J39" i="9" s="1"/>
  <c r="C17" i="9"/>
  <c r="J17" i="9" s="1"/>
  <c r="C6" i="9"/>
  <c r="J6" i="9" s="1"/>
  <c r="C16" i="9"/>
  <c r="J16" i="9" s="1"/>
  <c r="C78" i="9"/>
  <c r="J78" i="9" s="1"/>
  <c r="C68" i="9"/>
  <c r="J68" i="9" s="1"/>
  <c r="C56" i="9"/>
  <c r="J56" i="9" s="1"/>
  <c r="C46" i="9"/>
  <c r="J46" i="9" s="1"/>
  <c r="C36" i="9"/>
  <c r="J36" i="9" s="1"/>
  <c r="C24" i="9"/>
  <c r="J24" i="9" s="1"/>
  <c r="C7" i="9"/>
  <c r="J7" i="9" s="1"/>
  <c r="J84" i="9"/>
  <c r="X17" i="1"/>
  <c r="I3" i="1"/>
  <c r="I5" i="1"/>
  <c r="I2" i="1"/>
  <c r="I4" i="1"/>
  <c r="I6" i="1"/>
  <c r="P13" i="1"/>
  <c r="T17" i="1"/>
  <c r="Y17" i="1" s="1"/>
  <c r="O13" i="1"/>
  <c r="R17" i="1"/>
  <c r="N17" i="1"/>
  <c r="P8" i="1"/>
  <c r="O8" i="1"/>
  <c r="R2" i="1" l="1"/>
  <c r="C2" i="10" s="1"/>
  <c r="D24" i="1"/>
  <c r="K23" i="1" s="1"/>
  <c r="I12" i="8"/>
  <c r="I56" i="8"/>
  <c r="R58" i="5"/>
  <c r="R18" i="5"/>
  <c r="R72" i="5"/>
  <c r="R64" i="3"/>
  <c r="R80" i="5"/>
  <c r="R39" i="5"/>
  <c r="R22" i="5"/>
  <c r="R75" i="5"/>
  <c r="R11" i="5"/>
  <c r="R7" i="5"/>
  <c r="I3" i="8"/>
  <c r="I70" i="8"/>
  <c r="I61" i="8"/>
  <c r="I71" i="8"/>
  <c r="R20" i="5"/>
  <c r="R24" i="3"/>
  <c r="I49" i="8"/>
  <c r="I44" i="8"/>
  <c r="P17" i="1"/>
  <c r="C17" i="6"/>
  <c r="D2" i="6"/>
  <c r="J2" i="6" s="1"/>
  <c r="C70" i="2" s="1"/>
  <c r="E2" i="10"/>
  <c r="D2" i="10"/>
  <c r="R15" i="5"/>
  <c r="R32" i="5"/>
  <c r="R35" i="5"/>
  <c r="R21" i="5"/>
  <c r="R13" i="5"/>
  <c r="R12" i="5"/>
  <c r="R47" i="5"/>
  <c r="R6" i="5"/>
  <c r="R62" i="5"/>
  <c r="R67" i="5"/>
  <c r="R52" i="5"/>
  <c r="R2" i="5"/>
  <c r="R68" i="5"/>
  <c r="R49" i="3"/>
  <c r="R17" i="3"/>
  <c r="R52" i="3"/>
  <c r="R20" i="3"/>
  <c r="R55" i="3"/>
  <c r="R23" i="3"/>
  <c r="R58" i="3"/>
  <c r="R26" i="3"/>
  <c r="R61" i="3"/>
  <c r="R29" i="3"/>
  <c r="R32" i="3"/>
  <c r="R43" i="3"/>
  <c r="R11" i="3"/>
  <c r="R46" i="3"/>
  <c r="R14" i="3"/>
  <c r="I45" i="8"/>
  <c r="I42" i="8"/>
  <c r="I75" i="8"/>
  <c r="I33" i="8"/>
  <c r="I28" i="8"/>
  <c r="I19" i="8"/>
  <c r="I58" i="8"/>
  <c r="I14" i="8"/>
  <c r="I59" i="8"/>
  <c r="I17" i="8"/>
  <c r="I54" i="8"/>
  <c r="I39" i="8"/>
  <c r="I7" i="8"/>
  <c r="I24" i="8"/>
  <c r="E5" i="10"/>
  <c r="F92" i="4" s="1"/>
  <c r="D5" i="10"/>
  <c r="D5" i="6"/>
  <c r="J5" i="6" s="1"/>
  <c r="F70" i="2" s="1"/>
  <c r="R48" i="5"/>
  <c r="R33" i="5"/>
  <c r="R50" i="5"/>
  <c r="R14" i="5"/>
  <c r="R63" i="5"/>
  <c r="R28" i="5"/>
  <c r="R27" i="5"/>
  <c r="R10" i="5"/>
  <c r="R4" i="5"/>
  <c r="R57" i="5"/>
  <c r="R5" i="5"/>
  <c r="R24" i="5"/>
  <c r="R66" i="5"/>
  <c r="R69" i="5"/>
  <c r="R9" i="5"/>
  <c r="R54" i="5"/>
  <c r="R59" i="5"/>
  <c r="R23" i="5"/>
  <c r="R45" i="5"/>
  <c r="R8" i="5"/>
  <c r="R41" i="3"/>
  <c r="R9" i="3"/>
  <c r="R44" i="3"/>
  <c r="R12" i="3"/>
  <c r="R47" i="3"/>
  <c r="R15" i="3"/>
  <c r="R50" i="3"/>
  <c r="R18" i="3"/>
  <c r="R53" i="3"/>
  <c r="R21" i="3"/>
  <c r="R56" i="3"/>
  <c r="R67" i="3"/>
  <c r="R35" i="3"/>
  <c r="R3" i="3"/>
  <c r="R38" i="3"/>
  <c r="R6" i="3"/>
  <c r="I77" i="8"/>
  <c r="I35" i="8"/>
  <c r="I74" i="8"/>
  <c r="I30" i="8"/>
  <c r="I65" i="8"/>
  <c r="I21" i="8"/>
  <c r="I60" i="8"/>
  <c r="I18" i="8"/>
  <c r="I51" i="8"/>
  <c r="I9" i="8"/>
  <c r="I46" i="8"/>
  <c r="I4" i="8"/>
  <c r="I5" i="8"/>
  <c r="I2" i="8"/>
  <c r="I63" i="8"/>
  <c r="I31" i="8"/>
  <c r="I80" i="8"/>
  <c r="I48" i="8"/>
  <c r="I16" i="8"/>
  <c r="D6" i="6"/>
  <c r="J6" i="6" s="1"/>
  <c r="G70" i="2" s="1"/>
  <c r="E6" i="10"/>
  <c r="G92" i="4" s="1"/>
  <c r="D6" i="10"/>
  <c r="D3" i="10"/>
  <c r="D3" i="6"/>
  <c r="J3" i="6" s="1"/>
  <c r="D70" i="2" s="1"/>
  <c r="E3" i="10"/>
  <c r="D92" i="4" s="1"/>
  <c r="R41" i="5"/>
  <c r="R44" i="5"/>
  <c r="R55" i="5"/>
  <c r="R42" i="5"/>
  <c r="R3" i="5"/>
  <c r="R73" i="5"/>
  <c r="R51" i="5"/>
  <c r="R40" i="5"/>
  <c r="R38" i="5"/>
  <c r="R81" i="5"/>
  <c r="R43" i="5"/>
  <c r="R78" i="5"/>
  <c r="R25" i="5"/>
  <c r="R64" i="5"/>
  <c r="R61" i="5"/>
  <c r="R82" i="5"/>
  <c r="R46" i="5"/>
  <c r="R19" i="5"/>
  <c r="R71" i="5"/>
  <c r="R65" i="3"/>
  <c r="R33" i="3"/>
  <c r="R68" i="3"/>
  <c r="R36" i="3"/>
  <c r="R4" i="3"/>
  <c r="R39" i="3"/>
  <c r="R7" i="3"/>
  <c r="R42" i="3"/>
  <c r="R10" i="3"/>
  <c r="R45" i="3"/>
  <c r="R13" i="3"/>
  <c r="R48" i="3"/>
  <c r="R16" i="3"/>
  <c r="R59" i="3"/>
  <c r="R27" i="3"/>
  <c r="R62" i="3"/>
  <c r="R30" i="3"/>
  <c r="J92" i="9"/>
  <c r="J91" i="9"/>
  <c r="J90" i="9"/>
  <c r="I67" i="8"/>
  <c r="I25" i="8"/>
  <c r="I62" i="8"/>
  <c r="I20" i="8"/>
  <c r="I53" i="8"/>
  <c r="I11" i="8"/>
  <c r="I50" i="8"/>
  <c r="I6" i="8"/>
  <c r="I41" i="8"/>
  <c r="I78" i="8"/>
  <c r="I36" i="8"/>
  <c r="I83" i="8"/>
  <c r="I37" i="8"/>
  <c r="I76" i="8"/>
  <c r="I34" i="8"/>
  <c r="I81" i="8"/>
  <c r="I55" i="8"/>
  <c r="I23" i="8"/>
  <c r="I72" i="8"/>
  <c r="I40" i="8"/>
  <c r="I8" i="8"/>
  <c r="E4" i="10"/>
  <c r="E92" i="4" s="1"/>
  <c r="D4" i="10"/>
  <c r="D4" i="6"/>
  <c r="J4" i="6" s="1"/>
  <c r="E70" i="2" s="1"/>
  <c r="R30" i="5"/>
  <c r="R31" i="5"/>
  <c r="R56" i="5"/>
  <c r="R49" i="5"/>
  <c r="R17" i="5"/>
  <c r="R26" i="5"/>
  <c r="R53" i="5"/>
  <c r="R37" i="5"/>
  <c r="R36" i="5"/>
  <c r="R16" i="5"/>
  <c r="R76" i="5"/>
  <c r="R65" i="5"/>
  <c r="R29" i="5"/>
  <c r="R70" i="5"/>
  <c r="R77" i="5"/>
  <c r="R60" i="5"/>
  <c r="R74" i="5"/>
  <c r="R34" i="5"/>
  <c r="R79" i="5"/>
  <c r="R57" i="3"/>
  <c r="R25" i="3"/>
  <c r="R60" i="3"/>
  <c r="R28" i="3"/>
  <c r="R63" i="3"/>
  <c r="R31" i="3"/>
  <c r="R66" i="3"/>
  <c r="R34" i="3"/>
  <c r="R2" i="3"/>
  <c r="R37" i="3"/>
  <c r="R5" i="3"/>
  <c r="R40" i="3"/>
  <c r="R8" i="3"/>
  <c r="R51" i="3"/>
  <c r="R19" i="3"/>
  <c r="R54" i="3"/>
  <c r="R22" i="3"/>
  <c r="I57" i="8"/>
  <c r="I13" i="8"/>
  <c r="I52" i="8"/>
  <c r="I10" i="8"/>
  <c r="I43" i="8"/>
  <c r="I82" i="8"/>
  <c r="I38" i="8"/>
  <c r="I73" i="8"/>
  <c r="I29" i="8"/>
  <c r="I68" i="8"/>
  <c r="I26" i="8"/>
  <c r="I69" i="8"/>
  <c r="I27" i="8"/>
  <c r="I66" i="8"/>
  <c r="I22" i="8"/>
  <c r="I79" i="8"/>
  <c r="I47" i="8"/>
  <c r="I15" i="8"/>
  <c r="I64" i="8"/>
  <c r="I32" i="8"/>
  <c r="X6" i="1"/>
  <c r="T6" i="1"/>
  <c r="R6" i="1"/>
  <c r="C6" i="10" s="1"/>
  <c r="N6" i="1"/>
  <c r="C6" i="6" s="1"/>
  <c r="X2" i="1"/>
  <c r="T2" i="1"/>
  <c r="T3" i="1"/>
  <c r="X3" i="1"/>
  <c r="R3" i="1"/>
  <c r="C3" i="10" s="1"/>
  <c r="N3" i="1"/>
  <c r="C3" i="6" s="1"/>
  <c r="N2" i="1"/>
  <c r="X4" i="1"/>
  <c r="T4" i="1"/>
  <c r="R4" i="1"/>
  <c r="C4" i="10" s="1"/>
  <c r="N4" i="1"/>
  <c r="C4" i="6" s="1"/>
  <c r="T5" i="1"/>
  <c r="X5" i="1"/>
  <c r="R5" i="1"/>
  <c r="C5" i="10" s="1"/>
  <c r="N5" i="1"/>
  <c r="C5" i="6" s="1"/>
  <c r="Q17" i="1"/>
  <c r="O17" i="1"/>
  <c r="K24" i="1" l="1"/>
  <c r="J24" i="1"/>
  <c r="Y4" i="1"/>
  <c r="C15" i="10"/>
  <c r="D6" i="4"/>
  <c r="D22" i="4"/>
  <c r="D38" i="4"/>
  <c r="D54" i="4"/>
  <c r="D70" i="4"/>
  <c r="D86" i="4"/>
  <c r="D11" i="4"/>
  <c r="D27" i="4"/>
  <c r="D43" i="4"/>
  <c r="D59" i="4"/>
  <c r="D75" i="4"/>
  <c r="D12" i="4"/>
  <c r="D4" i="4"/>
  <c r="D37" i="4"/>
  <c r="D69" i="4"/>
  <c r="D16" i="4"/>
  <c r="D48" i="4"/>
  <c r="D80" i="4"/>
  <c r="D25" i="4"/>
  <c r="D57" i="4"/>
  <c r="D89" i="4"/>
  <c r="D44" i="4"/>
  <c r="D10" i="4"/>
  <c r="D26" i="4"/>
  <c r="D42" i="4"/>
  <c r="D58" i="4"/>
  <c r="D74" i="4"/>
  <c r="D90" i="4"/>
  <c r="D15" i="4"/>
  <c r="D31" i="4"/>
  <c r="D47" i="4"/>
  <c r="D63" i="4"/>
  <c r="D79" i="4"/>
  <c r="D36" i="4"/>
  <c r="D13" i="4"/>
  <c r="D45" i="4"/>
  <c r="D77" i="4"/>
  <c r="D24" i="4"/>
  <c r="D56" i="4"/>
  <c r="D88" i="4"/>
  <c r="D33" i="4"/>
  <c r="D65" i="4"/>
  <c r="D3" i="4"/>
  <c r="D60" i="4"/>
  <c r="D14" i="4"/>
  <c r="D30" i="4"/>
  <c r="D46" i="4"/>
  <c r="D62" i="4"/>
  <c r="D78" i="4"/>
  <c r="D2" i="4"/>
  <c r="D19" i="4"/>
  <c r="D35" i="4"/>
  <c r="D51" i="4"/>
  <c r="D67" i="4"/>
  <c r="D83" i="4"/>
  <c r="D52" i="4"/>
  <c r="D21" i="4"/>
  <c r="D53" i="4"/>
  <c r="D85" i="4"/>
  <c r="D32" i="4"/>
  <c r="D64" i="4"/>
  <c r="D9" i="4"/>
  <c r="D41" i="4"/>
  <c r="D73" i="4"/>
  <c r="D20" i="4"/>
  <c r="D68" i="4"/>
  <c r="D5" i="4"/>
  <c r="D18" i="4"/>
  <c r="D34" i="4"/>
  <c r="D50" i="4"/>
  <c r="D66" i="4"/>
  <c r="D82" i="4"/>
  <c r="D7" i="4"/>
  <c r="D23" i="4"/>
  <c r="D39" i="4"/>
  <c r="D55" i="4"/>
  <c r="D71" i="4"/>
  <c r="D87" i="4"/>
  <c r="D76" i="4"/>
  <c r="D29" i="4"/>
  <c r="D61" i="4"/>
  <c r="D8" i="4"/>
  <c r="D40" i="4"/>
  <c r="D72" i="4"/>
  <c r="D17" i="4"/>
  <c r="D49" i="4"/>
  <c r="D81" i="4"/>
  <c r="D28" i="4"/>
  <c r="D84" i="4"/>
  <c r="G8" i="4"/>
  <c r="G24" i="4"/>
  <c r="G40" i="4"/>
  <c r="G56" i="4"/>
  <c r="G72" i="4"/>
  <c r="G88" i="4"/>
  <c r="G22" i="4"/>
  <c r="G43" i="4"/>
  <c r="G65" i="4"/>
  <c r="G86" i="4"/>
  <c r="G35" i="4"/>
  <c r="G78" i="4"/>
  <c r="G13" i="4"/>
  <c r="G34" i="4"/>
  <c r="G55" i="4"/>
  <c r="G77" i="4"/>
  <c r="G19" i="4"/>
  <c r="G62" i="4"/>
  <c r="G26" i="4"/>
  <c r="G10" i="4"/>
  <c r="G15" i="4"/>
  <c r="G21" i="4"/>
  <c r="G12" i="4"/>
  <c r="G28" i="4"/>
  <c r="G44" i="4"/>
  <c r="G60" i="4"/>
  <c r="G76" i="4"/>
  <c r="G6" i="4"/>
  <c r="G27" i="4"/>
  <c r="G49" i="4"/>
  <c r="G70" i="4"/>
  <c r="G3" i="4"/>
  <c r="G46" i="4"/>
  <c r="G89" i="4"/>
  <c r="G18" i="4"/>
  <c r="G39" i="4"/>
  <c r="G61" i="4"/>
  <c r="G82" i="4"/>
  <c r="G30" i="4"/>
  <c r="G73" i="4"/>
  <c r="G47" i="4"/>
  <c r="G31" i="4"/>
  <c r="G37" i="4"/>
  <c r="G42" i="4"/>
  <c r="G16" i="4"/>
  <c r="G32" i="4"/>
  <c r="G48" i="4"/>
  <c r="G64" i="4"/>
  <c r="G80" i="4"/>
  <c r="G11" i="4"/>
  <c r="G33" i="4"/>
  <c r="G54" i="4"/>
  <c r="G75" i="4"/>
  <c r="G14" i="4"/>
  <c r="G57" i="4"/>
  <c r="G2" i="4"/>
  <c r="G23" i="4"/>
  <c r="G45" i="4"/>
  <c r="G66" i="4"/>
  <c r="G87" i="4"/>
  <c r="G41" i="4"/>
  <c r="G83" i="4"/>
  <c r="G69" i="4"/>
  <c r="G53" i="4"/>
  <c r="G58" i="4"/>
  <c r="G63" i="4"/>
  <c r="G4" i="4"/>
  <c r="G20" i="4"/>
  <c r="G36" i="4"/>
  <c r="G52" i="4"/>
  <c r="G68" i="4"/>
  <c r="G84" i="4"/>
  <c r="G17" i="4"/>
  <c r="G38" i="4"/>
  <c r="G59" i="4"/>
  <c r="G81" i="4"/>
  <c r="G25" i="4"/>
  <c r="G67" i="4"/>
  <c r="G7" i="4"/>
  <c r="G29" i="4"/>
  <c r="G50" i="4"/>
  <c r="G71" i="4"/>
  <c r="G9" i="4"/>
  <c r="G51" i="4"/>
  <c r="G5" i="4"/>
  <c r="G90" i="4"/>
  <c r="G74" i="4"/>
  <c r="G79" i="4"/>
  <c r="G85" i="4"/>
  <c r="P70" i="2"/>
  <c r="C9" i="2"/>
  <c r="C17" i="2"/>
  <c r="C25" i="2"/>
  <c r="C33" i="2"/>
  <c r="C41" i="2"/>
  <c r="C49" i="2"/>
  <c r="C57" i="2"/>
  <c r="C65" i="2"/>
  <c r="C14" i="2"/>
  <c r="C30" i="2"/>
  <c r="C46" i="2"/>
  <c r="C62" i="2"/>
  <c r="C8" i="2"/>
  <c r="C24" i="2"/>
  <c r="C40" i="2"/>
  <c r="C56" i="2"/>
  <c r="C3" i="2"/>
  <c r="C11" i="2"/>
  <c r="C19" i="2"/>
  <c r="C27" i="2"/>
  <c r="C35" i="2"/>
  <c r="C43" i="2"/>
  <c r="C51" i="2"/>
  <c r="C59" i="2"/>
  <c r="C2" i="2"/>
  <c r="C18" i="2"/>
  <c r="C34" i="2"/>
  <c r="C50" i="2"/>
  <c r="C66" i="2"/>
  <c r="C12" i="2"/>
  <c r="C28" i="2"/>
  <c r="C44" i="2"/>
  <c r="C60" i="2"/>
  <c r="C5" i="2"/>
  <c r="C13" i="2"/>
  <c r="C21" i="2"/>
  <c r="C29" i="2"/>
  <c r="C37" i="2"/>
  <c r="C45" i="2"/>
  <c r="C53" i="2"/>
  <c r="C61" i="2"/>
  <c r="C6" i="2"/>
  <c r="C22" i="2"/>
  <c r="C38" i="2"/>
  <c r="C54" i="2"/>
  <c r="C68" i="2"/>
  <c r="C16" i="2"/>
  <c r="C32" i="2"/>
  <c r="C48" i="2"/>
  <c r="C64" i="2"/>
  <c r="C7" i="2"/>
  <c r="C15" i="2"/>
  <c r="C23" i="2"/>
  <c r="C31" i="2"/>
  <c r="C39" i="2"/>
  <c r="C47" i="2"/>
  <c r="C55" i="2"/>
  <c r="C63" i="2"/>
  <c r="C10" i="2"/>
  <c r="C26" i="2"/>
  <c r="C42" i="2"/>
  <c r="C58" i="2"/>
  <c r="C4" i="2"/>
  <c r="C20" i="2"/>
  <c r="C36" i="2"/>
  <c r="C52" i="2"/>
  <c r="C67" i="2"/>
  <c r="Y5" i="1"/>
  <c r="E5" i="2"/>
  <c r="E13" i="2"/>
  <c r="E21" i="2"/>
  <c r="E29" i="2"/>
  <c r="E37" i="2"/>
  <c r="E45" i="2"/>
  <c r="E53" i="2"/>
  <c r="E61" i="2"/>
  <c r="E54" i="2"/>
  <c r="E38" i="2"/>
  <c r="E22" i="2"/>
  <c r="E6" i="2"/>
  <c r="E56" i="2"/>
  <c r="E40" i="2"/>
  <c r="E24" i="2"/>
  <c r="E8" i="2"/>
  <c r="E7" i="2"/>
  <c r="E15" i="2"/>
  <c r="E23" i="2"/>
  <c r="E31" i="2"/>
  <c r="E39" i="2"/>
  <c r="E47" i="2"/>
  <c r="E55" i="2"/>
  <c r="E63" i="2"/>
  <c r="E66" i="2"/>
  <c r="E50" i="2"/>
  <c r="E34" i="2"/>
  <c r="E18" i="2"/>
  <c r="E2" i="2"/>
  <c r="E68" i="2"/>
  <c r="E52" i="2"/>
  <c r="E36" i="2"/>
  <c r="E20" i="2"/>
  <c r="E4" i="2"/>
  <c r="E9" i="2"/>
  <c r="E17" i="2"/>
  <c r="E25" i="2"/>
  <c r="E33" i="2"/>
  <c r="E41" i="2"/>
  <c r="E49" i="2"/>
  <c r="E57" i="2"/>
  <c r="E65" i="2"/>
  <c r="E62" i="2"/>
  <c r="E46" i="2"/>
  <c r="E30" i="2"/>
  <c r="E14" i="2"/>
  <c r="E64" i="2"/>
  <c r="E48" i="2"/>
  <c r="E32" i="2"/>
  <c r="E16" i="2"/>
  <c r="E3" i="2"/>
  <c r="E11" i="2"/>
  <c r="E19" i="2"/>
  <c r="E27" i="2"/>
  <c r="E35" i="2"/>
  <c r="E43" i="2"/>
  <c r="E51" i="2"/>
  <c r="E59" i="2"/>
  <c r="E67" i="2"/>
  <c r="E58" i="2"/>
  <c r="E42" i="2"/>
  <c r="E26" i="2"/>
  <c r="E10" i="2"/>
  <c r="E60" i="2"/>
  <c r="E44" i="2"/>
  <c r="E28" i="2"/>
  <c r="E12" i="2"/>
  <c r="D6" i="2"/>
  <c r="D14" i="2"/>
  <c r="D22" i="2"/>
  <c r="D30" i="2"/>
  <c r="D38" i="2"/>
  <c r="D46" i="2"/>
  <c r="D54" i="2"/>
  <c r="D62" i="2"/>
  <c r="D5" i="2"/>
  <c r="D21" i="2"/>
  <c r="D37" i="2"/>
  <c r="D53" i="2"/>
  <c r="D3" i="2"/>
  <c r="D19" i="2"/>
  <c r="D35" i="2"/>
  <c r="D51" i="2"/>
  <c r="D67" i="2"/>
  <c r="D8" i="2"/>
  <c r="D16" i="2"/>
  <c r="D24" i="2"/>
  <c r="D32" i="2"/>
  <c r="D40" i="2"/>
  <c r="D48" i="2"/>
  <c r="D56" i="2"/>
  <c r="D64" i="2"/>
  <c r="D9" i="2"/>
  <c r="D25" i="2"/>
  <c r="D41" i="2"/>
  <c r="D57" i="2"/>
  <c r="D7" i="2"/>
  <c r="D23" i="2"/>
  <c r="D39" i="2"/>
  <c r="D55" i="2"/>
  <c r="D2" i="2"/>
  <c r="D10" i="2"/>
  <c r="D18" i="2"/>
  <c r="D26" i="2"/>
  <c r="D34" i="2"/>
  <c r="D42" i="2"/>
  <c r="D50" i="2"/>
  <c r="D58" i="2"/>
  <c r="D66" i="2"/>
  <c r="D13" i="2"/>
  <c r="D29" i="2"/>
  <c r="D45" i="2"/>
  <c r="D61" i="2"/>
  <c r="D11" i="2"/>
  <c r="D27" i="2"/>
  <c r="D43" i="2"/>
  <c r="D59" i="2"/>
  <c r="D4" i="2"/>
  <c r="D12" i="2"/>
  <c r="D20" i="2"/>
  <c r="D28" i="2"/>
  <c r="D36" i="2"/>
  <c r="D44" i="2"/>
  <c r="D52" i="2"/>
  <c r="D60" i="2"/>
  <c r="D68" i="2"/>
  <c r="D17" i="2"/>
  <c r="D33" i="2"/>
  <c r="D49" i="2"/>
  <c r="D65" i="2"/>
  <c r="D15" i="2"/>
  <c r="D31" i="2"/>
  <c r="D47" i="2"/>
  <c r="D63" i="2"/>
  <c r="G5" i="2"/>
  <c r="G13" i="2"/>
  <c r="G21" i="2"/>
  <c r="G29" i="2"/>
  <c r="G37" i="2"/>
  <c r="G45" i="2"/>
  <c r="G53" i="2"/>
  <c r="G61" i="2"/>
  <c r="G2" i="2"/>
  <c r="G18" i="2"/>
  <c r="G34" i="2"/>
  <c r="G50" i="2"/>
  <c r="G66" i="2"/>
  <c r="G16" i="2"/>
  <c r="G32" i="2"/>
  <c r="G48" i="2"/>
  <c r="G64" i="2"/>
  <c r="G7" i="2"/>
  <c r="G15" i="2"/>
  <c r="G23" i="2"/>
  <c r="G31" i="2"/>
  <c r="G39" i="2"/>
  <c r="G47" i="2"/>
  <c r="G55" i="2"/>
  <c r="G63" i="2"/>
  <c r="G6" i="2"/>
  <c r="G22" i="2"/>
  <c r="G38" i="2"/>
  <c r="G54" i="2"/>
  <c r="G4" i="2"/>
  <c r="G20" i="2"/>
  <c r="G36" i="2"/>
  <c r="G52" i="2"/>
  <c r="G68" i="2"/>
  <c r="G9" i="2"/>
  <c r="G17" i="2"/>
  <c r="G25" i="2"/>
  <c r="G33" i="2"/>
  <c r="G41" i="2"/>
  <c r="G49" i="2"/>
  <c r="G57" i="2"/>
  <c r="G65" i="2"/>
  <c r="G10" i="2"/>
  <c r="G26" i="2"/>
  <c r="G42" i="2"/>
  <c r="G58" i="2"/>
  <c r="G8" i="2"/>
  <c r="G24" i="2"/>
  <c r="G40" i="2"/>
  <c r="G56" i="2"/>
  <c r="G3" i="2"/>
  <c r="G11" i="2"/>
  <c r="G19" i="2"/>
  <c r="G27" i="2"/>
  <c r="G35" i="2"/>
  <c r="G43" i="2"/>
  <c r="G51" i="2"/>
  <c r="G59" i="2"/>
  <c r="G67" i="2"/>
  <c r="G14" i="2"/>
  <c r="G30" i="2"/>
  <c r="G46" i="2"/>
  <c r="G62" i="2"/>
  <c r="G12" i="2"/>
  <c r="G28" i="2"/>
  <c r="G44" i="2"/>
  <c r="G60" i="2"/>
  <c r="F2" i="2"/>
  <c r="F10" i="2"/>
  <c r="F18" i="2"/>
  <c r="F26" i="2"/>
  <c r="F34" i="2"/>
  <c r="F42" i="2"/>
  <c r="F50" i="2"/>
  <c r="F58" i="2"/>
  <c r="F66" i="2"/>
  <c r="F11" i="2"/>
  <c r="F27" i="2"/>
  <c r="F43" i="2"/>
  <c r="F59" i="2"/>
  <c r="F9" i="2"/>
  <c r="F25" i="2"/>
  <c r="F41" i="2"/>
  <c r="F57" i="2"/>
  <c r="F4" i="2"/>
  <c r="F12" i="2"/>
  <c r="F20" i="2"/>
  <c r="F28" i="2"/>
  <c r="F36" i="2"/>
  <c r="F44" i="2"/>
  <c r="F52" i="2"/>
  <c r="F60" i="2"/>
  <c r="F68" i="2"/>
  <c r="F15" i="2"/>
  <c r="F31" i="2"/>
  <c r="F47" i="2"/>
  <c r="F63" i="2"/>
  <c r="F13" i="2"/>
  <c r="F29" i="2"/>
  <c r="F45" i="2"/>
  <c r="F61" i="2"/>
  <c r="F6" i="2"/>
  <c r="F14" i="2"/>
  <c r="F22" i="2"/>
  <c r="F30" i="2"/>
  <c r="F38" i="2"/>
  <c r="F46" i="2"/>
  <c r="F54" i="2"/>
  <c r="F62" i="2"/>
  <c r="F3" i="2"/>
  <c r="F19" i="2"/>
  <c r="F35" i="2"/>
  <c r="F51" i="2"/>
  <c r="F67" i="2"/>
  <c r="F17" i="2"/>
  <c r="F33" i="2"/>
  <c r="F49" i="2"/>
  <c r="F65" i="2"/>
  <c r="F8" i="2"/>
  <c r="F16" i="2"/>
  <c r="F24" i="2"/>
  <c r="F32" i="2"/>
  <c r="F40" i="2"/>
  <c r="F48" i="2"/>
  <c r="F56" i="2"/>
  <c r="F64" i="2"/>
  <c r="F7" i="2"/>
  <c r="F23" i="2"/>
  <c r="F39" i="2"/>
  <c r="F55" i="2"/>
  <c r="F5" i="2"/>
  <c r="F21" i="2"/>
  <c r="F37" i="2"/>
  <c r="F53" i="2"/>
  <c r="Y3" i="1"/>
  <c r="E99" i="4"/>
  <c r="F4" i="10"/>
  <c r="D99" i="4"/>
  <c r="F3" i="10"/>
  <c r="F99" i="4"/>
  <c r="F5" i="10"/>
  <c r="F2" i="10"/>
  <c r="D15" i="10"/>
  <c r="C99" i="4"/>
  <c r="Y2" i="1"/>
  <c r="Y6" i="1"/>
  <c r="E2" i="4"/>
  <c r="E18" i="4"/>
  <c r="E34" i="4"/>
  <c r="E50" i="4"/>
  <c r="E66" i="4"/>
  <c r="E82" i="4"/>
  <c r="E9" i="4"/>
  <c r="E31" i="4"/>
  <c r="E52" i="4"/>
  <c r="E73" i="4"/>
  <c r="E5" i="4"/>
  <c r="E27" i="4"/>
  <c r="E48" i="4"/>
  <c r="E69" i="4"/>
  <c r="E7" i="4"/>
  <c r="E19" i="4"/>
  <c r="E61" i="4"/>
  <c r="E23" i="4"/>
  <c r="E65" i="4"/>
  <c r="E13" i="4"/>
  <c r="E56" i="4"/>
  <c r="E17" i="4"/>
  <c r="E81" i="4"/>
  <c r="E6" i="4"/>
  <c r="E22" i="4"/>
  <c r="E38" i="4"/>
  <c r="E54" i="4"/>
  <c r="E70" i="4"/>
  <c r="E86" i="4"/>
  <c r="E15" i="4"/>
  <c r="E36" i="4"/>
  <c r="E57" i="4"/>
  <c r="E79" i="4"/>
  <c r="E11" i="4"/>
  <c r="E32" i="4"/>
  <c r="E53" i="4"/>
  <c r="E75" i="4"/>
  <c r="E28" i="4"/>
  <c r="E29" i="4"/>
  <c r="E72" i="4"/>
  <c r="E33" i="4"/>
  <c r="E76" i="4"/>
  <c r="E24" i="4"/>
  <c r="E67" i="4"/>
  <c r="E39" i="4"/>
  <c r="E10" i="4"/>
  <c r="E26" i="4"/>
  <c r="E42" i="4"/>
  <c r="E58" i="4"/>
  <c r="E74" i="4"/>
  <c r="E90" i="4"/>
  <c r="E20" i="4"/>
  <c r="E41" i="4"/>
  <c r="E63" i="4"/>
  <c r="E84" i="4"/>
  <c r="E16" i="4"/>
  <c r="E37" i="4"/>
  <c r="E59" i="4"/>
  <c r="E80" i="4"/>
  <c r="E71" i="4"/>
  <c r="E40" i="4"/>
  <c r="E83" i="4"/>
  <c r="E44" i="4"/>
  <c r="E87" i="4"/>
  <c r="E35" i="4"/>
  <c r="E77" i="4"/>
  <c r="E49" i="4"/>
  <c r="E14" i="4"/>
  <c r="E30" i="4"/>
  <c r="E46" i="4"/>
  <c r="E62" i="4"/>
  <c r="E78" i="4"/>
  <c r="E4" i="4"/>
  <c r="E25" i="4"/>
  <c r="E47" i="4"/>
  <c r="E68" i="4"/>
  <c r="E89" i="4"/>
  <c r="E21" i="4"/>
  <c r="E43" i="4"/>
  <c r="E64" i="4"/>
  <c r="E85" i="4"/>
  <c r="E8" i="4"/>
  <c r="E51" i="4"/>
  <c r="E12" i="4"/>
  <c r="E55" i="4"/>
  <c r="E3" i="4"/>
  <c r="E45" i="4"/>
  <c r="E88" i="4"/>
  <c r="E60" i="4"/>
  <c r="G99" i="4"/>
  <c r="F6" i="10"/>
  <c r="F3" i="4"/>
  <c r="F19" i="4"/>
  <c r="F35" i="4"/>
  <c r="F51" i="4"/>
  <c r="F67" i="4"/>
  <c r="F83" i="4"/>
  <c r="F13" i="4"/>
  <c r="F34" i="4"/>
  <c r="F56" i="4"/>
  <c r="F77" i="4"/>
  <c r="F4" i="4"/>
  <c r="F25" i="4"/>
  <c r="F46" i="4"/>
  <c r="F68" i="4"/>
  <c r="F89" i="4"/>
  <c r="F32" i="4"/>
  <c r="F85" i="4"/>
  <c r="F44" i="4"/>
  <c r="F86" i="4"/>
  <c r="F48" i="4"/>
  <c r="F90" i="4"/>
  <c r="F49" i="4"/>
  <c r="F74" i="4"/>
  <c r="F7" i="4"/>
  <c r="F23" i="4"/>
  <c r="F39" i="4"/>
  <c r="F55" i="4"/>
  <c r="F71" i="4"/>
  <c r="F87" i="4"/>
  <c r="F18" i="4"/>
  <c r="F40" i="4"/>
  <c r="F61" i="4"/>
  <c r="F82" i="4"/>
  <c r="F9" i="4"/>
  <c r="F30" i="4"/>
  <c r="F52" i="4"/>
  <c r="F73" i="4"/>
  <c r="F5" i="4"/>
  <c r="F42" i="4"/>
  <c r="F6" i="4"/>
  <c r="F54" i="4"/>
  <c r="F12" i="4"/>
  <c r="F58" i="4"/>
  <c r="F17" i="4"/>
  <c r="F60" i="4"/>
  <c r="F11" i="4"/>
  <c r="F27" i="4"/>
  <c r="F43" i="4"/>
  <c r="F59" i="4"/>
  <c r="F75" i="4"/>
  <c r="F2" i="4"/>
  <c r="F24" i="4"/>
  <c r="F45" i="4"/>
  <c r="F66" i="4"/>
  <c r="F88" i="4"/>
  <c r="F14" i="4"/>
  <c r="F36" i="4"/>
  <c r="F57" i="4"/>
  <c r="F78" i="4"/>
  <c r="F16" i="4"/>
  <c r="F53" i="4"/>
  <c r="F22" i="4"/>
  <c r="F65" i="4"/>
  <c r="F26" i="4"/>
  <c r="F69" i="4"/>
  <c r="F28" i="4"/>
  <c r="F70" i="4"/>
  <c r="F15" i="4"/>
  <c r="F31" i="4"/>
  <c r="F47" i="4"/>
  <c r="F63" i="4"/>
  <c r="F79" i="4"/>
  <c r="F8" i="4"/>
  <c r="F29" i="4"/>
  <c r="F50" i="4"/>
  <c r="F72" i="4"/>
  <c r="F10" i="4"/>
  <c r="F20" i="4"/>
  <c r="F41" i="4"/>
  <c r="F62" i="4"/>
  <c r="F84" i="4"/>
  <c r="F21" i="4"/>
  <c r="F64" i="4"/>
  <c r="F33" i="4"/>
  <c r="F76" i="4"/>
  <c r="F37" i="4"/>
  <c r="F80" i="4"/>
  <c r="F38" i="4"/>
  <c r="F81" i="4"/>
  <c r="E15" i="10"/>
  <c r="C92" i="4"/>
  <c r="P2" i="1"/>
  <c r="C2" i="6"/>
  <c r="O2" i="1"/>
  <c r="Q2" i="1"/>
  <c r="Q3" i="1"/>
  <c r="O3" i="1"/>
  <c r="P3" i="1"/>
  <c r="P6" i="1"/>
  <c r="O6" i="1"/>
  <c r="Q6" i="1"/>
  <c r="P5" i="1"/>
  <c r="Q5" i="1"/>
  <c r="O5" i="1"/>
  <c r="O4" i="1"/>
  <c r="P4" i="1"/>
  <c r="Q4" i="1"/>
  <c r="D40" i="1" l="1"/>
  <c r="D41" i="1" s="1"/>
  <c r="D26" i="1"/>
  <c r="I23" i="1" s="1"/>
  <c r="D25" i="1"/>
  <c r="J23" i="1" s="1"/>
  <c r="P36" i="2"/>
  <c r="P55" i="2"/>
  <c r="P48" i="2"/>
  <c r="P23" i="2"/>
  <c r="P42" i="2"/>
  <c r="P54" i="2"/>
  <c r="P61" i="2"/>
  <c r="P29" i="2"/>
  <c r="P60" i="2"/>
  <c r="P66" i="2"/>
  <c r="P2" i="2"/>
  <c r="P35" i="2"/>
  <c r="P3" i="2"/>
  <c r="P8" i="2"/>
  <c r="P14" i="2"/>
  <c r="P41" i="2"/>
  <c r="P9" i="2"/>
  <c r="F15" i="10"/>
  <c r="D96" i="4"/>
  <c r="D97" i="4"/>
  <c r="D95" i="4"/>
  <c r="P20" i="2"/>
  <c r="P26" i="2"/>
  <c r="P47" i="2"/>
  <c r="P15" i="2"/>
  <c r="P32" i="2"/>
  <c r="P38" i="2"/>
  <c r="P53" i="2"/>
  <c r="P21" i="2"/>
  <c r="P44" i="2"/>
  <c r="P50" i="2"/>
  <c r="P59" i="2"/>
  <c r="P27" i="2"/>
  <c r="P56" i="2"/>
  <c r="P62" i="2"/>
  <c r="P65" i="2"/>
  <c r="P33" i="2"/>
  <c r="P67" i="2"/>
  <c r="P4" i="2"/>
  <c r="P10" i="2"/>
  <c r="P39" i="2"/>
  <c r="P7" i="2"/>
  <c r="P16" i="2"/>
  <c r="P22" i="2"/>
  <c r="P45" i="2"/>
  <c r="P13" i="2"/>
  <c r="P28" i="2"/>
  <c r="P34" i="2"/>
  <c r="P51" i="2"/>
  <c r="P19" i="2"/>
  <c r="P40" i="2"/>
  <c r="P46" i="2"/>
  <c r="P57" i="2"/>
  <c r="P25" i="2"/>
  <c r="P92" i="4"/>
  <c r="C15" i="4"/>
  <c r="P15" i="4" s="1"/>
  <c r="C31" i="4"/>
  <c r="P31" i="4" s="1"/>
  <c r="C47" i="4"/>
  <c r="P47" i="4" s="1"/>
  <c r="C63" i="4"/>
  <c r="P63" i="4" s="1"/>
  <c r="C79" i="4"/>
  <c r="P79" i="4" s="1"/>
  <c r="C8" i="4"/>
  <c r="P8" i="4" s="1"/>
  <c r="C24" i="4"/>
  <c r="P24" i="4" s="1"/>
  <c r="C40" i="4"/>
  <c r="P40" i="4" s="1"/>
  <c r="C56" i="4"/>
  <c r="P56" i="4" s="1"/>
  <c r="C72" i="4"/>
  <c r="P72" i="4" s="1"/>
  <c r="C88" i="4"/>
  <c r="P88" i="4" s="1"/>
  <c r="C17" i="4"/>
  <c r="P17" i="4" s="1"/>
  <c r="C33" i="4"/>
  <c r="P33" i="4" s="1"/>
  <c r="C49" i="4"/>
  <c r="P49" i="4" s="1"/>
  <c r="C65" i="4"/>
  <c r="P65" i="4" s="1"/>
  <c r="C81" i="4"/>
  <c r="P81" i="4" s="1"/>
  <c r="C6" i="4"/>
  <c r="P6" i="4" s="1"/>
  <c r="C22" i="4"/>
  <c r="P22" i="4" s="1"/>
  <c r="C38" i="4"/>
  <c r="P38" i="4" s="1"/>
  <c r="C54" i="4"/>
  <c r="P54" i="4" s="1"/>
  <c r="C70" i="4"/>
  <c r="P70" i="4" s="1"/>
  <c r="C86" i="4"/>
  <c r="P86" i="4" s="1"/>
  <c r="C3" i="4"/>
  <c r="P3" i="4" s="1"/>
  <c r="C19" i="4"/>
  <c r="P19" i="4" s="1"/>
  <c r="C35" i="4"/>
  <c r="P35" i="4" s="1"/>
  <c r="C51" i="4"/>
  <c r="P51" i="4" s="1"/>
  <c r="C67" i="4"/>
  <c r="P67" i="4" s="1"/>
  <c r="C83" i="4"/>
  <c r="P83" i="4" s="1"/>
  <c r="C12" i="4"/>
  <c r="P12" i="4" s="1"/>
  <c r="C28" i="4"/>
  <c r="P28" i="4" s="1"/>
  <c r="C44" i="4"/>
  <c r="P44" i="4" s="1"/>
  <c r="C60" i="4"/>
  <c r="P60" i="4" s="1"/>
  <c r="C76" i="4"/>
  <c r="P76" i="4" s="1"/>
  <c r="C5" i="4"/>
  <c r="P5" i="4" s="1"/>
  <c r="C21" i="4"/>
  <c r="P21" i="4" s="1"/>
  <c r="C37" i="4"/>
  <c r="P37" i="4" s="1"/>
  <c r="C53" i="4"/>
  <c r="P53" i="4" s="1"/>
  <c r="C69" i="4"/>
  <c r="P69" i="4" s="1"/>
  <c r="C85" i="4"/>
  <c r="P85" i="4" s="1"/>
  <c r="C10" i="4"/>
  <c r="P10" i="4" s="1"/>
  <c r="C26" i="4"/>
  <c r="P26" i="4" s="1"/>
  <c r="C42" i="4"/>
  <c r="P42" i="4" s="1"/>
  <c r="C58" i="4"/>
  <c r="P58" i="4" s="1"/>
  <c r="C74" i="4"/>
  <c r="P74" i="4" s="1"/>
  <c r="C90" i="4"/>
  <c r="P90" i="4" s="1"/>
  <c r="C7" i="4"/>
  <c r="P7" i="4" s="1"/>
  <c r="C23" i="4"/>
  <c r="P23" i="4" s="1"/>
  <c r="C39" i="4"/>
  <c r="P39" i="4" s="1"/>
  <c r="C55" i="4"/>
  <c r="P55" i="4" s="1"/>
  <c r="C71" i="4"/>
  <c r="P71" i="4" s="1"/>
  <c r="C87" i="4"/>
  <c r="P87" i="4" s="1"/>
  <c r="C16" i="4"/>
  <c r="P16" i="4" s="1"/>
  <c r="C32" i="4"/>
  <c r="P32" i="4" s="1"/>
  <c r="C48" i="4"/>
  <c r="P48" i="4" s="1"/>
  <c r="C64" i="4"/>
  <c r="P64" i="4" s="1"/>
  <c r="C80" i="4"/>
  <c r="P80" i="4" s="1"/>
  <c r="C9" i="4"/>
  <c r="P9" i="4" s="1"/>
  <c r="C25" i="4"/>
  <c r="P25" i="4" s="1"/>
  <c r="C41" i="4"/>
  <c r="P41" i="4" s="1"/>
  <c r="C57" i="4"/>
  <c r="P57" i="4" s="1"/>
  <c r="C73" i="4"/>
  <c r="P73" i="4" s="1"/>
  <c r="C89" i="4"/>
  <c r="P89" i="4" s="1"/>
  <c r="C14" i="4"/>
  <c r="P14" i="4" s="1"/>
  <c r="C30" i="4"/>
  <c r="P30" i="4" s="1"/>
  <c r="C46" i="4"/>
  <c r="P46" i="4" s="1"/>
  <c r="C62" i="4"/>
  <c r="P62" i="4" s="1"/>
  <c r="C78" i="4"/>
  <c r="P78" i="4" s="1"/>
  <c r="C11" i="4"/>
  <c r="P11" i="4" s="1"/>
  <c r="C27" i="4"/>
  <c r="P27" i="4" s="1"/>
  <c r="C43" i="4"/>
  <c r="P43" i="4" s="1"/>
  <c r="C59" i="4"/>
  <c r="P59" i="4" s="1"/>
  <c r="C75" i="4"/>
  <c r="P75" i="4" s="1"/>
  <c r="C4" i="4"/>
  <c r="P4" i="4" s="1"/>
  <c r="C20" i="4"/>
  <c r="P20" i="4" s="1"/>
  <c r="C36" i="4"/>
  <c r="P36" i="4" s="1"/>
  <c r="C52" i="4"/>
  <c r="P52" i="4" s="1"/>
  <c r="C68" i="4"/>
  <c r="P68" i="4" s="1"/>
  <c r="C84" i="4"/>
  <c r="P84" i="4" s="1"/>
  <c r="C13" i="4"/>
  <c r="P13" i="4" s="1"/>
  <c r="C29" i="4"/>
  <c r="P29" i="4" s="1"/>
  <c r="C45" i="4"/>
  <c r="P45" i="4" s="1"/>
  <c r="C61" i="4"/>
  <c r="P61" i="4" s="1"/>
  <c r="C77" i="4"/>
  <c r="P77" i="4" s="1"/>
  <c r="C2" i="4"/>
  <c r="P2" i="4" s="1"/>
  <c r="C18" i="4"/>
  <c r="P18" i="4" s="1"/>
  <c r="C34" i="4"/>
  <c r="P34" i="4" s="1"/>
  <c r="C50" i="4"/>
  <c r="P50" i="4" s="1"/>
  <c r="C66" i="4"/>
  <c r="P66" i="4" s="1"/>
  <c r="C82" i="4"/>
  <c r="P82" i="4" s="1"/>
  <c r="G95" i="4"/>
  <c r="G96" i="4"/>
  <c r="G97" i="4"/>
  <c r="C97" i="4"/>
  <c r="C95" i="4"/>
  <c r="P99" i="4"/>
  <c r="C96" i="4"/>
  <c r="F96" i="4"/>
  <c r="F97" i="4"/>
  <c r="F95" i="4"/>
  <c r="E95" i="4"/>
  <c r="E97" i="4"/>
  <c r="E96" i="4"/>
  <c r="P52" i="2"/>
  <c r="P58" i="2"/>
  <c r="P63" i="2"/>
  <c r="P31" i="2"/>
  <c r="P64" i="2"/>
  <c r="P68" i="2"/>
  <c r="P6" i="2"/>
  <c r="P37" i="2"/>
  <c r="P5" i="2"/>
  <c r="P12" i="2"/>
  <c r="P18" i="2"/>
  <c r="P43" i="2"/>
  <c r="P11" i="2"/>
  <c r="P24" i="2"/>
  <c r="P30" i="2"/>
  <c r="P49" i="2"/>
  <c r="P17" i="2"/>
  <c r="P97" i="4" l="1"/>
  <c r="P96" i="4"/>
  <c r="P95" i="4"/>
  <c r="K27" i="1"/>
  <c r="J27" i="1"/>
</calcChain>
</file>

<file path=xl/sharedStrings.xml><?xml version="1.0" encoding="utf-8"?>
<sst xmlns="http://schemas.openxmlformats.org/spreadsheetml/2006/main" count="1475" uniqueCount="328">
  <si>
    <t>Payment #</t>
  </si>
  <si>
    <t>Approx Date</t>
  </si>
  <si>
    <t>Total Less Fees</t>
  </si>
  <si>
    <t>Commonwealth</t>
  </si>
  <si>
    <t>County</t>
  </si>
  <si>
    <t>Litigating</t>
  </si>
  <si>
    <t>Total</t>
  </si>
  <si>
    <t>Teva Attorney Fees</t>
  </si>
  <si>
    <t xml:space="preserve">Allergan Attorney Fees </t>
  </si>
  <si>
    <t>Walgreens Attorney Fees</t>
  </si>
  <si>
    <t>CVS Attorney Fees</t>
  </si>
  <si>
    <t>Walmart Attorney Fees</t>
  </si>
  <si>
    <t>Teva</t>
  </si>
  <si>
    <t>Allergan</t>
  </si>
  <si>
    <t>Walgreens</t>
  </si>
  <si>
    <t>CVS</t>
  </si>
  <si>
    <t>Walmart</t>
  </si>
  <si>
    <t>Pre Fee Total</t>
  </si>
  <si>
    <t>Teva/Allergan Litigating</t>
  </si>
  <si>
    <t>Pharmacies Litigating</t>
  </si>
  <si>
    <t>Commonwealth Escrow Amount</t>
  </si>
  <si>
    <t>Subdivision Escrow Amount</t>
  </si>
  <si>
    <t>Fee Escrow Amount</t>
  </si>
  <si>
    <t>Total Escrow</t>
  </si>
  <si>
    <t>Adjusted % (W/Floors)</t>
  </si>
  <si>
    <t>Payment Total</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</si>
  <si>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</si>
  <si>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</si>
  <si>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</si>
  <si>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</si>
  <si>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</si>
  <si>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</si>
  <si>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</si>
  <si>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</si>
  <si>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</si>
  <si>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</si>
  <si>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</si>
  <si>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</si>
  <si>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</si>
  <si>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</si>
  <si>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</si>
  <si>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</si>
  <si>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</si>
  <si>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</si>
  <si>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</si>
  <si>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</si>
  <si>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</si>
  <si>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</si>
  <si>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</si>
  <si>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</si>
  <si>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</si>
  <si>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</si>
  <si>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</si>
  <si>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</si>
  <si>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</si>
  <si>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</si>
  <si>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</si>
  <si>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</si>
  <si>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</si>
  <si>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</si>
  <si>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</si>
  <si>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</si>
  <si>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</si>
  <si>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</si>
  <si>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</si>
  <si>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</si>
  <si>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</si>
  <si>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</si>
  <si>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</si>
  <si>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</si>
  <si>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</si>
  <si>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</si>
  <si>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</si>
  <si>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</si>
  <si>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</si>
  <si>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</si>
  <si>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</si>
  <si>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</si>
  <si>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</si>
  <si>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</si>
  <si>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</si>
  <si>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</si>
  <si>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</si>
  <si>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</si>
  <si>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</si>
  <si>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</si>
  <si>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</si>
  <si>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</si>
  <si>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</si>
  <si>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</si>
  <si>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</si>
  <si>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</si>
  <si>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</si>
  <si>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Payment 1</t>
  </si>
  <si>
    <t>Payment 2</t>
  </si>
  <si>
    <t xml:space="preserve">Payment 3 </t>
  </si>
  <si>
    <t>Payment 4</t>
  </si>
  <si>
    <t>Payment 5</t>
  </si>
  <si>
    <t>Payment 6</t>
  </si>
  <si>
    <t>Payment 7</t>
  </si>
  <si>
    <t>Payment 8</t>
  </si>
  <si>
    <t>Payment 9</t>
  </si>
  <si>
    <t>Payment 10</t>
  </si>
  <si>
    <t>Payment 11</t>
  </si>
  <si>
    <t>Payment 12</t>
  </si>
  <si>
    <t>Payment 13</t>
  </si>
  <si>
    <t>Teva County Amount</t>
  </si>
  <si>
    <t>Allergan County Amount</t>
  </si>
  <si>
    <t>Walgreens County Amount</t>
  </si>
  <si>
    <t>CVS County Amount</t>
  </si>
  <si>
    <t>Walmart County Amount</t>
  </si>
  <si>
    <t>Walmart Escrow Amount</t>
  </si>
  <si>
    <t xml:space="preserve">Total Teva/Allergan/Walmart </t>
  </si>
  <si>
    <t>Total Walgreens/CVS</t>
  </si>
  <si>
    <t>Floor % w/ No Philadelphia</t>
  </si>
  <si>
    <t>Payment 14</t>
  </si>
  <si>
    <t>Payment 15</t>
  </si>
  <si>
    <t>Litigant</t>
  </si>
  <si>
    <t>Teva Adjusted %</t>
  </si>
  <si>
    <t>Adams County</t>
  </si>
  <si>
    <t>Aliquippa city</t>
  </si>
  <si>
    <t>Allegheny County</t>
  </si>
  <si>
    <t>Allentown city</t>
  </si>
  <si>
    <t>Armstrong County</t>
  </si>
  <si>
    <t>Beaver County</t>
  </si>
  <si>
    <t>Bedford County</t>
  </si>
  <si>
    <t>BENSALEM TOWNSHIP</t>
  </si>
  <si>
    <t>Bradford County</t>
  </si>
  <si>
    <t>BRISTOL TOWNSHIP</t>
  </si>
  <si>
    <t>Bucks County</t>
  </si>
  <si>
    <t>Cambria County</t>
  </si>
  <si>
    <t>Carbon County</t>
  </si>
  <si>
    <t>Chester County</t>
  </si>
  <si>
    <t>Clarion County</t>
  </si>
  <si>
    <t>Clearfield County</t>
  </si>
  <si>
    <t>Clinton County</t>
  </si>
  <si>
    <t>Coatesville city</t>
  </si>
  <si>
    <t>Columbia County</t>
  </si>
  <si>
    <t>Cumberland County</t>
  </si>
  <si>
    <t>Dauphin County</t>
  </si>
  <si>
    <t>Delaware County</t>
  </si>
  <si>
    <t>District Attorney of Allegheny County</t>
  </si>
  <si>
    <t>District Attorney of Berks County</t>
  </si>
  <si>
    <t>District Attorney of Bucks County</t>
  </si>
  <si>
    <t>District Attorney of Chester County</t>
  </si>
  <si>
    <t>District Attorney of Clearfield County</t>
  </si>
  <si>
    <t>District Attorney of Dauphin County</t>
  </si>
  <si>
    <t>District Attorney of Delaware County</t>
  </si>
  <si>
    <t>District Attorney of Erie County</t>
  </si>
  <si>
    <t>District Attorney of Lehigh County</t>
  </si>
  <si>
    <t>District Attorney of Northampton County</t>
  </si>
  <si>
    <t>District Attorney of Philadelphia</t>
  </si>
  <si>
    <t>District Attorney of Westmoreland County</t>
  </si>
  <si>
    <t>District Attorney of Wyoming County</t>
  </si>
  <si>
    <t>Edwardsville borough</t>
  </si>
  <si>
    <t>Erie County</t>
  </si>
  <si>
    <t>Exeter borough</t>
  </si>
  <si>
    <t>FAIRVIEW TOWNSHIP</t>
  </si>
  <si>
    <t>Fayette County</t>
  </si>
  <si>
    <t>Forty Fort borough</t>
  </si>
  <si>
    <t>Franklin County</t>
  </si>
  <si>
    <t>Greene County</t>
  </si>
  <si>
    <t>HANOVER TOWNSHIP</t>
  </si>
  <si>
    <t>Hazleton city</t>
  </si>
  <si>
    <t>Huntingdon County</t>
  </si>
  <si>
    <t>Indiana County</t>
  </si>
  <si>
    <t>Kingston borough</t>
  </si>
  <si>
    <t>Lackawanna County</t>
  </si>
  <si>
    <t>Lawrence County</t>
  </si>
  <si>
    <t>Lehigh County</t>
  </si>
  <si>
    <t>Lock Haven city</t>
  </si>
  <si>
    <t>LOWER MAKEFIELD TOWNSHIP</t>
  </si>
  <si>
    <t>LOWER SOUTHAMPTON TOWNSHIP</t>
  </si>
  <si>
    <t>Luzerne County</t>
  </si>
  <si>
    <t>Lycoming County</t>
  </si>
  <si>
    <t>Mahoning township</t>
  </si>
  <si>
    <t>Mercer County</t>
  </si>
  <si>
    <t>MIDDLETOWN TOWNSHIP</t>
  </si>
  <si>
    <t>Monroe County</t>
  </si>
  <si>
    <t>Morrisville borough</t>
  </si>
  <si>
    <t>Nanticoke city</t>
  </si>
  <si>
    <t>New Castle city</t>
  </si>
  <si>
    <t>NEWTOWN TOWNSHIP</t>
  </si>
  <si>
    <t>Norristown borough</t>
  </si>
  <si>
    <t>Northampton County</t>
  </si>
  <si>
    <t>Northumberland County</t>
  </si>
  <si>
    <t xml:space="preserve">Philadelphia </t>
  </si>
  <si>
    <t>Pike County</t>
  </si>
  <si>
    <t>Pittsburgh city</t>
  </si>
  <si>
    <t>PLAINS TOWNSHIP</t>
  </si>
  <si>
    <t>Schuylkill County</t>
  </si>
  <si>
    <t>Southeastern Pennsylvania Transportation Authority</t>
  </si>
  <si>
    <t>Sugar Notch borough</t>
  </si>
  <si>
    <t>Tioga County</t>
  </si>
  <si>
    <t>UNION TOWNSHIP</t>
  </si>
  <si>
    <t>Wampum borough</t>
  </si>
  <si>
    <t>WARMINSTER TOWNSHIP</t>
  </si>
  <si>
    <t>WARRINGTON TOWNSHIP</t>
  </si>
  <si>
    <t>Washington County</t>
  </si>
  <si>
    <t>WEST NORRITON TOWNSHIP</t>
  </si>
  <si>
    <t>West Pittston borough</t>
  </si>
  <si>
    <t>Westmoreland County</t>
  </si>
  <si>
    <t>WILKES BARRE TOWNSHIP</t>
  </si>
  <si>
    <t>Wilkes-Barre city</t>
  </si>
  <si>
    <t>WRIGHT TOWNSHIP</t>
  </si>
  <si>
    <t>Wyoming borough</t>
  </si>
  <si>
    <t>Wyoming County</t>
  </si>
  <si>
    <t>York County</t>
  </si>
  <si>
    <t>Teva Bellwether</t>
  </si>
  <si>
    <t>Teva Litigating Total Less Fees and Bellwether</t>
  </si>
  <si>
    <t>Teva Total Litigating</t>
  </si>
  <si>
    <t>Allergan Bellwether</t>
  </si>
  <si>
    <t>Total Allergan Litigating</t>
  </si>
  <si>
    <t>Allergan Litigating Less Fees and Bellwether</t>
  </si>
  <si>
    <t>Bellwethers</t>
  </si>
  <si>
    <t>Bellwether Percent</t>
  </si>
  <si>
    <t>Allergan Adjusted %</t>
  </si>
  <si>
    <t>Walmart Escrow</t>
  </si>
  <si>
    <t>Adjusted %</t>
  </si>
  <si>
    <t>District Attorney of Beaver County</t>
  </si>
  <si>
    <t>District Attorney of Butler County</t>
  </si>
  <si>
    <t>District Attorney of Lawrence County</t>
  </si>
  <si>
    <t>Philadelphia County-Philadelphia City</t>
  </si>
  <si>
    <t>Adjusted Walmart %</t>
  </si>
  <si>
    <t>Payment 3</t>
  </si>
  <si>
    <t>Allergan Allocation Adjustment</t>
  </si>
  <si>
    <t>Subdivision</t>
  </si>
  <si>
    <t>Allergan Modified Allocation</t>
  </si>
  <si>
    <t>County Escrow</t>
  </si>
  <si>
    <t>Litigating Sub Escrow</t>
  </si>
  <si>
    <t xml:space="preserve">Explanatory Note - This sheet shows the breakdown of each settlements' allocation to the 70% County bucket. </t>
  </si>
  <si>
    <t xml:space="preserve">Explanatory Note - Philadelphia is not participating in the Walgreens and CVS Settlements. </t>
  </si>
  <si>
    <t xml:space="preserve">Explanatory Note - This sheet shows Teva and Allergan's allocations to the Litigating Subdivisions bucket.  </t>
  </si>
  <si>
    <t xml:space="preserve">Explanatory Note - Pursuant to Exhibit 7 of the proposed Amended Trust Order, eight subdivisions who sued Teva but did not sue Allergan will receive an Allergan Allocation Adjustment.  The Allergan Allocation Adjustment is funded by the Pennsylvania Opioid Fee Fund and the Commonwealth's Additional Remediation. </t>
  </si>
  <si>
    <t xml:space="preserve">Explantory Note - This sheet shows the breakdown of the Walgreens, CVS, and Walmart Settlements' allocations to the Litigating Subdivision buckets.  </t>
  </si>
  <si>
    <t>Walmart Litigating Subs</t>
  </si>
  <si>
    <t>Pharmacies Litigating Subdivisions Total</t>
  </si>
  <si>
    <t xml:space="preserve">Explanatory Note - This sheet shows the breakdown of each Wave 2 Settlement's estimated annual distribution.  The Escrow amount was negotiated with settling defendants via OAG Side Letters.  </t>
  </si>
  <si>
    <t>Walgreens Litigating</t>
  </si>
  <si>
    <t>CVS Litigating</t>
  </si>
  <si>
    <t>Walgreens/CVS Litigating</t>
  </si>
  <si>
    <t>Net Walmart Litigating Subdivisions</t>
  </si>
  <si>
    <t>County and Litigating</t>
  </si>
  <si>
    <t>Teva Updated Amounts</t>
  </si>
  <si>
    <t>Allergan Gross Amount</t>
  </si>
  <si>
    <t>Walmart Gross Amount</t>
  </si>
  <si>
    <t>Walgreens Gross Amount</t>
  </si>
  <si>
    <t>Deposit Amount</t>
  </si>
  <si>
    <t>Restitution</t>
  </si>
  <si>
    <t>Resitution</t>
  </si>
  <si>
    <t>Amount in escrow</t>
  </si>
  <si>
    <t>Amount returned to Allergan</t>
  </si>
  <si>
    <t>Escrow Amount</t>
  </si>
  <si>
    <t>Escrow amount</t>
  </si>
  <si>
    <t>Gross Amount for each payment</t>
  </si>
  <si>
    <t>Gross Amount</t>
  </si>
  <si>
    <t>Gross amount</t>
  </si>
  <si>
    <t>TEVA</t>
  </si>
  <si>
    <t>TEVA ALLERGAN</t>
  </si>
  <si>
    <t>WALMART COUNTY</t>
  </si>
  <si>
    <t>WALGREENS</t>
  </si>
  <si>
    <t>CVS COUNTY</t>
  </si>
  <si>
    <t>* items on this page are pasted as values/ not linked.</t>
  </si>
  <si>
    <t>BUCKS COUNTY DA</t>
  </si>
  <si>
    <t>DELAWARE COUNTY DA</t>
  </si>
  <si>
    <t>LEHIGH COUNTY DA</t>
  </si>
  <si>
    <t>WESTMORELAND COUNTY DA</t>
  </si>
  <si>
    <t>CHESTER COUNTY DA</t>
  </si>
  <si>
    <t>NORTHAMPTON COUNTY DA</t>
  </si>
  <si>
    <t>DAUPHIN COUNTY DA</t>
  </si>
  <si>
    <t>BERKS COUNTY DA</t>
  </si>
  <si>
    <t>CLEARFIELD COUNTY DA</t>
  </si>
  <si>
    <t>Lower Makefield township, Bucks County, Pennsylvania</t>
  </si>
  <si>
    <t>Lower Southampton township, Bucks County, Pennsylvania</t>
  </si>
  <si>
    <t xml:space="preserve">Mahoning Township, Lawrence County, Pennsylvania </t>
  </si>
  <si>
    <t>Middletown township, Bucks County, Pennsylvania</t>
  </si>
  <si>
    <t>Morrisville borough, Bucks County, Pennsylvania</t>
  </si>
  <si>
    <t>Nanticoke city, Luzerne County, Pennsylvania</t>
  </si>
  <si>
    <t>New Castle city, Lawrence County, Pennsylvania</t>
  </si>
  <si>
    <t>Newtown township, Bucks County, Pennsylvania</t>
  </si>
  <si>
    <t>Norristown borough, Montgomery County, Pennsylvania</t>
  </si>
  <si>
    <t>Pittsburgh city, Allegheny County, Pennsylvania</t>
  </si>
  <si>
    <t>Plains Township, Luzerne County, Pennsylvania</t>
  </si>
  <si>
    <t>SEPTA</t>
  </si>
  <si>
    <t xml:space="preserve">Sugar Notch Borough, Luzerne County, Pennsylvania </t>
  </si>
  <si>
    <t>Union township, Lawrence County, Pennsylvania</t>
  </si>
  <si>
    <t xml:space="preserve">Wampum Borough, Lawrence County, Pennsylvania </t>
  </si>
  <si>
    <t>Warminster township, Bucks County, Pennsylvania</t>
  </si>
  <si>
    <t>Warrington township, Bucks County, Pennsylvania</t>
  </si>
  <si>
    <t>West Norriton township, Montgomery County, Pennsylvania</t>
  </si>
  <si>
    <t xml:space="preserve">West Pittston Borough, Luzerne County, Pennsylvania </t>
  </si>
  <si>
    <t xml:space="preserve">Wright Township, Luzerne County, Pennsylvania </t>
  </si>
  <si>
    <t xml:space="preserve">Wyoming Borough, Luzerenre County, Pennsylvania </t>
  </si>
  <si>
    <t>Commonwealth of PA</t>
  </si>
  <si>
    <t>Fee Fund</t>
  </si>
  <si>
    <t>Walgreen's / CVS</t>
  </si>
  <si>
    <t>TEVA LITIGATING</t>
  </si>
  <si>
    <t>ALLERGAN LITIGATING</t>
  </si>
  <si>
    <t>WALGREEN'S/CVS LITIGATING</t>
  </si>
  <si>
    <t>WALMART LITIGATING</t>
  </si>
  <si>
    <t>COUNTY/ LITIGANT</t>
  </si>
  <si>
    <t>BELLWETHERS</t>
  </si>
  <si>
    <t>ALLERGAN</t>
  </si>
  <si>
    <t>PAYMENT 1</t>
  </si>
  <si>
    <t>Subtotal</t>
  </si>
  <si>
    <t>Deposit</t>
  </si>
  <si>
    <t>Escrow</t>
  </si>
  <si>
    <t>GRAND TOTAL</t>
  </si>
  <si>
    <t>Add Restitution paid directly to Commonwealth</t>
  </si>
  <si>
    <t>Recalculation of Distribution</t>
  </si>
  <si>
    <t>BrownGreer Escrow</t>
  </si>
  <si>
    <t>County Subtotal</t>
  </si>
  <si>
    <t>Litigating Subtotal</t>
  </si>
  <si>
    <t>Total Wave 2 Including all Escrow except CVS</t>
  </si>
  <si>
    <t>Fees, Calculated above</t>
  </si>
  <si>
    <t>County and Litigating (A)</t>
  </si>
  <si>
    <t>Commonwealth, calculated</t>
  </si>
  <si>
    <t>Escrow BG</t>
  </si>
  <si>
    <t>Wave 2</t>
  </si>
  <si>
    <t>Adding back to Escrow</t>
  </si>
  <si>
    <t>Wilkes-Barre city, Township</t>
  </si>
  <si>
    <t xml:space="preserve">Wilkes-Barre, City </t>
  </si>
  <si>
    <t>Escrow AG</t>
  </si>
  <si>
    <t>PAYMENT SUMMARY</t>
  </si>
  <si>
    <t>CVS Gross Amount *</t>
  </si>
  <si>
    <r>
      <rPr>
        <b/>
        <sz val="11"/>
        <color theme="1"/>
        <rFont val="Calibri"/>
        <family val="2"/>
        <scheme val="minor"/>
      </rPr>
      <t xml:space="preserve"> *</t>
    </r>
    <r>
      <rPr>
        <sz val="11"/>
        <color theme="1"/>
        <rFont val="Calibri"/>
        <family val="2"/>
        <scheme val="minor"/>
      </rPr>
      <t>Note BrownGreer is holding $1,676,164.46 in escrow that is not included in this calculation. If the disputed payment is made in the future distributions will be calculated in accordance with the court order.</t>
    </r>
  </si>
  <si>
    <t>Wave II: Payment 1</t>
  </si>
  <si>
    <t>Wave I: Payment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</si>
</sst>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quot;$&quot;* #,##0.0000_);_(&quot;$&quot;* \(#,##0.0000\);_(&quot;$&quot;* &quot;-&quot;????_);_(@_)"/>
  </numFmts>
  <fonts count="17"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4" tint="-0.249977111117893"/>
      <name val="Calibri"/>
      <family val="2"/>
      <scheme val="minor"/>
    </font>
    <font>
      <sz val="12"/>
      <color theme="4" tint="-0.249977111117893"/>
      <name val="Calibri"/>
      <family val="2"/>
      <scheme val="minor"/>
    </font>
    <font>
      <b/>
      <sz val="12"/>
      <color theme="1"/>
      <name val="Calibri"/>
      <family val="2"/>
      <scheme val="minor"/>
    </font>
    <font>
      <sz val="12"/>
      <color theme="1"/>
      <name val="Calibri"/>
      <scheme val="minor"/>
    </font>
    <font>
      <b/>
      <sz val="12"/>
      <color theme="4" tint="-0.249977111117893"/>
      <name val="Calibri"/>
      <scheme val="minor"/>
    </font>
    <font>
      <sz val="12"/>
      <color theme="4" tint="-0.249977111117893"/>
      <name val="Calibri"/>
      <scheme val="minor"/>
    </font>
    <font>
      <sz val="11"/>
      <color theme="4" tint="-0.249977111117893"/>
      <name val="Calibri"/>
      <family val="2"/>
      <scheme val="minor"/>
    </font>
    <font>
      <sz val="11"/>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sz val="16"/>
      <color theme="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indexed="64"/>
      </patternFill>
    </fill>
    <fill>
      <patternFill patternType="solid">
        <fgColor rgb="FFFFFF00"/>
        <bgColor indexed="64"/>
      </patternFill>
    </fill>
  </fills>
  <borders count="8">
    <border>
      <left/>
      <right/>
      <top/>
      <bottom/>
      <diagonal/>
    </border>
    <border>
      <left/>
      <right/>
      <top style="thin">
        <color theme="4"/>
      </top>
      <bottom style="thin">
        <color theme="4"/>
      </bottom>
      <diagonal/>
    </border>
    <border>
      <left/>
      <right/>
      <top/>
      <bottom style="thin">
        <color theme="4"/>
      </bottom>
      <diagonal/>
    </border>
    <border>
      <left/>
      <right/>
      <top style="thin">
        <color theme="4" tint="0.39997558519241921"/>
      </top>
      <bottom style="thin">
        <color theme="4" tint="0.39997558519241921"/>
      </bottom>
      <diagonal/>
    </border>
    <border>
      <left/>
      <right/>
      <top/>
      <bottom style="thin">
        <color auto="1"/>
      </bottom>
      <diagonal/>
    </border>
    <border>
      <left/>
      <right/>
      <top style="thin">
        <color auto="1"/>
      </top>
      <bottom style="thin">
        <color auto="1"/>
      </bottom>
      <diagonal/>
    </border>
    <border>
      <left/>
      <right/>
      <top style="thin">
        <color theme="4" tint="0.39997558519241921"/>
      </top>
      <bottom style="thin">
        <color auto="1"/>
      </bottom>
      <diagonal/>
    </border>
    <border>
      <left/>
      <right/>
      <top/>
      <bottom style="double">
        <color auto="1"/>
      </bottom>
      <diagonal/>
    </border>
  </borders>
  <cellStyleXfs count="4">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78">
    <xf numFmtId="0" fontId="0" fillId="0" borderId="0" xfId="0"/>
    <xf numFmtId="0" fontId="1" fillId="0" borderId="0" xfId="1"/>
    <xf numFmtId="14" fontId="1" fillId="0" borderId="0" xfId="1" applyNumberFormat="1"/>
    <xf numFmtId="0" fontId="1" fillId="0" borderId="0" xfId="0" applyFont="1"/>
    <xf numFmtId="44" fontId="1" fillId="0" borderId="0" xfId="3" applyFont="1"/>
    <xf numFmtId="44" fontId="6" fillId="2" borderId="0" xfId="3" applyFont="1" applyFill="1"/>
    <xf numFmtId="44" fontId="6" fillId="0" borderId="0" xfId="3" applyFont="1"/>
    <xf numFmtId="44" fontId="0" fillId="0" borderId="0" xfId="0" applyNumberFormat="1"/>
    <xf numFmtId="44" fontId="1" fillId="0" borderId="0" xfId="1" applyNumberFormat="1"/>
    <xf numFmtId="44" fontId="1" fillId="0" borderId="0" xfId="0" applyNumberFormat="1" applyFont="1"/>
    <xf numFmtId="44" fontId="1" fillId="0" borderId="0" xfId="2" applyFont="1"/>
    <xf numFmtId="165" fontId="1" fillId="0" borderId="0" xfId="0" applyNumberFormat="1" applyFont="1"/>
    <xf numFmtId="0" fontId="6" fillId="2" borderId="0" xfId="0" applyFont="1" applyFill="1"/>
    <xf numFmtId="0" fontId="3" fillId="3" borderId="3" xfId="0" applyFont="1" applyFill="1" applyBorder="1"/>
    <xf numFmtId="0" fontId="0" fillId="2" borderId="3" xfId="0" applyFill="1" applyBorder="1"/>
    <xf numFmtId="0" fontId="0" fillId="0" borderId="3" xfId="0" applyBorder="1"/>
    <xf numFmtId="0" fontId="4" fillId="0" borderId="0" xfId="0" applyFont="1"/>
    <xf numFmtId="164" fontId="4" fillId="0" borderId="0" xfId="0" applyNumberFormat="1" applyFont="1"/>
    <xf numFmtId="44" fontId="0" fillId="0" borderId="0" xfId="3" applyFont="1"/>
    <xf numFmtId="0" fontId="5" fillId="0" borderId="1" xfId="1" applyFont="1" applyBorder="1"/>
    <xf numFmtId="0" fontId="6" fillId="0" borderId="0" xfId="1" applyFont="1"/>
    <xf numFmtId="14" fontId="6" fillId="0" borderId="0" xfId="1" applyNumberFormat="1" applyFont="1"/>
    <xf numFmtId="0" fontId="6" fillId="2" borderId="0" xfId="1" applyFont="1" applyFill="1"/>
    <xf numFmtId="14" fontId="6" fillId="2" borderId="0" xfId="1" applyNumberFormat="1" applyFont="1" applyFill="1"/>
    <xf numFmtId="44" fontId="6" fillId="2" borderId="0" xfId="1" applyNumberFormat="1" applyFont="1" applyFill="1"/>
    <xf numFmtId="44" fontId="6" fillId="0" borderId="0" xfId="1" applyNumberFormat="1" applyFont="1"/>
    <xf numFmtId="44" fontId="6" fillId="0" borderId="2" xfId="1" applyNumberFormat="1" applyFont="1" applyBorder="1"/>
    <xf numFmtId="0" fontId="5" fillId="0" borderId="0" xfId="1" applyFont="1"/>
    <xf numFmtId="0" fontId="7" fillId="0" borderId="0" xfId="0" applyFont="1"/>
    <xf numFmtId="44" fontId="8" fillId="0" borderId="0" xfId="3" applyFont="1"/>
    <xf numFmtId="0" fontId="9" fillId="0" borderId="0" xfId="1" applyFont="1"/>
    <xf numFmtId="0" fontId="5" fillId="0" borderId="2" xfId="1" applyFont="1" applyBorder="1"/>
    <xf numFmtId="44" fontId="10" fillId="0" borderId="0" xfId="1" applyNumberFormat="1" applyFont="1"/>
    <xf numFmtId="0" fontId="9" fillId="0" borderId="2" xfId="1" applyFont="1" applyBorder="1"/>
    <xf numFmtId="44" fontId="4" fillId="0" borderId="0" xfId="0" applyNumberFormat="1" applyFont="1"/>
    <xf numFmtId="0" fontId="11" fillId="0" borderId="0" xfId="0" applyFont="1"/>
    <xf numFmtId="44" fontId="12" fillId="0" borderId="0" xfId="3" applyFont="1"/>
    <xf numFmtId="0" fontId="12" fillId="0" borderId="0" xfId="0" applyFont="1"/>
    <xf numFmtId="44" fontId="12" fillId="0" borderId="0" xfId="0" applyNumberFormat="1" applyFont="1"/>
    <xf numFmtId="0" fontId="3" fillId="0" borderId="0" xfId="0" applyFont="1"/>
    <xf numFmtId="44" fontId="0" fillId="0" borderId="0" xfId="3" applyFont="1" applyFill="1" applyBorder="1"/>
    <xf numFmtId="44" fontId="12" fillId="0" borderId="0" xfId="3" applyFont="1" applyFill="1" applyBorder="1"/>
    <xf numFmtId="44" fontId="13" fillId="0" borderId="0" xfId="0" applyNumberFormat="1" applyFont="1"/>
    <xf numFmtId="8" fontId="0" fillId="0" borderId="0" xfId="0" applyNumberFormat="1"/>
    <xf numFmtId="4" fontId="0" fillId="4" borderId="0" xfId="0" applyNumberFormat="1" applyFill="1"/>
    <xf numFmtId="44" fontId="0" fillId="4" borderId="0" xfId="3" applyFont="1" applyFill="1"/>
    <xf numFmtId="44" fontId="0" fillId="4" borderId="0" xfId="3" applyFont="1" applyFill="1" applyAlignment="1">
      <alignment horizontal="right"/>
    </xf>
    <xf numFmtId="4" fontId="0" fillId="5" borderId="0" xfId="0" applyNumberFormat="1" applyFill="1"/>
    <xf numFmtId="44" fontId="0" fillId="5" borderId="0" xfId="3" applyFont="1" applyFill="1"/>
    <xf numFmtId="44" fontId="0" fillId="5" borderId="0" xfId="0" applyNumberFormat="1" applyFill="1"/>
    <xf numFmtId="0" fontId="0" fillId="0" borderId="0" xfId="0" applyAlignment="1">
      <alignment wrapText="1"/>
    </xf>
    <xf numFmtId="0" fontId="4" fillId="0" borderId="4" xfId="0" applyFont="1" applyBorder="1"/>
    <xf numFmtId="0" fontId="0" fillId="0" borderId="4" xfId="0" applyBorder="1"/>
    <xf numFmtId="0" fontId="4" fillId="0" borderId="4" xfId="0" applyFont="1" applyBorder="1" applyAlignment="1">
      <alignment horizontal="center"/>
    </xf>
    <xf numFmtId="164" fontId="0" fillId="0" borderId="0" xfId="0" applyNumberFormat="1"/>
    <xf numFmtId="0" fontId="4" fillId="0" borderId="0" xfId="0" applyFont="1" applyAlignment="1">
      <alignment horizontal="center"/>
    </xf>
    <xf numFmtId="0" fontId="4" fillId="0" borderId="5" xfId="0" applyFont="1" applyBorder="1" applyAlignment="1">
      <alignment horizontal="center"/>
    </xf>
    <xf numFmtId="0" fontId="4" fillId="0" borderId="4" xfId="0" applyFont="1" applyBorder="1" applyAlignment="1">
      <alignment horizontal="left"/>
    </xf>
    <xf numFmtId="44" fontId="0" fillId="0" borderId="4" xfId="3" applyFont="1" applyBorder="1"/>
    <xf numFmtId="44" fontId="0" fillId="0" borderId="0" xfId="3" applyFont="1" applyFill="1"/>
    <xf numFmtId="44" fontId="0" fillId="0" borderId="3" xfId="3" applyFont="1" applyFill="1" applyBorder="1"/>
    <xf numFmtId="44" fontId="0" fillId="0" borderId="3" xfId="0" applyNumberFormat="1" applyBorder="1"/>
    <xf numFmtId="44" fontId="0" fillId="0" borderId="4" xfId="0" applyNumberFormat="1" applyBorder="1"/>
    <xf numFmtId="44" fontId="0" fillId="0" borderId="6" xfId="0" applyNumberFormat="1" applyBorder="1"/>
    <xf numFmtId="44" fontId="4" fillId="0" borderId="0" xfId="3" applyFont="1" applyFill="1"/>
    <xf numFmtId="0" fontId="0" fillId="0" borderId="0" xfId="0" applyAlignment="1">
      <alignment horizontal="center"/>
    </xf>
    <xf numFmtId="0" fontId="0" fillId="0" borderId="4" xfId="0" applyBorder="1" applyAlignment="1">
      <alignment horizontal="center"/>
    </xf>
    <xf numFmtId="0" fontId="4" fillId="0" borderId="0" xfId="0" applyFont="1" applyAlignment="1">
      <alignment horizontal="left"/>
    </xf>
    <xf numFmtId="44" fontId="12" fillId="0" borderId="0" xfId="3" applyFont="1" applyFill="1"/>
    <xf numFmtId="44" fontId="0" fillId="0" borderId="4" xfId="3" applyFont="1" applyFill="1" applyBorder="1"/>
    <xf numFmtId="44" fontId="15" fillId="0" borderId="0" xfId="3" applyFont="1" applyFill="1"/>
    <xf numFmtId="44" fontId="13" fillId="0" borderId="0" xfId="3" applyFont="1" applyFill="1"/>
    <xf numFmtId="44" fontId="12" fillId="0" borderId="4" xfId="3" applyFont="1" applyFill="1" applyBorder="1"/>
    <xf numFmtId="164" fontId="13" fillId="0" borderId="0" xfId="0" applyNumberFormat="1" applyFont="1"/>
    <xf numFmtId="0" fontId="15" fillId="0" borderId="0" xfId="0" applyFont="1"/>
    <xf numFmtId="0" fontId="14" fillId="0" borderId="0" xfId="0" applyFont="1"/>
    <xf numFmtId="44" fontId="0" fillId="0" borderId="7" xfId="3" applyFont="1" applyBorder="1"/>
    <xf numFmtId="0" fontId="16" fillId="0" borderId="0" xfId="0" applyFont="1" applyAlignment="1">
      <alignment horizontal="center"/>
    </xf>
  </cellXfs>
  <cellStyles count="4">
    <cellStyle name="Currency" xfId="3" builtinId="4"/>
    <cellStyle name="Currency 2" xfId="2" xr:uid="{00000000-0005-0000-0000-000001000000}"/>
    <cellStyle name="Normal" xfId="0" builtinId="0"/>
    <cellStyle name="Normal 2" xfId="1" xr:uid="{00000000-0005-0000-0000-000003000000}"/>
  </cellStyles>
  <dxfs count="153">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1"/>
        <color auto="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border outline="0">
        <top style="thin">
          <color theme="4"/>
        </top>
        <bottom style="thin">
          <color theme="4"/>
        </bottom>
      </border>
    </dxf>
    <dxf>
      <font>
        <b val="0"/>
        <i val="0"/>
        <strike val="0"/>
        <condense val="0"/>
        <extend val="0"/>
        <outline val="0"/>
        <shadow val="0"/>
        <u val="none"/>
        <vertAlign val="baseline"/>
        <sz val="12"/>
        <color theme="4" tint="-0.249977111117893"/>
        <name val="Calibri"/>
        <scheme val="minor"/>
      </font>
      <alignment horizontal="general" vertical="bottom" textRotation="0" wrapText="0" indent="0" justifyLastLine="0" shrinkToFit="0" readingOrder="0"/>
    </dxf>
    <dxf>
      <border outline="0">
        <bottom style="thin">
          <color theme="4"/>
        </bottom>
      </border>
    </dxf>
    <dxf>
      <font>
        <b/>
        <i val="0"/>
        <strike val="0"/>
        <condense val="0"/>
        <extend val="0"/>
        <outline val="0"/>
        <shadow val="0"/>
        <u val="none"/>
        <vertAlign val="baseline"/>
        <sz val="12"/>
        <color theme="4" tint="-0.249977111117893"/>
        <name val="Calibri"/>
        <scheme val="minor"/>
      </font>
      <numFmt numFmtId="0" formatCode="General"/>
      <alignment horizontal="general" vertical="bottom" textRotation="0" wrapText="0" indent="0" justifyLastLine="0" shrinkToFit="0" readingOrder="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border outline="0">
        <left style="thin">
          <color theme="4" tint="0.39997558519241921"/>
        </left>
      </border>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4" tint="-0.249977111117893"/>
        <name val="Calibri"/>
        <scheme val="minor"/>
      </font>
      <numFmt numFmtId="34" formatCode="_(&quot;$&quot;* #,##0.00_);_(&quot;$&quot;* \(#,##0.00\);_(&quot;$&quot;* &quot;-&quot;??_);_(@_)"/>
      <alignment horizontal="general" vertical="bottom" textRotation="0" wrapText="0" indent="0" justifyLastLine="0" shrinkToFit="0" readingOrder="0"/>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font>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none">
          <fgColor indexed="64"/>
          <bgColor indexed="65"/>
        </patternFill>
      </fill>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Y17" totalsRowShown="0" dataDxfId="152">
  <autoFilter ref="A1:Y17" xr:uid="{00000000-0009-0000-0100-000002000000}"/>
  <tableColumns count="25">
    <tableColumn id="1" xr3:uid="{00000000-0010-0000-0000-000001000000}" name="Payment #" dataDxfId="151"/>
    <tableColumn id="12" xr3:uid="{00000000-0010-0000-0000-00000C000000}" name="Approx Date" dataDxfId="150"/>
    <tableColumn id="2" xr3:uid="{00000000-0010-0000-0000-000002000000}" name="Teva" dataDxfId="149"/>
    <tableColumn id="3" xr3:uid="{00000000-0010-0000-0000-000003000000}" name="Allergan" dataDxfId="148"/>
    <tableColumn id="16" xr3:uid="{00000000-0010-0000-0000-000010000000}" name="Walgreens" dataDxfId="147" dataCellStyle="Normal 2"/>
    <tableColumn id="17" xr3:uid="{00000000-0010-0000-0000-000011000000}" name="CVS" dataDxfId="146" dataCellStyle="Normal 2"/>
    <tableColumn id="18" xr3:uid="{00000000-0010-0000-0000-000012000000}" name="Walmart" dataDxfId="145" dataCellStyle="Normal 2"/>
    <tableColumn id="4" xr3:uid="{00000000-0010-0000-0000-000004000000}" name="Pre Fee Total" dataDxfId="144">
      <calculatedColumnFormula>SUM(Table14[[#This Row],[Teva]:[Walmart]])</calculatedColumnFormula>
    </tableColumn>
    <tableColumn id="14" xr3:uid="{00000000-0010-0000-0000-00000E000000}" name="Teva Attorney Fees" dataDxfId="143"/>
    <tableColumn id="13" xr3:uid="{00000000-0010-0000-0000-00000D000000}" name="Allergan Attorney Fees " dataDxfId="142"/>
    <tableColumn id="21" xr3:uid="{00000000-0010-0000-0000-000015000000}" name="Walgreens Attorney Fees" dataDxfId="141" dataCellStyle="Normal 2"/>
    <tableColumn id="22" xr3:uid="{00000000-0010-0000-0000-000016000000}" name="CVS Attorney Fees" dataDxfId="140" dataCellStyle="Normal 2"/>
    <tableColumn id="23" xr3:uid="{00000000-0010-0000-0000-000017000000}" name="Walmart Attorney Fees" dataDxfId="139" dataCellStyle="Normal 2"/>
    <tableColumn id="6" xr3:uid="{00000000-0010-0000-0000-000006000000}" name="Total Less Fees" dataDxfId="138">
      <calculatedColumnFormula>Table14[[#This Row],[Pre Fee Total]]-Table14[[#This Row],[Teva Attorney Fees]]-Table14[[#This Row],[Allergan Attorney Fees ]]-Table14[[#This Row],[Walgreens Attorney Fees]]-Table14[[#This Row],[CVS Attorney Fees]]-Table14[[#This Row],[Walmart Attorney Fees]]</calculatedColumnFormula>
    </tableColumn>
    <tableColumn id="7" xr3:uid="{00000000-0010-0000-0000-000007000000}" name="Commonwealth" dataDxfId="137">
      <calculatedColumnFormula>Table14[[#This Row],[Total Less Fees]]*0.15</calculatedColumnFormula>
    </tableColumn>
    <tableColumn id="8" xr3:uid="{00000000-0010-0000-0000-000008000000}" name="County" dataDxfId="136">
      <calculatedColumnFormula>Table14[[#This Row],[Total Less Fees]]*0.7</calculatedColumnFormula>
    </tableColumn>
    <tableColumn id="9" xr3:uid="{00000000-0010-0000-0000-000009000000}" name="Litigating" dataDxfId="135">
      <calculatedColumnFormula>Table14[[#This Row],[Total Less Fees]]*0.15</calculatedColumnFormula>
    </tableColumn>
    <tableColumn id="10" xr3:uid="{00000000-0010-0000-0000-00000A000000}" name="Teva/Allergan Litigating" dataDxfId="134">
      <calculatedColumnFormula>((Table14[[#This Row],[Teva]]+Table14[[#This Row],[Allergan]])-(Table14[[#This Row],[Teva Attorney Fees]]+Table14[[#This Row],[Allergan Attorney Fees ]]))*0.15</calculatedColumnFormula>
    </tableColumn>
    <tableColumn id="11" xr3:uid="{00000000-0010-0000-0000-00000B000000}" name="Pharmacies Litigating" dataDxfId="133">
      <calculatedColumnFormula>((Table14[[#This Row],[Walgreens]]+Table14[[#This Row],[CVS]]+Table14[[#This Row],[Walmart]])-(Table14[[#This Row],[Walgreens Attorney Fees]]+Table14[[#This Row],[CVS Attorney Fees]]+Table14[[#This Row],[Walmart Attorney Fees]]))*0.15</calculatedColumnFormula>
    </tableColumn>
    <tableColumn id="24" xr3:uid="{00000000-0010-0000-0000-000018000000}" name="Commonwealth Escrow Amount" dataDxfId="132">
      <calculatedColumnFormula>((C17-I17)*0.15)+((D17-J17)*0.15)+((G17-M17)*0.15)</calculatedColumnFormula>
    </tableColumn>
    <tableColumn id="25" xr3:uid="{00000000-0010-0000-0000-000019000000}" name="Subdivision Escrow Amount" dataDxfId="131"/>
    <tableColumn id="5" xr3:uid="{00000000-0010-0000-0000-000005000000}" name="County Escrow" dataDxfId="130">
      <calculatedColumnFormula>Table14[[#This Row],[Subdivision Escrow Amount]]-W2</calculatedColumnFormula>
    </tableColumn>
    <tableColumn id="15" xr3:uid="{00000000-0010-0000-0000-00000F000000}" name="Litigating Sub Escrow" dataDxfId="129">
      <calculatedColumnFormula>Table14[[#This Row],[Subdivision Escrow Amount]]/5.67</calculatedColumnFormula>
    </tableColumn>
    <tableColumn id="26" xr3:uid="{00000000-0010-0000-0000-00001A000000}" name="Fee Escrow Amount" dataDxfId="128">
      <calculatedColumnFormula>(Table14[[#This Row],[Teva Attorney Fees]]*0.15)+(Table14[[#This Row],[Allergan Attorney Fees ]]*0.15)+(Table14[[#This Row],[Walmart Attorney Fees]]*0.15)+(6000000*0.0138)</calculatedColumnFormula>
    </tableColumn>
    <tableColumn id="27" xr3:uid="{00000000-0010-0000-0000-00001B000000}" name="Total Escrow" dataDxfId="127">
      <calculatedColumnFormula>SUM(T2,U2,X2)</calculatedColumnFormula>
    </tableColum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17" displayName="Table17" ref="A96:B104" totalsRowShown="0">
  <autoFilter ref="A96:B104" xr:uid="{00000000-0009-0000-0100-000010000000}"/>
  <tableColumns count="2">
    <tableColumn id="1" xr3:uid="{00000000-0010-0000-0900-000001000000}" name="Subdivision"/>
    <tableColumn id="2" xr3:uid="{00000000-0010-0000-0900-000002000000}" name="Allergan Modified Allocation" dataCellStyle="Curr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0" displayName="Table10" ref="A1:I17" totalsRowShown="0" headerRowDxfId="31" dataDxfId="29" headerRowBorderDxfId="30" tableBorderDxfId="28" headerRowCellStyle="Normal 2" dataCellStyle="Normal 2">
  <autoFilter ref="A1:I17" xr:uid="{00000000-0009-0000-0100-00000A000000}"/>
  <tableColumns count="9">
    <tableColumn id="1" xr3:uid="{00000000-0010-0000-0A00-000001000000}" name="Payment #"/>
    <tableColumn id="2" xr3:uid="{00000000-0010-0000-0A00-000002000000}" name="Approx Date"/>
    <tableColumn id="3" xr3:uid="{00000000-0010-0000-0A00-000003000000}" name="Pharmacies Litigating Subdivisions Total" dataDxfId="27" dataCellStyle="Normal 2">
      <calculatedColumnFormula>Table14[[#This Row],[Pharmacies Litigating]]</calculatedColumnFormula>
    </tableColumn>
    <tableColumn id="9" xr3:uid="{00000000-0010-0000-0A00-000009000000}" name="Walgreens Litigating" dataDxfId="26" dataCellStyle="Normal 2">
      <calculatedColumnFormula>((Table14[[#This Row],[Walgreens]]-Table14[[#This Row],[Walgreens Attorney Fees]])*0.15)</calculatedColumnFormula>
    </tableColumn>
    <tableColumn id="11" xr3:uid="{00000000-0010-0000-0A00-00000B000000}" name="CVS Litigating" dataDxfId="25" dataCellStyle="Normal 2">
      <calculatedColumnFormula>((Table14[[#This Row],[CVS]]-Table14[[#This Row],[CVS Attorney Fees]])*0.15)</calculatedColumnFormula>
    </tableColumn>
    <tableColumn id="19" xr3:uid="{00000000-0010-0000-0A00-000013000000}" name="Walgreens/CVS Litigating" dataDxfId="24" dataCellStyle="Normal 2">
      <calculatedColumnFormula>Table10[[#This Row],[Walgreens Litigating]]+Table10[[#This Row],[CVS Litigating]]</calculatedColumnFormula>
    </tableColumn>
    <tableColumn id="17" xr3:uid="{00000000-0010-0000-0A00-000011000000}" name="Walmart Escrow" dataDxfId="23" dataCellStyle="Normal 2">
      <calculatedColumnFormula>Table14[[#This Row],[Litigating Sub Escrow]]</calculatedColumnFormula>
    </tableColumn>
    <tableColumn id="13" xr3:uid="{00000000-0010-0000-0A00-00000D000000}" name="Walmart Litigating Subs" dataDxfId="22" dataCellStyle="Normal 2">
      <calculatedColumnFormula>(((Table14[[#This Row],[Walmart]]-Table14[[#This Row],[Walmart Attorney Fees]])*0.15))</calculatedColumnFormula>
    </tableColumn>
    <tableColumn id="18" xr3:uid="{00000000-0010-0000-0A00-000012000000}" name="Net Walmart Litigating Subdivisions" dataDxfId="21" dataCellStyle="Normal 2">
      <calculatedColumnFormula>Table10[[#This Row],[Walmart Litigating Subs]]-Table10[[#This Row],[Walmart Escrow]]</calculatedColumnFormula>
    </tableColumn>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5" displayName="Table15" ref="A1:R82" totalsRowShown="0">
  <autoFilter ref="A1:R82" xr:uid="{00000000-0009-0000-0100-00000E000000}"/>
  <sortState xmlns:xlrd2="http://schemas.microsoft.com/office/spreadsheetml/2017/richdata2" ref="A2:R82">
    <sortCondition ref="A1:A82"/>
  </sortState>
  <tableColumns count="18">
    <tableColumn id="1" xr3:uid="{00000000-0010-0000-0B00-000001000000}" name="Litigant"/>
    <tableColumn id="2" xr3:uid="{00000000-0010-0000-0B00-000002000000}" name="Adjusted %"/>
    <tableColumn id="3" xr3:uid="{00000000-0010-0000-0B00-000003000000}" name="Payment 1" dataCellStyle="Currency">
      <calculatedColumnFormula>Table15[[#This Row],[Adjusted %]]*$C$84</calculatedColumnFormula>
    </tableColumn>
    <tableColumn id="4" xr3:uid="{00000000-0010-0000-0B00-000004000000}" name="Payment 2" dataDxfId="20" dataCellStyle="Currency">
      <calculatedColumnFormula>Table15[[#This Row],[Adjusted %]]*$D$84</calculatedColumnFormula>
    </tableColumn>
    <tableColumn id="5" xr3:uid="{00000000-0010-0000-0B00-000005000000}" name="Payment 3 " dataDxfId="19" dataCellStyle="Currency">
      <calculatedColumnFormula>Table15[[#This Row],[Adjusted %]]*$E$84</calculatedColumnFormula>
    </tableColumn>
    <tableColumn id="6" xr3:uid="{00000000-0010-0000-0B00-000006000000}" name="Payment 4" dataDxfId="18" dataCellStyle="Currency">
      <calculatedColumnFormula>Table15[[#This Row],[Adjusted %]]*$F$84</calculatedColumnFormula>
    </tableColumn>
    <tableColumn id="7" xr3:uid="{00000000-0010-0000-0B00-000007000000}" name="Payment 5" dataDxfId="17" dataCellStyle="Currency">
      <calculatedColumnFormula>Table15[[#This Row],[Adjusted %]]*$G$84</calculatedColumnFormula>
    </tableColumn>
    <tableColumn id="8" xr3:uid="{00000000-0010-0000-0B00-000008000000}" name="Payment 6" dataDxfId="16" dataCellStyle="Currency">
      <calculatedColumnFormula>Table15[[#This Row],[Adjusted %]]*$H$84</calculatedColumnFormula>
    </tableColumn>
    <tableColumn id="9" xr3:uid="{00000000-0010-0000-0B00-000009000000}" name="Payment 7" dataDxfId="15" dataCellStyle="Currency">
      <calculatedColumnFormula>Table15[[#This Row],[Adjusted %]]*$I$84</calculatedColumnFormula>
    </tableColumn>
    <tableColumn id="10" xr3:uid="{00000000-0010-0000-0B00-00000A000000}" name="Payment 8" dataDxfId="14" dataCellStyle="Currency">
      <calculatedColumnFormula>Table15[[#This Row],[Adjusted %]]*$J$84</calculatedColumnFormula>
    </tableColumn>
    <tableColumn id="11" xr3:uid="{00000000-0010-0000-0B00-00000B000000}" name="Payment 9" dataDxfId="13" dataCellStyle="Currency">
      <calculatedColumnFormula>Table15[[#This Row],[Adjusted %]]*$K$84</calculatedColumnFormula>
    </tableColumn>
    <tableColumn id="12" xr3:uid="{00000000-0010-0000-0B00-00000C000000}" name="Payment 10" dataDxfId="12" dataCellStyle="Currency">
      <calculatedColumnFormula>Table15[[#This Row],[Adjusted %]]*$L$84</calculatedColumnFormula>
    </tableColumn>
    <tableColumn id="13" xr3:uid="{00000000-0010-0000-0B00-00000D000000}" name="Payment 11" dataDxfId="11" dataCellStyle="Currency">
      <calculatedColumnFormula>Table15[[#This Row],[Adjusted %]]*$M$84</calculatedColumnFormula>
    </tableColumn>
    <tableColumn id="14" xr3:uid="{00000000-0010-0000-0B00-00000E000000}" name="Payment 12" dataDxfId="10" dataCellStyle="Currency">
      <calculatedColumnFormula>Table15[[#This Row],[Adjusted %]]*$N$84</calculatedColumnFormula>
    </tableColumn>
    <tableColumn id="15" xr3:uid="{00000000-0010-0000-0B00-00000F000000}" name="Payment 13" dataDxfId="9" dataCellStyle="Currency">
      <calculatedColumnFormula>Table15[[#This Row],[Adjusted %]]*$O$84</calculatedColumnFormula>
    </tableColumn>
    <tableColumn id="16" xr3:uid="{00000000-0010-0000-0B00-000010000000}" name="Payment 14" dataDxfId="8" dataCellStyle="Currency">
      <calculatedColumnFormula>Table15[[#This Row],[Adjusted %]]*$P$84</calculatedColumnFormula>
    </tableColumn>
    <tableColumn id="17" xr3:uid="{00000000-0010-0000-0B00-000011000000}" name="Payment 15" dataDxfId="7" dataCellStyle="Currency">
      <calculatedColumnFormula>Table15[[#This Row],[Adjusted %]]*$Q$84</calculatedColumnFormula>
    </tableColumn>
    <tableColumn id="18" xr3:uid="{00000000-0010-0000-0B00-000012000000}" name="Total" dataDxfId="6" dataCellStyle="Currency">
      <calculatedColumnFormula>SUM(Table15[[#This Row],[Payment 1]:[Payment 15]])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e11" displayName="Table11" ref="A1:I83" totalsRowShown="0">
  <autoFilter ref="A1:I83" xr:uid="{00000000-0009-0000-0100-00000B000000}"/>
  <tableColumns count="9">
    <tableColumn id="1" xr3:uid="{00000000-0010-0000-0C00-000001000000}" name="Litigant"/>
    <tableColumn id="2" xr3:uid="{00000000-0010-0000-0C00-000002000000}" name="Adjusted Walmart %"/>
    <tableColumn id="3" xr3:uid="{00000000-0010-0000-0C00-000003000000}" name="Payment 1" dataCellStyle="Currency">
      <calculatedColumnFormula>Table11[[#This Row],[Adjusted Walmart %]]*$C$85</calculatedColumnFormula>
    </tableColumn>
    <tableColumn id="4" xr3:uid="{00000000-0010-0000-0C00-000004000000}" name="Payment 2" dataDxfId="5" dataCellStyle="Currency">
      <calculatedColumnFormula>Table11[[#This Row],[Adjusted Walmart %]]*$D$85</calculatedColumnFormula>
    </tableColumn>
    <tableColumn id="5" xr3:uid="{00000000-0010-0000-0C00-000005000000}" name="Payment 3" dataDxfId="4" dataCellStyle="Currency">
      <calculatedColumnFormula>Table11[[#This Row],[Adjusted Walmart %]]*$E$85</calculatedColumnFormula>
    </tableColumn>
    <tableColumn id="6" xr3:uid="{00000000-0010-0000-0C00-000006000000}" name="Payment 4" dataDxfId="3" dataCellStyle="Currency">
      <calculatedColumnFormula>Table11[[#This Row],[Adjusted Walmart %]]*$F$85</calculatedColumnFormula>
    </tableColumn>
    <tableColumn id="7" xr3:uid="{00000000-0010-0000-0C00-000007000000}" name="Payment 5" dataDxfId="2" dataCellStyle="Currency">
      <calculatedColumnFormula>Table11[[#This Row],[Adjusted Walmart %]]*$G$85</calculatedColumnFormula>
    </tableColumn>
    <tableColumn id="8" xr3:uid="{00000000-0010-0000-0C00-000008000000}" name="Payment 6" dataDxfId="1" dataCellStyle="Currency">
      <calculatedColumnFormula>Table11[[#This Row],[Adjusted Walmart %]]*$H$85</calculatedColumnFormula>
    </tableColumn>
    <tableColumn id="9" xr3:uid="{00000000-0010-0000-0C00-000009000000}" name="Total" dataDxfId="0" dataCellStyle="Currency">
      <calculatedColumnFormula>SUM(Table11[[#This Row],[Payment 1]:[Payment 6]])</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45" displayName="Table145" ref="A1:K17" totalsRowShown="0" dataDxfId="126">
  <autoFilter ref="A1:K17" xr:uid="{00000000-0009-0000-0100-000004000000}"/>
  <tableColumns count="11">
    <tableColumn id="1" xr3:uid="{00000000-0010-0000-0100-000001000000}" name="Payment #" dataDxfId="125"/>
    <tableColumn id="12" xr3:uid="{00000000-0010-0000-0100-00000C000000}" name="Approx Date" dataDxfId="124"/>
    <tableColumn id="8" xr3:uid="{00000000-0010-0000-0100-000008000000}" name="County" dataDxfId="123">
      <calculatedColumnFormula>Table14[[#This Row],[Total Less Fees]]*0.7</calculatedColumnFormula>
    </tableColumn>
    <tableColumn id="33" xr3:uid="{00000000-0010-0000-0100-000021000000}" name="Teva County Amount" dataDxfId="122" dataCellStyle="Normal 2">
      <calculatedColumnFormula>(Table14[[#This Row],[Teva]]-Table14[[#This Row],[Teva Attorney Fees]])*0.7</calculatedColumnFormula>
    </tableColumn>
    <tableColumn id="34" xr3:uid="{00000000-0010-0000-0100-000022000000}" name="Allergan County Amount" dataDxfId="121" dataCellStyle="Normal 2">
      <calculatedColumnFormula>(Table14[[#This Row],[Allergan]]-Table14[[#This Row],[Allergan Attorney Fees ]])*0.7</calculatedColumnFormula>
    </tableColumn>
    <tableColumn id="35" xr3:uid="{00000000-0010-0000-0100-000023000000}" name="Walgreens County Amount" dataDxfId="120" dataCellStyle="Normal 2">
      <calculatedColumnFormula>(Table14[[#This Row],[Walgreens]]-Table14[[#This Row],[Walgreens Attorney Fees]])*0.7</calculatedColumnFormula>
    </tableColumn>
    <tableColumn id="36" xr3:uid="{00000000-0010-0000-0100-000024000000}" name="CVS County Amount" dataDxfId="119" dataCellStyle="Normal 2">
      <calculatedColumnFormula>(Table14[[#This Row],[CVS]]-Table14[[#This Row],[CVS Attorney Fees]])*0.7</calculatedColumnFormula>
    </tableColumn>
    <tableColumn id="37" xr3:uid="{00000000-0010-0000-0100-000025000000}" name="Walmart County Amount" dataDxfId="118" dataCellStyle="Normal 2">
      <calculatedColumnFormula>(Table14[[#This Row],[Walmart]]-Table14[[#This Row],[Walmart Attorney Fees]])*0.7</calculatedColumnFormula>
    </tableColumn>
    <tableColumn id="24" xr3:uid="{00000000-0010-0000-0100-000018000000}" name="Walmart Escrow Amount" dataDxfId="117">
      <calculatedColumnFormula>((#REF!-#REF!)*0.15)+((#REF!-#REF!)*0.15)+((#REF!-#REF!)*0.15)</calculatedColumnFormula>
    </tableColumn>
    <tableColumn id="27" xr3:uid="{00000000-0010-0000-0100-00001B000000}" name="Total Teva/Allergan/Walmart " dataDxfId="116">
      <calculatedColumnFormula>(SUM(D2,E2,H2))-Table145[[#This Row],[Walmart Escrow Amount]]</calculatedColumnFormula>
    </tableColumn>
    <tableColumn id="38" xr3:uid="{00000000-0010-0000-0100-000026000000}" name="Total Walgreens/CVS" dataDxfId="115" dataCellStyle="Normal 2">
      <calculatedColumnFormula>SUM(Table145[[#This Row],[Walgreens County Amount]:[CVS County Amount]])</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1:P68" totalsRowShown="0">
  <autoFilter ref="A1:P68" xr:uid="{00000000-0009-0000-0100-000001000000}"/>
  <tableColumns count="16">
    <tableColumn id="1" xr3:uid="{00000000-0010-0000-0200-000001000000}" name="County"/>
    <tableColumn id="2" xr3:uid="{00000000-0010-0000-0200-000002000000}" name="Adjusted % (W/Floors)"/>
    <tableColumn id="3" xr3:uid="{00000000-0010-0000-0200-000003000000}" name="Payment 1" dataCellStyle="Currency">
      <calculatedColumnFormula>Table1[[#This Row],[Adjusted % (W/Floors)]]*$C$70</calculatedColumnFormula>
    </tableColumn>
    <tableColumn id="4" xr3:uid="{00000000-0010-0000-0200-000004000000}" name="Payment 2" dataDxfId="114" dataCellStyle="Currency">
      <calculatedColumnFormula>Table1[[#This Row],[Adjusted % (W/Floors)]]*$D$70</calculatedColumnFormula>
    </tableColumn>
    <tableColumn id="5" xr3:uid="{00000000-0010-0000-0200-000005000000}" name="Payment 3 " dataDxfId="113" dataCellStyle="Currency">
      <calculatedColumnFormula>Table1[[#This Row],[Adjusted % (W/Floors)]]*$E$70</calculatedColumnFormula>
    </tableColumn>
    <tableColumn id="6" xr3:uid="{00000000-0010-0000-0200-000006000000}" name="Payment 4" dataDxfId="112" dataCellStyle="Currency">
      <calculatedColumnFormula>Table1[[#This Row],[Adjusted % (W/Floors)]]*$F$70</calculatedColumnFormula>
    </tableColumn>
    <tableColumn id="7" xr3:uid="{00000000-0010-0000-0200-000007000000}" name="Payment 5" dataDxfId="111" dataCellStyle="Currency">
      <calculatedColumnFormula>Table1[[#This Row],[Adjusted % (W/Floors)]]*$G$70</calculatedColumnFormula>
    </tableColumn>
    <tableColumn id="8" xr3:uid="{00000000-0010-0000-0200-000008000000}" name="Payment 6" dataDxfId="110" dataCellStyle="Currency">
      <calculatedColumnFormula>Table1[[#This Row],[Adjusted % (W/Floors)]]*$H$70</calculatedColumnFormula>
    </tableColumn>
    <tableColumn id="9" xr3:uid="{00000000-0010-0000-0200-000009000000}" name="Payment 7" dataDxfId="109" dataCellStyle="Currency">
      <calculatedColumnFormula>Table1[[#This Row],[Adjusted % (W/Floors)]]*$I$70</calculatedColumnFormula>
    </tableColumn>
    <tableColumn id="10" xr3:uid="{00000000-0010-0000-0200-00000A000000}" name="Payment 8" dataDxfId="108" dataCellStyle="Currency">
      <calculatedColumnFormula>Table1[[#This Row],[Adjusted % (W/Floors)]]*$J$70</calculatedColumnFormula>
    </tableColumn>
    <tableColumn id="11" xr3:uid="{00000000-0010-0000-0200-00000B000000}" name="Payment 9" dataDxfId="107" dataCellStyle="Currency">
      <calculatedColumnFormula>Table1[[#This Row],[Adjusted % (W/Floors)]]*$K$70</calculatedColumnFormula>
    </tableColumn>
    <tableColumn id="12" xr3:uid="{00000000-0010-0000-0200-00000C000000}" name="Payment 10" dataDxfId="106" dataCellStyle="Currency">
      <calculatedColumnFormula>Table1[[#This Row],[Adjusted % (W/Floors)]]*$L$70</calculatedColumnFormula>
    </tableColumn>
    <tableColumn id="13" xr3:uid="{00000000-0010-0000-0200-00000D000000}" name="Payment 11" dataDxfId="105" dataCellStyle="Currency">
      <calculatedColumnFormula>Table1[[#This Row],[Adjusted % (W/Floors)]]*$M$70</calculatedColumnFormula>
    </tableColumn>
    <tableColumn id="14" xr3:uid="{00000000-0010-0000-0200-00000E000000}" name="Payment 12" dataDxfId="104" dataCellStyle="Currency">
      <calculatedColumnFormula>Table1[[#This Row],[Adjusted % (W/Floors)]]*$N$70</calculatedColumnFormula>
    </tableColumn>
    <tableColumn id="15" xr3:uid="{00000000-0010-0000-0200-00000F000000}" name="Payment 13" dataDxfId="103" dataCellStyle="Currency">
      <calculatedColumnFormula>Table1[[#This Row],[Adjusted % (W/Floors)]]*$O$70</calculatedColumnFormula>
    </tableColumn>
    <tableColumn id="16" xr3:uid="{00000000-0010-0000-0200-000010000000}" name="Total" dataDxfId="102" dataCellStyle="Currency">
      <calculatedColumnFormula>SUM(Table1[[#This Row],[Payment 1]:[Payment 13]])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1:R68" totalsRowShown="0">
  <autoFilter ref="A1:R68" xr:uid="{00000000-0009-0000-0100-000005000000}"/>
  <tableColumns count="18">
    <tableColumn id="1" xr3:uid="{00000000-0010-0000-0300-000001000000}" name="County"/>
    <tableColumn id="2" xr3:uid="{00000000-0010-0000-0300-000002000000}" name="Floor % w/ No Philadelphia"/>
    <tableColumn id="3" xr3:uid="{00000000-0010-0000-0300-000003000000}" name="Payment 1" dataDxfId="101">
      <calculatedColumnFormula>Table5[[#This Row],[Floor % w/ No Philadelphia]]*$C$70</calculatedColumnFormula>
    </tableColumn>
    <tableColumn id="4" xr3:uid="{00000000-0010-0000-0300-000004000000}" name="Payment 2" dataDxfId="100">
      <calculatedColumnFormula>Table5[[#This Row],[Floor % w/ No Philadelphia]]*$D$70</calculatedColumnFormula>
    </tableColumn>
    <tableColumn id="5" xr3:uid="{00000000-0010-0000-0300-000005000000}" name="Payment 3 " dataDxfId="99">
      <calculatedColumnFormula>Table5[[#This Row],[Floor % w/ No Philadelphia]]*$E$70</calculatedColumnFormula>
    </tableColumn>
    <tableColumn id="6" xr3:uid="{00000000-0010-0000-0300-000006000000}" name="Payment 4" dataDxfId="98">
      <calculatedColumnFormula>Table5[[#This Row],[Floor % w/ No Philadelphia]]*$F$70</calculatedColumnFormula>
    </tableColumn>
    <tableColumn id="7" xr3:uid="{00000000-0010-0000-0300-000007000000}" name="Payment 5" dataDxfId="97">
      <calculatedColumnFormula>Table5[[#This Row],[Floor % w/ No Philadelphia]]*$G$70</calculatedColumnFormula>
    </tableColumn>
    <tableColumn id="8" xr3:uid="{00000000-0010-0000-0300-000008000000}" name="Payment 6" dataDxfId="96">
      <calculatedColumnFormula>Table5[[#This Row],[Floor % w/ No Philadelphia]]*$H$70</calculatedColumnFormula>
    </tableColumn>
    <tableColumn id="9" xr3:uid="{00000000-0010-0000-0300-000009000000}" name="Payment 7" dataDxfId="95">
      <calculatedColumnFormula>Table5[[#This Row],[Floor % w/ No Philadelphia]]*$I$70</calculatedColumnFormula>
    </tableColumn>
    <tableColumn id="10" xr3:uid="{00000000-0010-0000-0300-00000A000000}" name="Payment 8" dataDxfId="94">
      <calculatedColumnFormula>Table5[[#This Row],[Floor % w/ No Philadelphia]]*$J$70</calculatedColumnFormula>
    </tableColumn>
    <tableColumn id="11" xr3:uid="{00000000-0010-0000-0300-00000B000000}" name="Payment 9" dataDxfId="93">
      <calculatedColumnFormula>Table5[[#This Row],[Floor % w/ No Philadelphia]]*$K$70</calculatedColumnFormula>
    </tableColumn>
    <tableColumn id="12" xr3:uid="{00000000-0010-0000-0300-00000C000000}" name="Payment 10" dataDxfId="92">
      <calculatedColumnFormula>Table5[[#This Row],[Floor % w/ No Philadelphia]]*$L$70</calculatedColumnFormula>
    </tableColumn>
    <tableColumn id="13" xr3:uid="{00000000-0010-0000-0300-00000D000000}" name="Payment 11" dataDxfId="91">
      <calculatedColumnFormula>Table5[[#This Row],[Floor % w/ No Philadelphia]]*$M$70</calculatedColumnFormula>
    </tableColumn>
    <tableColumn id="14" xr3:uid="{00000000-0010-0000-0300-00000E000000}" name="Payment 12" dataDxfId="90">
      <calculatedColumnFormula>Table5[[#This Row],[Floor % w/ No Philadelphia]]*$N$70</calculatedColumnFormula>
    </tableColumn>
    <tableColumn id="15" xr3:uid="{00000000-0010-0000-0300-00000F000000}" name="Payment 13" dataDxfId="89">
      <calculatedColumnFormula>Table5[[#This Row],[Floor % w/ No Philadelphia]]*$O$70</calculatedColumnFormula>
    </tableColumn>
    <tableColumn id="16" xr3:uid="{00000000-0010-0000-0300-000010000000}" name="Payment 14" dataDxfId="88">
      <calculatedColumnFormula>Table5[[#This Row],[Floor % w/ No Philadelphia]]*$P$70</calculatedColumnFormula>
    </tableColumn>
    <tableColumn id="17" xr3:uid="{00000000-0010-0000-0300-000011000000}" name="Payment 15" dataDxfId="87">
      <calculatedColumnFormula>Table5[[#This Row],[Floor % w/ No Philadelphia]]*$Q$70</calculatedColumnFormula>
    </tableColumn>
    <tableColumn id="18" xr3:uid="{00000000-0010-0000-0300-000012000000}" name="Total" dataDxfId="86">
      <calculatedColumnFormula>SUM(Table5[[#This Row],[Payment 1]:[Payment 15]])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I15" totalsRowShown="0" headerRowDxfId="85" dataDxfId="84">
  <autoFilter ref="A1:I15" xr:uid="{00000000-0009-0000-0100-000006000000}"/>
  <tableColumns count="9">
    <tableColumn id="1" xr3:uid="{00000000-0010-0000-0400-000001000000}" name="Payment #" dataDxfId="83"/>
    <tableColumn id="2" xr3:uid="{00000000-0010-0000-0400-000002000000}" name="Approx Date" dataDxfId="82"/>
    <tableColumn id="3" xr3:uid="{00000000-0010-0000-0400-000003000000}" name="Teva/Allergan Litigating" dataDxfId="81" dataCellStyle="Normal 2">
      <calculatedColumnFormula>Table14[[#This Row],[Teva/Allergan Litigating]]</calculatedColumnFormula>
    </tableColumn>
    <tableColumn id="9" xr3:uid="{00000000-0010-0000-0400-000009000000}" name="Teva Bellwether" dataDxfId="80" dataCellStyle="Currency">
      <calculatedColumnFormula>((Table14[[#This Row],[Teva]]-Table14[[#This Row],[Teva Attorney Fees]])*0.15)*0.25</calculatedColumnFormula>
    </tableColumn>
    <tableColumn id="7" xr3:uid="{00000000-0010-0000-0400-000007000000}" name="Teva Litigating Total Less Fees and Bellwether" dataDxfId="79" dataCellStyle="Currency">
      <calculatedColumnFormula>((Table14[[#This Row],[Teva]]-Table14[[#This Row],[Teva Attorney Fees]])*0.15)*0.75</calculatedColumnFormula>
    </tableColumn>
    <tableColumn id="11" xr3:uid="{00000000-0010-0000-0400-00000B000000}" name="Teva Total Litigating" dataDxfId="78" dataCellStyle="Currency">
      <calculatedColumnFormula>Table6[[#This Row],[Teva Bellwether]]+Table6[[#This Row],[Teva Litigating Total Less Fees and Bellwether]]</calculatedColumnFormula>
    </tableColumn>
    <tableColumn id="12" xr3:uid="{00000000-0010-0000-0400-00000C000000}" name="Allergan Bellwether" dataDxfId="77" dataCellStyle="Currency">
      <calculatedColumnFormula>((Table14[[#This Row],[Allergan]]-Table14[[#This Row],[Allergan Attorney Fees ]])*0.15)*0.25</calculatedColumnFormula>
    </tableColumn>
    <tableColumn id="8" xr3:uid="{00000000-0010-0000-0400-000008000000}" name="Allergan Litigating Less Fees and Bellwether" dataDxfId="76" dataCellStyle="Currency">
      <calculatedColumnFormula>((Table14[[#This Row],[Allergan]]-Table14[[#This Row],[Allergan Attorney Fees ]])*0.15)*0.75</calculatedColumnFormula>
    </tableColumn>
    <tableColumn id="13" xr3:uid="{00000000-0010-0000-0400-00000D000000}" name="Total Allergan Litigating" dataDxfId="75" dataCellStyle="Currency">
      <calculatedColumnFormula>Table6[[#This Row],[Allergan Bellwether]]+Table6[[#This Row],[Allergan Litigating Less Fees and Bellwether]]</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P90" totalsRowShown="0">
  <autoFilter ref="A1:P90" xr:uid="{00000000-0009-0000-0100-000007000000}"/>
  <tableColumns count="16">
    <tableColumn id="1" xr3:uid="{00000000-0010-0000-0500-000001000000}" name="Litigant"/>
    <tableColumn id="2" xr3:uid="{00000000-0010-0000-0500-000002000000}" name="Teva Adjusted %"/>
    <tableColumn id="3" xr3:uid="{00000000-0010-0000-0500-000003000000}" name="Payment 1" dataCellStyle="Currency">
      <calculatedColumnFormula>Table7[[#This Row],[Teva Adjusted %]]*$C$92</calculatedColumnFormula>
    </tableColumn>
    <tableColumn id="4" xr3:uid="{00000000-0010-0000-0500-000004000000}" name="Payment 2" dataDxfId="74" dataCellStyle="Currency">
      <calculatedColumnFormula>Table7[[#This Row],[Teva Adjusted %]]*$D$92</calculatedColumnFormula>
    </tableColumn>
    <tableColumn id="5" xr3:uid="{00000000-0010-0000-0500-000005000000}" name="Payment 3 " dataDxfId="73" dataCellStyle="Currency">
      <calculatedColumnFormula>Table7[[#This Row],[Teva Adjusted %]]*$E$92</calculatedColumnFormula>
    </tableColumn>
    <tableColumn id="6" xr3:uid="{00000000-0010-0000-0500-000006000000}" name="Payment 4" dataDxfId="72" dataCellStyle="Currency">
      <calculatedColumnFormula>Table7[[#This Row],[Teva Adjusted %]]*$F$92</calculatedColumnFormula>
    </tableColumn>
    <tableColumn id="7" xr3:uid="{00000000-0010-0000-0500-000007000000}" name="Payment 5" dataDxfId="71" dataCellStyle="Currency">
      <calculatedColumnFormula>Table7[[#This Row],[Teva Adjusted %]]*$G$92</calculatedColumnFormula>
    </tableColumn>
    <tableColumn id="8" xr3:uid="{00000000-0010-0000-0500-000008000000}" name="Payment 6" dataDxfId="70" dataCellStyle="Currency">
      <calculatedColumnFormula>Table7[[#This Row],[Teva Adjusted %]]*$H$92</calculatedColumnFormula>
    </tableColumn>
    <tableColumn id="9" xr3:uid="{00000000-0010-0000-0500-000009000000}" name="Payment 7" dataDxfId="69" dataCellStyle="Currency">
      <calculatedColumnFormula>Table7[[#This Row],[Teva Adjusted %]]*$I$92</calculatedColumnFormula>
    </tableColumn>
    <tableColumn id="10" xr3:uid="{00000000-0010-0000-0500-00000A000000}" name="Payment 8" dataDxfId="68" dataCellStyle="Currency">
      <calculatedColumnFormula>Table7[[#This Row],[Teva Adjusted %]]*$J$92</calculatedColumnFormula>
    </tableColumn>
    <tableColumn id="11" xr3:uid="{00000000-0010-0000-0500-00000B000000}" name="Payment 9" dataDxfId="67" dataCellStyle="Currency">
      <calculatedColumnFormula>Table7[[#This Row],[Teva Adjusted %]]*$K$92</calculatedColumnFormula>
    </tableColumn>
    <tableColumn id="12" xr3:uid="{00000000-0010-0000-0500-00000C000000}" name="Payment 10" dataDxfId="66" dataCellStyle="Currency">
      <calculatedColumnFormula>Table7[[#This Row],[Teva Adjusted %]]*$L$92</calculatedColumnFormula>
    </tableColumn>
    <tableColumn id="13" xr3:uid="{00000000-0010-0000-0500-00000D000000}" name="Payment 11" dataDxfId="65" dataCellStyle="Currency">
      <calculatedColumnFormula>Table7[[#This Row],[Teva Adjusted %]]*$M$92</calculatedColumnFormula>
    </tableColumn>
    <tableColumn id="14" xr3:uid="{00000000-0010-0000-0500-00000E000000}" name="Payment 12" dataDxfId="64" dataCellStyle="Currency">
      <calculatedColumnFormula>Table7[[#This Row],[Teva Adjusted %]]*$N$92</calculatedColumnFormula>
    </tableColumn>
    <tableColumn id="15" xr3:uid="{00000000-0010-0000-0500-00000F000000}" name="Payment 13" dataDxfId="63" dataCellStyle="Currency">
      <calculatedColumnFormula>Table7[[#This Row],[Teva Adjusted %]]*$O$92</calculatedColumnFormula>
    </tableColumn>
    <tableColumn id="16" xr3:uid="{00000000-0010-0000-0500-000010000000}" name="Total" dataDxfId="62" dataCellStyle="Currency">
      <calculatedColumnFormula>SUM(Table7[[#This Row],[Payment 1]:[Payment 13]])</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94:P97" totalsRowShown="0">
  <autoFilter ref="A94:P97" xr:uid="{00000000-0009-0000-0100-000008000000}"/>
  <tableColumns count="16">
    <tableColumn id="1" xr3:uid="{00000000-0010-0000-0600-000001000000}" name="Bellwethers"/>
    <tableColumn id="2" xr3:uid="{00000000-0010-0000-0600-000002000000}" name="Bellwether Percent"/>
    <tableColumn id="3" xr3:uid="{00000000-0010-0000-0600-000003000000}" name="Payment 1" dataDxfId="61">
      <calculatedColumnFormula>Table8[[#This Row],[Bellwether Percent]]*$C$99</calculatedColumnFormula>
    </tableColumn>
    <tableColumn id="4" xr3:uid="{00000000-0010-0000-0600-000004000000}" name="Payment 2" dataDxfId="60">
      <calculatedColumnFormula>Table8[[#This Row],[Bellwether Percent]]*$D$99</calculatedColumnFormula>
    </tableColumn>
    <tableColumn id="5" xr3:uid="{00000000-0010-0000-0600-000005000000}" name="Payment 3 " dataDxfId="59">
      <calculatedColumnFormula>Table8[[#This Row],[Bellwether Percent]]*$E$99</calculatedColumnFormula>
    </tableColumn>
    <tableColumn id="6" xr3:uid="{00000000-0010-0000-0600-000006000000}" name="Payment 4" dataDxfId="58">
      <calculatedColumnFormula>Table8[[#This Row],[Bellwether Percent]]*$F$99</calculatedColumnFormula>
    </tableColumn>
    <tableColumn id="7" xr3:uid="{00000000-0010-0000-0600-000007000000}" name="Payment 5" dataDxfId="57">
      <calculatedColumnFormula>Table8[[#This Row],[Bellwether Percent]]*$G$99</calculatedColumnFormula>
    </tableColumn>
    <tableColumn id="8" xr3:uid="{00000000-0010-0000-0600-000008000000}" name="Payment 6" dataDxfId="56">
      <calculatedColumnFormula>Table8[[#This Row],[Bellwether Percent]]*$H$99</calculatedColumnFormula>
    </tableColumn>
    <tableColumn id="9" xr3:uid="{00000000-0010-0000-0600-000009000000}" name="Payment 7" dataDxfId="55">
      <calculatedColumnFormula>Table8[[#This Row],[Bellwether Percent]]*$I$99</calculatedColumnFormula>
    </tableColumn>
    <tableColumn id="10" xr3:uid="{00000000-0010-0000-0600-00000A000000}" name="Payment 8" dataDxfId="54">
      <calculatedColumnFormula>Table8[[#This Row],[Bellwether Percent]]*$J$99</calculatedColumnFormula>
    </tableColumn>
    <tableColumn id="11" xr3:uid="{00000000-0010-0000-0600-00000B000000}" name="Payment 9" dataDxfId="53">
      <calculatedColumnFormula>Table8[[#This Row],[Bellwether Percent]]*$K$99</calculatedColumnFormula>
    </tableColumn>
    <tableColumn id="12" xr3:uid="{00000000-0010-0000-0600-00000C000000}" name="Payment 10" dataDxfId="52">
      <calculatedColumnFormula>Table8[[#This Row],[Bellwether Percent]]*$L$99</calculatedColumnFormula>
    </tableColumn>
    <tableColumn id="13" xr3:uid="{00000000-0010-0000-0600-00000D000000}" name="Payment 11" dataDxfId="51">
      <calculatedColumnFormula>Table8[[#This Row],[Bellwether Percent]]*$M$99</calculatedColumnFormula>
    </tableColumn>
    <tableColumn id="14" xr3:uid="{00000000-0010-0000-0600-00000E000000}" name="Payment 12" dataDxfId="50">
      <calculatedColumnFormula>Table8[[#This Row],[Bellwether Percent]]*$N$99</calculatedColumnFormula>
    </tableColumn>
    <tableColumn id="15" xr3:uid="{00000000-0010-0000-0600-00000F000000}" name="Payment 13" dataDxfId="49">
      <calculatedColumnFormula>Table8[[#This Row],[Bellwether Percent]]*$O$99</calculatedColumnFormula>
    </tableColumn>
    <tableColumn id="16" xr3:uid="{00000000-0010-0000-0600-000010000000}" name="Total" dataDxfId="48">
      <calculatedColumnFormula>SUM(Table8[[#This Row],[Payment 1]:[Payment 13]])</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1:J82" totalsRowShown="0">
  <autoFilter ref="A1:J82" xr:uid="{00000000-0009-0000-0100-000009000000}"/>
  <tableColumns count="10">
    <tableColumn id="1" xr3:uid="{00000000-0010-0000-0700-000001000000}" name="Litigant"/>
    <tableColumn id="2" xr3:uid="{00000000-0010-0000-0700-000002000000}" name="Allergan Adjusted %"/>
    <tableColumn id="3" xr3:uid="{00000000-0010-0000-0700-000003000000}" name="Payment 1" dataCellStyle="Currency">
      <calculatedColumnFormula>Table9[[#This Row],[Allergan Adjusted %]]*$C$84</calculatedColumnFormula>
    </tableColumn>
    <tableColumn id="4" xr3:uid="{00000000-0010-0000-0700-000004000000}" name="Payment 2" dataDxfId="47" dataCellStyle="Currency">
      <calculatedColumnFormula>Table9[[#This Row],[Allergan Adjusted %]]*$D$84</calculatedColumnFormula>
    </tableColumn>
    <tableColumn id="5" xr3:uid="{00000000-0010-0000-0700-000005000000}" name="Payment 3 " dataDxfId="46" dataCellStyle="Currency">
      <calculatedColumnFormula>Table9[[#This Row],[Allergan Adjusted %]]*$E$84</calculatedColumnFormula>
    </tableColumn>
    <tableColumn id="6" xr3:uid="{00000000-0010-0000-0700-000006000000}" name="Payment 4" dataDxfId="45" dataCellStyle="Currency">
      <calculatedColumnFormula>Table9[[#This Row],[Allergan Adjusted %]]*$F$84</calculatedColumnFormula>
    </tableColumn>
    <tableColumn id="7" xr3:uid="{00000000-0010-0000-0700-000007000000}" name="Payment 5" dataDxfId="44" dataCellStyle="Currency">
      <calculatedColumnFormula>Table9[[#This Row],[Allergan Adjusted %]]*$G$84</calculatedColumnFormula>
    </tableColumn>
    <tableColumn id="8" xr3:uid="{00000000-0010-0000-0700-000008000000}" name="Payment 6" dataDxfId="43" dataCellStyle="Currency">
      <calculatedColumnFormula>Table9[[#This Row],[Allergan Adjusted %]]*$H$84</calculatedColumnFormula>
    </tableColumn>
    <tableColumn id="9" xr3:uid="{00000000-0010-0000-0700-000009000000}" name="Payment 7" dataDxfId="42" dataCellStyle="Currency">
      <calculatedColumnFormula>Table9[[#This Row],[Allergan Adjusted %]]*$I$84</calculatedColumnFormula>
    </tableColumn>
    <tableColumn id="10" xr3:uid="{00000000-0010-0000-0700-00000A000000}" name="Total" dataDxfId="41" dataCellStyle="Currency">
      <calculatedColumnFormula>SUM(Table9[[#This Row],[Payment 1]:[Payment 7]])</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89:J92" totalsRowShown="0" tableBorderDxfId="40">
  <autoFilter ref="A89:J92" xr:uid="{00000000-0009-0000-0100-00000D000000}"/>
  <tableColumns count="10">
    <tableColumn id="1" xr3:uid="{00000000-0010-0000-0800-000001000000}" name="Bellwethers"/>
    <tableColumn id="2" xr3:uid="{00000000-0010-0000-0800-000002000000}" name="Bellwether Percent"/>
    <tableColumn id="3" xr3:uid="{00000000-0010-0000-0800-000003000000}" name="Payment 1" dataDxfId="39">
      <calculatedColumnFormula>Table13[[#This Row],[Bellwether Percent]]*$C$87</calculatedColumnFormula>
    </tableColumn>
    <tableColumn id="4" xr3:uid="{00000000-0010-0000-0800-000004000000}" name="Payment 2" dataDxfId="38">
      <calculatedColumnFormula>Table13[[#This Row],[Bellwether Percent]]*$D$87</calculatedColumnFormula>
    </tableColumn>
    <tableColumn id="5" xr3:uid="{00000000-0010-0000-0800-000005000000}" name="Payment 3 " dataDxfId="37">
      <calculatedColumnFormula>Table13[[#This Row],[Bellwether Percent]]*$E$87</calculatedColumnFormula>
    </tableColumn>
    <tableColumn id="6" xr3:uid="{00000000-0010-0000-0800-000006000000}" name="Payment 4" dataDxfId="36">
      <calculatedColumnFormula>Table13[[#This Row],[Bellwether Percent]]*$F$87</calculatedColumnFormula>
    </tableColumn>
    <tableColumn id="7" xr3:uid="{00000000-0010-0000-0800-000007000000}" name="Payment 5" dataDxfId="35">
      <calculatedColumnFormula>Table13[[#This Row],[Bellwether Percent]]*$G$87</calculatedColumnFormula>
    </tableColumn>
    <tableColumn id="8" xr3:uid="{00000000-0010-0000-0800-000008000000}" name="Payment 6" dataDxfId="34">
      <calculatedColumnFormula>Table13[[#This Row],[Bellwether Percent]]*$H$87</calculatedColumnFormula>
    </tableColumn>
    <tableColumn id="9" xr3:uid="{00000000-0010-0000-0800-000009000000}" name="Payment 7" dataDxfId="33">
      <calculatedColumnFormula>Table13[[#This Row],[Bellwether Percent]]*$I$87</calculatedColumnFormula>
    </tableColumn>
    <tableColumn id="10" xr3:uid="{00000000-0010-0000-0800-00000A000000}" name="Total" dataDxfId="32">
      <calculatedColumnFormula>Table13[[#This Row],[Bellwether Percent]]*$J$87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A3AB-D255-4A08-841A-116EBF7FE70D}">
  <dimension ref="A2:I128"/>
  <sheetViews>
    <sheetView tabSelected="1" workbookViewId="0">
      <selection activeCell="F12" sqref="F12"/>
    </sheetView>
  </sheetViews>
  <sheetFormatPr defaultRowHeight="14.4" x14ac:dyDescent="0.3"/>
  <cols>
    <col min="1" max="1" width="32.88671875" customWidth="1"/>
    <col min="2" max="2" width="28" customWidth="1"/>
    <col min="3" max="4" width="27.33203125" customWidth="1"/>
    <col min="6" max="6" width="18.109375" customWidth="1"/>
    <col min="7" max="7" width="14.33203125" customWidth="1"/>
    <col min="9" max="9" width="20.6640625" customWidth="1"/>
  </cols>
  <sheetData>
    <row r="2" spans="1:9" ht="21" x14ac:dyDescent="0.4">
      <c r="A2" s="77" t="s">
        <v>323</v>
      </c>
      <c r="B2" s="77"/>
      <c r="C2" s="77"/>
      <c r="D2" s="77"/>
    </row>
    <row r="3" spans="1:9" x14ac:dyDescent="0.3">
      <c r="A3" s="51" t="s">
        <v>300</v>
      </c>
      <c r="B3" s="51" t="s">
        <v>326</v>
      </c>
      <c r="C3" s="51" t="s">
        <v>327</v>
      </c>
      <c r="D3" s="51" t="s">
        <v>307</v>
      </c>
    </row>
    <row r="4" spans="1:9" x14ac:dyDescent="0.3">
      <c r="A4" t="s">
        <v>26</v>
      </c>
      <c r="B4" s="18">
        <v>970616.95033234835</v>
      </c>
      <c r="C4" s="18">
        <v>283600.50422579038</v>
      </c>
      <c r="D4" s="18">
        <v>1254217.4545581387</v>
      </c>
    </row>
    <row r="5" spans="1:9" x14ac:dyDescent="0.3">
      <c r="A5" t="s">
        <v>27</v>
      </c>
      <c r="B5" s="18">
        <v>18869437.044020936</v>
      </c>
      <c r="C5" s="18">
        <v>7514884.2867040373</v>
      </c>
      <c r="D5" s="18">
        <v>26384321.330724973</v>
      </c>
    </row>
    <row r="6" spans="1:9" x14ac:dyDescent="0.3">
      <c r="A6" t="s">
        <v>28</v>
      </c>
      <c r="B6" s="18">
        <v>1034485.8998196592</v>
      </c>
      <c r="C6" s="18">
        <v>389144.6012670967</v>
      </c>
      <c r="D6" s="18">
        <v>1423630.5010867559</v>
      </c>
    </row>
    <row r="7" spans="1:9" x14ac:dyDescent="0.3">
      <c r="A7" t="s">
        <v>29</v>
      </c>
      <c r="B7" s="18">
        <v>2297071.0987236788</v>
      </c>
      <c r="C7" s="18">
        <v>835264.09480946523</v>
      </c>
      <c r="D7" s="18">
        <v>3132335.193533144</v>
      </c>
    </row>
    <row r="8" spans="1:9" x14ac:dyDescent="0.3">
      <c r="A8" t="s">
        <v>30</v>
      </c>
      <c r="B8" s="18">
        <v>458479.72656047659</v>
      </c>
      <c r="C8" s="18">
        <v>143409.74482066627</v>
      </c>
      <c r="D8" s="18">
        <v>601889.47138114285</v>
      </c>
    </row>
    <row r="9" spans="1:9" x14ac:dyDescent="0.3">
      <c r="A9" t="s">
        <v>31</v>
      </c>
      <c r="B9" s="18">
        <v>3298410.9545436623</v>
      </c>
      <c r="C9" s="18">
        <v>1134011.3186013559</v>
      </c>
      <c r="D9" s="18">
        <v>4432422.2731450181</v>
      </c>
    </row>
    <row r="10" spans="1:9" x14ac:dyDescent="0.3">
      <c r="A10" t="s">
        <v>32</v>
      </c>
      <c r="B10" s="18">
        <v>1250370.2629768034</v>
      </c>
      <c r="C10" s="18">
        <v>466630.56706138642</v>
      </c>
      <c r="D10" s="18">
        <v>1717000.8300381899</v>
      </c>
    </row>
    <row r="11" spans="1:9" x14ac:dyDescent="0.3">
      <c r="A11" t="s">
        <v>33</v>
      </c>
      <c r="B11" s="18">
        <v>579178.06717593921</v>
      </c>
      <c r="C11" s="18">
        <v>158604.09315924314</v>
      </c>
      <c r="D11" s="18">
        <v>737782.16033518233</v>
      </c>
    </row>
    <row r="12" spans="1:9" x14ac:dyDescent="0.3">
      <c r="A12" t="s">
        <v>34</v>
      </c>
      <c r="B12" s="18">
        <v>9736050.893229153</v>
      </c>
      <c r="C12" s="18">
        <v>3795615.5437010676</v>
      </c>
      <c r="D12" s="18">
        <v>13531666.436930221</v>
      </c>
    </row>
    <row r="13" spans="1:9" x14ac:dyDescent="0.3">
      <c r="A13" t="s">
        <v>35</v>
      </c>
      <c r="B13" s="18">
        <v>2070031.2</v>
      </c>
      <c r="C13" s="18">
        <v>791595.0181447597</v>
      </c>
      <c r="D13" s="18">
        <v>2861626.22</v>
      </c>
      <c r="F13" s="7"/>
      <c r="G13" s="54"/>
      <c r="I13" s="7"/>
    </row>
    <row r="14" spans="1:9" x14ac:dyDescent="0.3">
      <c r="A14" t="s">
        <v>36</v>
      </c>
      <c r="B14" s="18">
        <v>2502276.62</v>
      </c>
      <c r="C14" s="18">
        <v>995875.36197415204</v>
      </c>
      <c r="D14" s="18">
        <v>3498151.99</v>
      </c>
      <c r="F14" s="7"/>
      <c r="G14" s="54"/>
      <c r="I14" s="7"/>
    </row>
    <row r="15" spans="1:9" x14ac:dyDescent="0.3">
      <c r="A15" t="s">
        <v>37</v>
      </c>
      <c r="B15" s="18">
        <v>207442.81293870168</v>
      </c>
      <c r="C15" s="18">
        <v>83122.46508432948</v>
      </c>
      <c r="D15" s="18">
        <v>290565.27802303119</v>
      </c>
    </row>
    <row r="16" spans="1:9" x14ac:dyDescent="0.3">
      <c r="A16" t="s">
        <v>38</v>
      </c>
      <c r="B16" s="18">
        <v>1172527.4789004873</v>
      </c>
      <c r="C16" s="18">
        <v>557354.01533896546</v>
      </c>
      <c r="D16" s="18">
        <v>1729881.4942394528</v>
      </c>
    </row>
    <row r="17" spans="1:4" x14ac:dyDescent="0.3">
      <c r="A17" t="s">
        <v>39</v>
      </c>
      <c r="B17" s="18">
        <v>725842.31704986235</v>
      </c>
      <c r="C17" s="18">
        <v>144557.1984361113</v>
      </c>
      <c r="D17" s="18">
        <v>870399.51548597368</v>
      </c>
    </row>
    <row r="18" spans="1:4" x14ac:dyDescent="0.3">
      <c r="A18" t="s">
        <v>40</v>
      </c>
      <c r="B18" s="18">
        <v>4198476.9976198878</v>
      </c>
      <c r="C18" s="18">
        <v>1653271.2751179212</v>
      </c>
      <c r="D18" s="18">
        <v>5851748.2727378085</v>
      </c>
    </row>
    <row r="19" spans="1:4" x14ac:dyDescent="0.3">
      <c r="A19" t="s">
        <v>41</v>
      </c>
      <c r="B19" s="18">
        <v>363659.21619857074</v>
      </c>
      <c r="C19" s="18">
        <v>106828.78272840472</v>
      </c>
      <c r="D19" s="18">
        <v>470487.99892697547</v>
      </c>
    </row>
    <row r="20" spans="1:4" x14ac:dyDescent="0.3">
      <c r="A20" t="s">
        <v>42</v>
      </c>
      <c r="B20" s="18">
        <v>571154.23303610831</v>
      </c>
      <c r="C20" s="18">
        <v>220112.58031992838</v>
      </c>
      <c r="D20" s="18">
        <v>791266.81335603667</v>
      </c>
    </row>
    <row r="21" spans="1:4" x14ac:dyDescent="0.3">
      <c r="A21" t="s">
        <v>43</v>
      </c>
      <c r="B21" s="18">
        <v>360846.85792175843</v>
      </c>
      <c r="C21" s="18">
        <v>108617.93668223625</v>
      </c>
      <c r="D21" s="18">
        <v>469464.7946039947</v>
      </c>
    </row>
    <row r="22" spans="1:4" x14ac:dyDescent="0.3">
      <c r="A22" t="s">
        <v>44</v>
      </c>
      <c r="B22" s="18">
        <v>716914.49127085577</v>
      </c>
      <c r="C22" s="18">
        <v>234257.33542341884</v>
      </c>
      <c r="D22" s="18">
        <v>951171.82669427455</v>
      </c>
    </row>
    <row r="23" spans="1:4" x14ac:dyDescent="0.3">
      <c r="A23" t="s">
        <v>45</v>
      </c>
      <c r="B23" s="18">
        <v>994384.26435757824</v>
      </c>
      <c r="C23" s="18">
        <v>387991.39525384537</v>
      </c>
      <c r="D23" s="18">
        <v>1382375.6596114235</v>
      </c>
    </row>
    <row r="24" spans="1:4" x14ac:dyDescent="0.3">
      <c r="A24" t="s">
        <v>46</v>
      </c>
      <c r="B24" s="18">
        <v>1994760.6054770893</v>
      </c>
      <c r="C24" s="18">
        <v>758073.83313367469</v>
      </c>
      <c r="D24" s="18">
        <v>2752834.4386107642</v>
      </c>
    </row>
    <row r="25" spans="1:4" x14ac:dyDescent="0.3">
      <c r="A25" t="s">
        <v>47</v>
      </c>
      <c r="B25" s="18">
        <v>3149327.995655546</v>
      </c>
      <c r="C25" s="18">
        <v>1008182.1854999672</v>
      </c>
      <c r="D25" s="18">
        <v>4157510.181155513</v>
      </c>
    </row>
    <row r="26" spans="1:4" x14ac:dyDescent="0.3">
      <c r="A26" t="s">
        <v>48</v>
      </c>
      <c r="B26" s="18">
        <v>10662029.918340402</v>
      </c>
      <c r="C26" s="18">
        <v>4834518.2222579373</v>
      </c>
      <c r="D26" s="18">
        <v>15496548.140598338</v>
      </c>
    </row>
    <row r="27" spans="1:4" x14ac:dyDescent="0.3">
      <c r="A27" t="s">
        <v>49</v>
      </c>
      <c r="B27" s="18">
        <v>272650.47727757576</v>
      </c>
      <c r="C27" s="18">
        <v>97142.398780242991</v>
      </c>
      <c r="D27" s="18">
        <v>369792.87605781876</v>
      </c>
    </row>
    <row r="28" spans="1:4" x14ac:dyDescent="0.3">
      <c r="A28" t="s">
        <v>50</v>
      </c>
      <c r="B28" s="18">
        <v>3597158.8098013531</v>
      </c>
      <c r="C28" s="18">
        <v>1370355.7926125615</v>
      </c>
      <c r="D28" s="18">
        <v>4967514.6024139151</v>
      </c>
    </row>
    <row r="29" spans="1:4" x14ac:dyDescent="0.3">
      <c r="A29" t="s">
        <v>51</v>
      </c>
      <c r="B29" s="18">
        <v>2219421.8074741666</v>
      </c>
      <c r="C29" s="18">
        <v>856191.90219621337</v>
      </c>
      <c r="D29" s="18">
        <v>3075613.7096703798</v>
      </c>
    </row>
    <row r="30" spans="1:4" x14ac:dyDescent="0.3">
      <c r="A30" t="s">
        <v>52</v>
      </c>
      <c r="B30" s="18">
        <v>207442.81293870168</v>
      </c>
      <c r="C30" s="18">
        <v>83122.465084329466</v>
      </c>
      <c r="D30" s="18">
        <v>290565.27802303113</v>
      </c>
    </row>
    <row r="31" spans="1:4" x14ac:dyDescent="0.3">
      <c r="A31" t="s">
        <v>53</v>
      </c>
      <c r="B31" s="18">
        <v>1385778.3522438633</v>
      </c>
      <c r="C31" s="18">
        <v>388610.53841098235</v>
      </c>
      <c r="D31" s="18">
        <v>1774388.8906548456</v>
      </c>
    </row>
    <row r="32" spans="1:4" x14ac:dyDescent="0.3">
      <c r="A32" t="s">
        <v>54</v>
      </c>
      <c r="B32" s="18">
        <v>207442.81293870168</v>
      </c>
      <c r="C32" s="18">
        <v>83122.465084329466</v>
      </c>
      <c r="D32" s="18">
        <v>290565.27802303113</v>
      </c>
    </row>
    <row r="33" spans="1:4" x14ac:dyDescent="0.3">
      <c r="A33" t="s">
        <v>55</v>
      </c>
      <c r="B33" s="18">
        <v>421542.41406548506</v>
      </c>
      <c r="C33" s="18">
        <v>139611.65029561322</v>
      </c>
      <c r="D33" s="18">
        <v>561154.06436109822</v>
      </c>
    </row>
    <row r="34" spans="1:4" x14ac:dyDescent="0.3">
      <c r="A34" t="s">
        <v>56</v>
      </c>
      <c r="B34" s="18">
        <v>430128.07522361673</v>
      </c>
      <c r="C34" s="18">
        <v>129347.8710200832</v>
      </c>
      <c r="D34" s="18">
        <v>559475.94624369987</v>
      </c>
    </row>
    <row r="35" spans="1:4" x14ac:dyDescent="0.3">
      <c r="A35" t="s">
        <v>57</v>
      </c>
      <c r="B35" s="18">
        <v>1205192.2912595426</v>
      </c>
      <c r="C35" s="18">
        <v>451603.00042360835</v>
      </c>
      <c r="D35" s="18">
        <v>1656795.2916831509</v>
      </c>
    </row>
    <row r="36" spans="1:4" x14ac:dyDescent="0.3">
      <c r="A36" t="s">
        <v>58</v>
      </c>
      <c r="B36" s="18">
        <v>333280.79957775166</v>
      </c>
      <c r="C36" s="18">
        <v>109285.17784715709</v>
      </c>
      <c r="D36" s="18">
        <v>442565.97742490878</v>
      </c>
    </row>
    <row r="37" spans="1:4" x14ac:dyDescent="0.3">
      <c r="A37" t="s">
        <v>59</v>
      </c>
      <c r="B37" s="18">
        <v>231045.82442112913</v>
      </c>
      <c r="C37" s="18">
        <v>83122.465084329466</v>
      </c>
      <c r="D37" s="18">
        <v>314168.28950545861</v>
      </c>
    </row>
    <row r="38" spans="1:4" x14ac:dyDescent="0.3">
      <c r="A38" t="s">
        <v>60</v>
      </c>
      <c r="B38" s="18">
        <v>2630058.2348686252</v>
      </c>
      <c r="C38" s="18">
        <v>932022.03751631745</v>
      </c>
      <c r="D38" s="18">
        <v>3562080.2723849425</v>
      </c>
    </row>
    <row r="39" spans="1:4" x14ac:dyDescent="0.3">
      <c r="A39" t="s">
        <v>61</v>
      </c>
      <c r="B39" s="18">
        <v>4063962.279620979</v>
      </c>
      <c r="C39" s="18">
        <v>1310266.1500439572</v>
      </c>
      <c r="D39" s="18">
        <v>5374228.4296649359</v>
      </c>
    </row>
    <row r="40" spans="1:4" x14ac:dyDescent="0.3">
      <c r="A40" t="s">
        <v>62</v>
      </c>
      <c r="B40" s="18">
        <v>1562629.0858617267</v>
      </c>
      <c r="C40" s="18">
        <v>622318.92099990777</v>
      </c>
      <c r="D40" s="18">
        <v>2184948.0068616346</v>
      </c>
    </row>
    <row r="41" spans="1:4" x14ac:dyDescent="0.3">
      <c r="A41" t="s">
        <v>63</v>
      </c>
      <c r="B41" s="18">
        <v>1072141.3325598966</v>
      </c>
      <c r="C41" s="18">
        <v>348671.89247253997</v>
      </c>
      <c r="D41" s="18">
        <v>1420813.2250324367</v>
      </c>
    </row>
    <row r="42" spans="1:4" x14ac:dyDescent="0.3">
      <c r="A42" t="s">
        <v>64</v>
      </c>
      <c r="B42" s="18">
        <v>4225069.6698840838</v>
      </c>
      <c r="C42" s="18">
        <v>1679803.3496341303</v>
      </c>
      <c r="D42" s="18">
        <v>5904873.0195182143</v>
      </c>
    </row>
    <row r="43" spans="1:4" x14ac:dyDescent="0.3">
      <c r="A43" t="s">
        <v>65</v>
      </c>
      <c r="B43" s="18">
        <v>5315591.1512146555</v>
      </c>
      <c r="C43" s="18">
        <v>2119406.6231362368</v>
      </c>
      <c r="D43" s="18">
        <v>7434997.7743508928</v>
      </c>
    </row>
    <row r="44" spans="1:4" x14ac:dyDescent="0.3">
      <c r="A44" t="s">
        <v>66</v>
      </c>
      <c r="B44" s="18">
        <v>1348368.6155228619</v>
      </c>
      <c r="C44" s="18">
        <v>456890.69646670541</v>
      </c>
      <c r="D44" s="18">
        <v>1805259.3119895672</v>
      </c>
    </row>
    <row r="45" spans="1:4" x14ac:dyDescent="0.3">
      <c r="A45" t="s">
        <v>67</v>
      </c>
      <c r="B45" s="18">
        <v>315422.04366096202</v>
      </c>
      <c r="C45" s="18">
        <v>104081.12967562248</v>
      </c>
      <c r="D45" s="18">
        <v>419503.17333658447</v>
      </c>
    </row>
    <row r="46" spans="1:4" x14ac:dyDescent="0.3">
      <c r="A46" t="s">
        <v>68</v>
      </c>
      <c r="B46" s="18">
        <v>1661722.3886893846</v>
      </c>
      <c r="C46" s="18">
        <v>623664.25046414102</v>
      </c>
      <c r="D46" s="18">
        <v>2285386.6391535257</v>
      </c>
    </row>
    <row r="47" spans="1:4" x14ac:dyDescent="0.3">
      <c r="A47" t="s">
        <v>69</v>
      </c>
      <c r="B47" s="18">
        <v>322417.55726217601</v>
      </c>
      <c r="C47" s="18">
        <v>100033.56436080614</v>
      </c>
      <c r="D47" s="18">
        <v>422451.12162298214</v>
      </c>
    </row>
    <row r="48" spans="1:4" x14ac:dyDescent="0.3">
      <c r="A48" t="s">
        <v>70</v>
      </c>
      <c r="B48" s="18">
        <v>1805159.8019492587</v>
      </c>
      <c r="C48" s="18">
        <v>576861.52007699385</v>
      </c>
      <c r="D48" s="18">
        <v>2382021.3220262527</v>
      </c>
    </row>
    <row r="49" spans="1:4" x14ac:dyDescent="0.3">
      <c r="A49" t="s">
        <v>71</v>
      </c>
      <c r="B49" s="18">
        <v>8007211.6182118142</v>
      </c>
      <c r="C49" s="18">
        <v>2918320.0274568968</v>
      </c>
      <c r="D49" s="18">
        <v>10925531.645668712</v>
      </c>
    </row>
    <row r="50" spans="1:4" x14ac:dyDescent="0.3">
      <c r="A50" t="s">
        <v>72</v>
      </c>
      <c r="B50" s="18">
        <v>213304.36250036338</v>
      </c>
      <c r="C50" s="18">
        <v>83122.465084329466</v>
      </c>
      <c r="D50" s="18">
        <v>296426.82758469286</v>
      </c>
    </row>
    <row r="51" spans="1:4" x14ac:dyDescent="0.3">
      <c r="A51" t="s">
        <v>73</v>
      </c>
      <c r="B51" s="18">
        <v>3436384.536189368</v>
      </c>
      <c r="C51" s="18">
        <v>1088269.2812308436</v>
      </c>
      <c r="D51" s="18">
        <v>4524653.8174202116</v>
      </c>
    </row>
    <row r="52" spans="1:4" x14ac:dyDescent="0.3">
      <c r="A52" t="s">
        <v>74</v>
      </c>
      <c r="B52" s="18">
        <v>1118401.1586144825</v>
      </c>
      <c r="C52" s="18">
        <v>396608.23008293327</v>
      </c>
      <c r="D52" s="18">
        <v>1515009.3886974158</v>
      </c>
    </row>
    <row r="53" spans="1:4" x14ac:dyDescent="0.3">
      <c r="A53" t="s">
        <v>75</v>
      </c>
      <c r="B53" s="18">
        <v>388868.59808299725</v>
      </c>
      <c r="C53" s="18">
        <v>133570.8191034504</v>
      </c>
      <c r="D53" s="18">
        <v>522439.41718644765</v>
      </c>
    </row>
    <row r="54" spans="1:4" x14ac:dyDescent="0.3">
      <c r="A54" t="s">
        <v>76</v>
      </c>
      <c r="B54" s="18">
        <v>30501602.348096836</v>
      </c>
      <c r="C54" s="18">
        <v>16438800.633238314</v>
      </c>
      <c r="D54" s="18">
        <v>46940402.981335148</v>
      </c>
    </row>
    <row r="55" spans="1:4" x14ac:dyDescent="0.3">
      <c r="A55" t="s">
        <v>77</v>
      </c>
      <c r="B55" s="18">
        <v>616485.90053309035</v>
      </c>
      <c r="C55" s="18">
        <v>201070.00808830239</v>
      </c>
      <c r="D55" s="18">
        <v>817555.90862139268</v>
      </c>
    </row>
    <row r="56" spans="1:4" x14ac:dyDescent="0.3">
      <c r="A56" t="s">
        <v>78</v>
      </c>
      <c r="B56" s="18">
        <v>208805.05884447737</v>
      </c>
      <c r="C56" s="18">
        <v>83122.465084329466</v>
      </c>
      <c r="D56" s="18">
        <v>291927.52392880683</v>
      </c>
    </row>
    <row r="57" spans="1:4" x14ac:dyDescent="0.3">
      <c r="A57" t="s">
        <v>79</v>
      </c>
      <c r="B57" s="18">
        <v>1829281.8959780743</v>
      </c>
      <c r="C57" s="18">
        <v>653983.01595217292</v>
      </c>
      <c r="D57" s="18">
        <v>2483264.9119302472</v>
      </c>
    </row>
    <row r="58" spans="1:4" x14ac:dyDescent="0.3">
      <c r="A58" t="s">
        <v>80</v>
      </c>
      <c r="B58" s="18">
        <v>273434.6931064548</v>
      </c>
      <c r="C58" s="18">
        <v>83122.465084329466</v>
      </c>
      <c r="D58" s="18">
        <v>356557.15819078428</v>
      </c>
    </row>
    <row r="59" spans="1:4" x14ac:dyDescent="0.3">
      <c r="A59" t="s">
        <v>81</v>
      </c>
      <c r="B59" s="18">
        <v>683716.9980398647</v>
      </c>
      <c r="C59" s="18">
        <v>245747.16253117062</v>
      </c>
      <c r="D59" s="18">
        <v>929464.16057103535</v>
      </c>
    </row>
    <row r="60" spans="1:4" x14ac:dyDescent="0.3">
      <c r="A60" t="s">
        <v>82</v>
      </c>
      <c r="B60" s="18">
        <v>207442.81293870168</v>
      </c>
      <c r="C60" s="18">
        <v>83122.465084329466</v>
      </c>
      <c r="D60" s="18">
        <v>290565.27802303113</v>
      </c>
    </row>
    <row r="61" spans="1:4" x14ac:dyDescent="0.3">
      <c r="A61" t="s">
        <v>83</v>
      </c>
      <c r="B61" s="18">
        <v>298663.55711337773</v>
      </c>
      <c r="C61" s="18">
        <v>95985.999045989782</v>
      </c>
      <c r="D61" s="18">
        <v>394649.55615936749</v>
      </c>
    </row>
    <row r="62" spans="1:4" x14ac:dyDescent="0.3">
      <c r="A62" t="s">
        <v>84</v>
      </c>
      <c r="B62" s="18">
        <v>368289.05470556649</v>
      </c>
      <c r="C62" s="18">
        <v>110215.01602440627</v>
      </c>
      <c r="D62" s="18">
        <v>478504.07072997279</v>
      </c>
    </row>
    <row r="63" spans="1:4" x14ac:dyDescent="0.3">
      <c r="A63" t="s">
        <v>85</v>
      </c>
      <c r="B63" s="18">
        <v>285793.70017845923</v>
      </c>
      <c r="C63" s="18">
        <v>83122.465084329466</v>
      </c>
      <c r="D63" s="18">
        <v>368916.16526278871</v>
      </c>
    </row>
    <row r="64" spans="1:4" x14ac:dyDescent="0.3">
      <c r="A64" t="s">
        <v>86</v>
      </c>
      <c r="B64" s="18">
        <v>520447.15698912548</v>
      </c>
      <c r="C64" s="18">
        <v>194284.79756048598</v>
      </c>
      <c r="D64" s="18">
        <v>714731.95454961143</v>
      </c>
    </row>
    <row r="65" spans="1:5" x14ac:dyDescent="0.3">
      <c r="A65" t="s">
        <v>87</v>
      </c>
      <c r="B65" s="18">
        <v>270227.48867840884</v>
      </c>
      <c r="C65" s="18">
        <v>83122.465084329466</v>
      </c>
      <c r="D65" s="18">
        <v>353349.95376273833</v>
      </c>
    </row>
    <row r="66" spans="1:5" x14ac:dyDescent="0.3">
      <c r="A66" t="s">
        <v>88</v>
      </c>
      <c r="B66" s="18">
        <v>2897489.6731626126</v>
      </c>
      <c r="C66" s="18">
        <v>1075054.5328110165</v>
      </c>
      <c r="D66" s="18">
        <v>3972544.2059736289</v>
      </c>
    </row>
    <row r="67" spans="1:5" x14ac:dyDescent="0.3">
      <c r="A67" t="s">
        <v>89</v>
      </c>
      <c r="B67" s="18">
        <v>498401.05188935355</v>
      </c>
      <c r="C67" s="18">
        <v>182142.01849357184</v>
      </c>
      <c r="D67" s="18">
        <v>680543.07038292545</v>
      </c>
    </row>
    <row r="68" spans="1:5" x14ac:dyDescent="0.3">
      <c r="A68" t="s">
        <v>90</v>
      </c>
      <c r="B68" s="18">
        <v>5402160.1769472659</v>
      </c>
      <c r="C68" s="18">
        <v>2073832.9610313661</v>
      </c>
      <c r="D68" s="18">
        <v>7475993.137978632</v>
      </c>
    </row>
    <row r="69" spans="1:5" x14ac:dyDescent="0.3">
      <c r="A69" t="s">
        <v>91</v>
      </c>
      <c r="B69" s="18">
        <v>379962.46911107551</v>
      </c>
      <c r="C69" s="18">
        <v>139141.16969800138</v>
      </c>
      <c r="D69" s="18">
        <v>519103.63880907686</v>
      </c>
    </row>
    <row r="70" spans="1:5" x14ac:dyDescent="0.3">
      <c r="A70" t="s">
        <v>92</v>
      </c>
      <c r="B70" s="18">
        <v>4346992.813569284</v>
      </c>
      <c r="C70" s="18">
        <v>1754171.3545171593</v>
      </c>
      <c r="D70" s="18">
        <v>6101164.1680864431</v>
      </c>
    </row>
    <row r="71" spans="1:5" x14ac:dyDescent="0.3">
      <c r="B71" s="18"/>
      <c r="C71" s="18"/>
      <c r="D71" s="18">
        <v>0</v>
      </c>
    </row>
    <row r="72" spans="1:5" x14ac:dyDescent="0.3">
      <c r="A72" t="s">
        <v>120</v>
      </c>
      <c r="B72" s="18">
        <v>4870.6960806163224</v>
      </c>
      <c r="C72" s="18">
        <v>3571.4640745660031</v>
      </c>
      <c r="D72" s="18">
        <v>8442.160155182326</v>
      </c>
    </row>
    <row r="73" spans="1:5" x14ac:dyDescent="0.3">
      <c r="A73" t="s">
        <v>122</v>
      </c>
      <c r="B73" s="18">
        <v>54595.197945642984</v>
      </c>
      <c r="C73" s="18">
        <v>87705.599831506814</v>
      </c>
      <c r="D73" s="18">
        <v>142300.7977771498</v>
      </c>
    </row>
    <row r="74" spans="1:5" x14ac:dyDescent="0.3">
      <c r="A74" t="s">
        <v>126</v>
      </c>
      <c r="B74" s="18">
        <v>162420.66113915772</v>
      </c>
      <c r="C74" s="18">
        <v>37670.707897588822</v>
      </c>
      <c r="D74" s="18">
        <v>200091.36903674653</v>
      </c>
    </row>
    <row r="75" spans="1:5" x14ac:dyDescent="0.3">
      <c r="A75" t="s">
        <v>128</v>
      </c>
      <c r="B75" s="18">
        <v>151282.46219220839</v>
      </c>
      <c r="C75" s="18">
        <v>42568.723305648564</v>
      </c>
      <c r="D75" s="18">
        <v>193851.18549785696</v>
      </c>
      <c r="E75" s="18"/>
    </row>
    <row r="76" spans="1:5" x14ac:dyDescent="0.3">
      <c r="A76" t="s">
        <v>136</v>
      </c>
      <c r="B76" s="18">
        <v>74669.257707439654</v>
      </c>
      <c r="C76" s="18">
        <v>20788.473738746172</v>
      </c>
      <c r="D76" s="18">
        <v>95457.731446185819</v>
      </c>
      <c r="E76" s="18"/>
    </row>
    <row r="77" spans="1:5" x14ac:dyDescent="0.3">
      <c r="A77" t="s">
        <v>154</v>
      </c>
      <c r="B77" s="18">
        <v>29867.703082975862</v>
      </c>
      <c r="C77" s="18">
        <v>20788.473738746172</v>
      </c>
      <c r="D77" s="18">
        <v>50656.176821722038</v>
      </c>
      <c r="E77" s="18"/>
    </row>
    <row r="78" spans="1:5" x14ac:dyDescent="0.3">
      <c r="A78" t="s">
        <v>156</v>
      </c>
      <c r="B78" s="18">
        <v>29867.703082975862</v>
      </c>
      <c r="C78" s="18">
        <v>8315.389495498468</v>
      </c>
      <c r="D78" s="18">
        <v>38183.09257847433</v>
      </c>
      <c r="E78" s="18"/>
    </row>
    <row r="79" spans="1:5" x14ac:dyDescent="0.3">
      <c r="A79" t="s">
        <v>157</v>
      </c>
      <c r="B79" s="18">
        <v>74669.257707439654</v>
      </c>
      <c r="C79" s="18">
        <v>8315.389495498468</v>
      </c>
      <c r="D79" s="18">
        <v>82984.647202938126</v>
      </c>
      <c r="E79" s="18"/>
    </row>
    <row r="80" spans="1:5" x14ac:dyDescent="0.3">
      <c r="A80" t="s">
        <v>159</v>
      </c>
      <c r="B80" s="18">
        <v>29867.703082975862</v>
      </c>
      <c r="C80" s="18">
        <v>8315.389495498468</v>
      </c>
      <c r="D80" s="18">
        <v>38183.09257847433</v>
      </c>
      <c r="E80" s="18"/>
    </row>
    <row r="81" spans="1:5" x14ac:dyDescent="0.3">
      <c r="A81" t="s">
        <v>162</v>
      </c>
      <c r="B81" s="18">
        <v>74669.257707439654</v>
      </c>
      <c r="C81" s="18">
        <v>20788.473738746172</v>
      </c>
      <c r="D81" s="18">
        <v>95457.731446185819</v>
      </c>
      <c r="E81" s="18"/>
    </row>
    <row r="82" spans="1:5" x14ac:dyDescent="0.3">
      <c r="A82" t="s">
        <v>163</v>
      </c>
      <c r="B82" s="18">
        <v>79462.681040387382</v>
      </c>
      <c r="C82" s="18">
        <v>21550.974738554487</v>
      </c>
      <c r="D82" s="18">
        <v>101013.65577894187</v>
      </c>
      <c r="E82" s="18"/>
    </row>
    <row r="83" spans="1:5" x14ac:dyDescent="0.3">
      <c r="A83" t="s">
        <v>166</v>
      </c>
      <c r="B83" s="18">
        <v>74669.257707439654</v>
      </c>
      <c r="C83" s="18">
        <v>20788.473738746172</v>
      </c>
      <c r="D83" s="18">
        <v>95457.731446185819</v>
      </c>
      <c r="E83" s="18"/>
    </row>
    <row r="84" spans="1:5" x14ac:dyDescent="0.3">
      <c r="A84" t="s">
        <v>170</v>
      </c>
      <c r="B84" s="18">
        <v>29867.703082975866</v>
      </c>
      <c r="C84" s="18">
        <v>7486.259937979502</v>
      </c>
      <c r="D84" s="18">
        <v>37353.963020955365</v>
      </c>
      <c r="E84" s="18"/>
    </row>
    <row r="85" spans="1:5" x14ac:dyDescent="0.3">
      <c r="A85" t="s">
        <v>272</v>
      </c>
      <c r="B85" s="18">
        <v>84785.548029554862</v>
      </c>
      <c r="C85" s="18">
        <v>22636.476168284684</v>
      </c>
      <c r="D85" s="18">
        <v>107422.02419783955</v>
      </c>
      <c r="E85" s="18"/>
    </row>
    <row r="86" spans="1:5" x14ac:dyDescent="0.3">
      <c r="A86" t="s">
        <v>273</v>
      </c>
      <c r="B86" s="18">
        <v>74669.257707439654</v>
      </c>
      <c r="C86" s="18">
        <v>20788.473738746172</v>
      </c>
      <c r="D86" s="18">
        <v>95457.731446185819</v>
      </c>
      <c r="E86" s="18"/>
    </row>
    <row r="87" spans="1:5" x14ac:dyDescent="0.3">
      <c r="A87" t="s">
        <v>274</v>
      </c>
      <c r="B87" s="18">
        <v>4870.6960806163224</v>
      </c>
      <c r="C87" s="18">
        <v>3571.4640745660031</v>
      </c>
      <c r="D87" s="18">
        <v>8442.160155182326</v>
      </c>
      <c r="E87" s="18"/>
    </row>
    <row r="88" spans="1:5" x14ac:dyDescent="0.3">
      <c r="A88" t="s">
        <v>275</v>
      </c>
      <c r="B88" s="18">
        <v>106927.27523171801</v>
      </c>
      <c r="C88" s="18">
        <v>26986.779764616716</v>
      </c>
      <c r="D88" s="18">
        <v>133914.05499633471</v>
      </c>
      <c r="E88" s="18"/>
    </row>
    <row r="89" spans="1:5" x14ac:dyDescent="0.3">
      <c r="A89" t="s">
        <v>276</v>
      </c>
      <c r="B89" s="18">
        <v>29867.703082975862</v>
      </c>
      <c r="C89" s="18">
        <v>7486.259937979502</v>
      </c>
      <c r="D89" s="18">
        <v>37353.963020955365</v>
      </c>
      <c r="E89" s="18"/>
    </row>
    <row r="90" spans="1:5" x14ac:dyDescent="0.3">
      <c r="A90" t="s">
        <v>277</v>
      </c>
      <c r="B90" s="18">
        <v>74669.257707439654</v>
      </c>
      <c r="C90" s="18">
        <v>20788.473738746172</v>
      </c>
      <c r="D90" s="18">
        <v>95457.731446185819</v>
      </c>
      <c r="E90" s="18"/>
    </row>
    <row r="91" spans="1:5" x14ac:dyDescent="0.3">
      <c r="A91" t="s">
        <v>278</v>
      </c>
      <c r="B91" s="18">
        <v>12176.740201540804</v>
      </c>
      <c r="C91" s="18">
        <v>8928.6601864150089</v>
      </c>
      <c r="D91" s="18">
        <v>21105.400387955815</v>
      </c>
      <c r="E91" s="18"/>
    </row>
    <row r="92" spans="1:5" x14ac:dyDescent="0.3">
      <c r="A92" t="s">
        <v>279</v>
      </c>
      <c r="B92" s="18">
        <v>74669.257707439654</v>
      </c>
      <c r="C92" s="18">
        <v>18715.649844948755</v>
      </c>
      <c r="D92" s="18">
        <v>93384.907552388409</v>
      </c>
      <c r="E92" s="18"/>
    </row>
    <row r="93" spans="1:5" x14ac:dyDescent="0.3">
      <c r="A93" t="s">
        <v>280</v>
      </c>
      <c r="B93" s="18">
        <v>89207.008550639934</v>
      </c>
      <c r="C93" s="18">
        <v>20954.026998816644</v>
      </c>
      <c r="D93" s="18">
        <v>110161.03554945657</v>
      </c>
      <c r="E93" s="18"/>
    </row>
    <row r="94" spans="1:5" x14ac:dyDescent="0.3">
      <c r="A94" t="s">
        <v>281</v>
      </c>
      <c r="B94" s="18">
        <v>590212.16643055796</v>
      </c>
      <c r="C94" s="18">
        <v>206258.7056205452</v>
      </c>
      <c r="D94" s="18">
        <v>796470.87205110316</v>
      </c>
      <c r="E94" s="18"/>
    </row>
    <row r="95" spans="1:5" x14ac:dyDescent="0.3">
      <c r="A95" t="s">
        <v>282</v>
      </c>
      <c r="B95" s="18">
        <v>29867.703082975862</v>
      </c>
      <c r="C95" s="18">
        <v>8414.3668216855731</v>
      </c>
      <c r="D95" s="18">
        <v>38282.069904661432</v>
      </c>
      <c r="E95" s="18"/>
    </row>
    <row r="96" spans="1:5" x14ac:dyDescent="0.3">
      <c r="A96" t="s">
        <v>283</v>
      </c>
      <c r="B96" s="18">
        <v>179387.38257481411</v>
      </c>
      <c r="C96" s="18">
        <v>112899.11777716527</v>
      </c>
      <c r="D96" s="18">
        <v>292286.5003519794</v>
      </c>
      <c r="E96" s="18"/>
    </row>
    <row r="97" spans="1:5" x14ac:dyDescent="0.3">
      <c r="A97" t="s">
        <v>284</v>
      </c>
      <c r="B97" s="18">
        <v>29867.703082975862</v>
      </c>
      <c r="C97" s="18">
        <v>8315.389495498468</v>
      </c>
      <c r="D97" s="18">
        <v>38183.09257847433</v>
      </c>
      <c r="E97" s="18"/>
    </row>
    <row r="98" spans="1:5" x14ac:dyDescent="0.3">
      <c r="A98" t="s">
        <v>285</v>
      </c>
      <c r="B98" s="18">
        <v>4870.6960806163224</v>
      </c>
      <c r="C98" s="18">
        <v>3571.4640745660031</v>
      </c>
      <c r="D98" s="18">
        <v>8442.160155182326</v>
      </c>
      <c r="E98" s="18"/>
    </row>
    <row r="99" spans="1:5" x14ac:dyDescent="0.3">
      <c r="A99" t="s">
        <v>286</v>
      </c>
      <c r="B99" s="18">
        <v>4870.6960806163224</v>
      </c>
      <c r="C99" s="18">
        <v>3571.4640745660031</v>
      </c>
      <c r="D99" s="18">
        <v>8442.160155182326</v>
      </c>
      <c r="E99" s="18"/>
    </row>
    <row r="100" spans="1:5" x14ac:dyDescent="0.3">
      <c r="A100" t="s">
        <v>287</v>
      </c>
      <c r="B100" s="18">
        <v>85513.849009843747</v>
      </c>
      <c r="C100" s="18">
        <v>22811.232230983016</v>
      </c>
      <c r="D100" s="18">
        <v>108325.08124082677</v>
      </c>
      <c r="E100" s="18"/>
    </row>
    <row r="101" spans="1:5" x14ac:dyDescent="0.3">
      <c r="A101" t="s">
        <v>288</v>
      </c>
      <c r="B101" s="18">
        <v>74649.074474329973</v>
      </c>
      <c r="C101" s="18">
        <v>21141.805268209355</v>
      </c>
      <c r="D101" s="18">
        <v>95790.879742539328</v>
      </c>
      <c r="E101" s="18"/>
    </row>
    <row r="102" spans="1:5" x14ac:dyDescent="0.3">
      <c r="A102" t="s">
        <v>289</v>
      </c>
      <c r="B102" s="18">
        <v>74669.257707439654</v>
      </c>
      <c r="C102" s="18">
        <v>18715.649844948755</v>
      </c>
      <c r="D102" s="18">
        <v>93384.907552388409</v>
      </c>
      <c r="E102" s="18"/>
    </row>
    <row r="103" spans="1:5" x14ac:dyDescent="0.3">
      <c r="A103" t="s">
        <v>290</v>
      </c>
      <c r="B103" s="18">
        <v>29867.703082975862</v>
      </c>
      <c r="C103" s="18">
        <v>8315.389495498468</v>
      </c>
      <c r="D103" s="18">
        <v>38183.09257847433</v>
      </c>
      <c r="E103" s="18"/>
    </row>
    <row r="104" spans="1:5" x14ac:dyDescent="0.3">
      <c r="A104" t="s">
        <v>320</v>
      </c>
      <c r="B104" s="18">
        <v>29867.703082975862</v>
      </c>
      <c r="C104" s="18">
        <v>30177.924298852129</v>
      </c>
      <c r="D104" s="18">
        <v>60045.627381827988</v>
      </c>
      <c r="E104" s="18"/>
    </row>
    <row r="105" spans="1:5" x14ac:dyDescent="0.3">
      <c r="A105" t="s">
        <v>321</v>
      </c>
      <c r="B105" s="18">
        <v>103979.63627603347</v>
      </c>
      <c r="C105" s="18">
        <v>8315.389495498468</v>
      </c>
      <c r="D105" s="18">
        <v>112295.02577153195</v>
      </c>
      <c r="E105" s="18"/>
    </row>
    <row r="106" spans="1:5" x14ac:dyDescent="0.3">
      <c r="A106" t="s">
        <v>291</v>
      </c>
      <c r="B106" s="18">
        <v>29867.703082975862</v>
      </c>
      <c r="C106" s="18">
        <v>8315.389495498468</v>
      </c>
      <c r="D106" s="18">
        <v>38183.09257847433</v>
      </c>
      <c r="E106" s="18"/>
    </row>
    <row r="107" spans="1:5" x14ac:dyDescent="0.3">
      <c r="A107" t="s">
        <v>292</v>
      </c>
      <c r="B107" s="18">
        <v>29867.703082975862</v>
      </c>
      <c r="C107" s="18">
        <v>8315.389495498468</v>
      </c>
      <c r="D107" s="18">
        <v>38183.09257847433</v>
      </c>
      <c r="E107" s="18"/>
    </row>
    <row r="108" spans="1:5" x14ac:dyDescent="0.3">
      <c r="B108" s="18"/>
      <c r="C108" s="18"/>
      <c r="D108" s="18"/>
      <c r="E108" s="18"/>
    </row>
    <row r="109" spans="1:5" x14ac:dyDescent="0.3">
      <c r="B109" s="18"/>
      <c r="C109" s="18"/>
      <c r="D109" s="18"/>
      <c r="E109" s="18"/>
    </row>
    <row r="110" spans="1:5" x14ac:dyDescent="0.3">
      <c r="A110" t="s">
        <v>141</v>
      </c>
      <c r="B110" s="18">
        <v>0</v>
      </c>
      <c r="C110" s="18"/>
      <c r="D110" s="18">
        <v>0</v>
      </c>
      <c r="E110" s="18"/>
    </row>
    <row r="111" spans="1:5" x14ac:dyDescent="0.3">
      <c r="A111" t="s">
        <v>219</v>
      </c>
      <c r="B111" s="18">
        <v>214896.08937189227</v>
      </c>
      <c r="C111" s="18"/>
      <c r="D111" s="18">
        <v>214896.08937189227</v>
      </c>
      <c r="E111" s="18"/>
    </row>
    <row r="112" spans="1:5" x14ac:dyDescent="0.3">
      <c r="A112" t="s">
        <v>270</v>
      </c>
      <c r="B112" s="18">
        <v>622973.43733341503</v>
      </c>
      <c r="C112" s="18">
        <v>238760.59496536897</v>
      </c>
      <c r="D112" s="18">
        <v>861734.032298784</v>
      </c>
      <c r="E112" s="18"/>
    </row>
    <row r="113" spans="1:5" x14ac:dyDescent="0.3">
      <c r="A113" t="s">
        <v>263</v>
      </c>
      <c r="B113" s="18">
        <v>939202.37712265039</v>
      </c>
      <c r="C113" s="18">
        <v>359093.29860740341</v>
      </c>
      <c r="D113" s="18">
        <v>1298295.6757300538</v>
      </c>
      <c r="E113" s="18"/>
    </row>
    <row r="114" spans="1:5" x14ac:dyDescent="0.3">
      <c r="A114" t="s">
        <v>220</v>
      </c>
      <c r="B114" s="18">
        <v>240313.75889498217</v>
      </c>
      <c r="C114" s="18"/>
      <c r="D114" s="18">
        <v>240313.75889498217</v>
      </c>
      <c r="E114" s="18"/>
    </row>
    <row r="115" spans="1:5" x14ac:dyDescent="0.3">
      <c r="A115" t="s">
        <v>267</v>
      </c>
      <c r="B115" s="18">
        <v>776322.44348398224</v>
      </c>
      <c r="C115" s="18">
        <v>297087.07433745137</v>
      </c>
      <c r="D115" s="18">
        <v>1073409.5178214335</v>
      </c>
      <c r="E115" s="18"/>
    </row>
    <row r="116" spans="1:5" x14ac:dyDescent="0.3">
      <c r="A116" t="s">
        <v>271</v>
      </c>
      <c r="B116" s="18">
        <v>125712.0716168253</v>
      </c>
      <c r="C116" s="18">
        <v>44852.593828359277</v>
      </c>
      <c r="D116" s="18">
        <v>170564.66544518457</v>
      </c>
      <c r="E116" s="18"/>
    </row>
    <row r="117" spans="1:5" x14ac:dyDescent="0.3">
      <c r="A117" t="s">
        <v>269</v>
      </c>
      <c r="B117" s="18">
        <v>459217.90797949082</v>
      </c>
      <c r="C117" s="18">
        <v>159069.86468561328</v>
      </c>
      <c r="D117" s="18">
        <v>618287.77266510413</v>
      </c>
      <c r="E117" s="18"/>
    </row>
    <row r="118" spans="1:5" x14ac:dyDescent="0.3">
      <c r="A118" t="s">
        <v>264</v>
      </c>
      <c r="B118" s="18">
        <v>837940.08580417302</v>
      </c>
      <c r="C118" s="18">
        <v>321147.95682843629</v>
      </c>
      <c r="D118" s="18">
        <v>1159088.0426326094</v>
      </c>
      <c r="E118" s="18"/>
    </row>
    <row r="119" spans="1:5" x14ac:dyDescent="0.3">
      <c r="A119" t="s">
        <v>148</v>
      </c>
      <c r="B119" s="18">
        <v>134516.61264138829</v>
      </c>
      <c r="C119" s="18">
        <v>150754.89000000001</v>
      </c>
      <c r="D119" s="18">
        <v>285271.50264138833</v>
      </c>
      <c r="E119" s="18"/>
    </row>
    <row r="120" spans="1:5" x14ac:dyDescent="0.3">
      <c r="A120" t="s">
        <v>221</v>
      </c>
      <c r="B120" s="18">
        <v>109309.80855563477</v>
      </c>
      <c r="C120" s="18"/>
      <c r="D120" s="18">
        <v>109309.80855563477</v>
      </c>
      <c r="E120" s="18"/>
    </row>
    <row r="121" spans="1:5" x14ac:dyDescent="0.3">
      <c r="A121" t="s">
        <v>265</v>
      </c>
      <c r="B121" s="18">
        <v>566515.02199102356</v>
      </c>
      <c r="C121" s="18">
        <v>311769.16591880505</v>
      </c>
      <c r="D121" s="18">
        <v>878284.18790982862</v>
      </c>
      <c r="E121" s="18"/>
    </row>
    <row r="122" spans="1:5" x14ac:dyDescent="0.3">
      <c r="A122" t="s">
        <v>268</v>
      </c>
      <c r="B122" s="18">
        <v>491532.64976684726</v>
      </c>
      <c r="C122" s="18">
        <v>173872.10722895872</v>
      </c>
      <c r="D122" s="18">
        <v>665404.756995806</v>
      </c>
      <c r="E122" s="18"/>
    </row>
    <row r="123" spans="1:5" x14ac:dyDescent="0.3">
      <c r="A123" t="s">
        <v>151</v>
      </c>
      <c r="B123" s="18">
        <v>1689495.0178600661</v>
      </c>
      <c r="C123" s="18"/>
      <c r="D123" s="18">
        <v>1689495.0178600661</v>
      </c>
      <c r="E123" s="18"/>
    </row>
    <row r="124" spans="1:5" x14ac:dyDescent="0.3">
      <c r="A124" t="s">
        <v>266</v>
      </c>
      <c r="B124" s="18">
        <v>542301.48251389852</v>
      </c>
      <c r="C124" s="18">
        <v>197185.09885792132</v>
      </c>
      <c r="D124" s="18">
        <v>739486.58137181983</v>
      </c>
      <c r="E124" s="18"/>
    </row>
    <row r="125" spans="1:5" x14ac:dyDescent="0.3">
      <c r="A125" t="s">
        <v>153</v>
      </c>
      <c r="B125" s="58">
        <v>83956.388168166857</v>
      </c>
      <c r="C125" s="58"/>
      <c r="D125" s="58">
        <v>83956.388168166857</v>
      </c>
      <c r="E125" s="18"/>
    </row>
    <row r="126" spans="1:5" x14ac:dyDescent="0.3">
      <c r="B126" s="18"/>
      <c r="C126" s="18"/>
      <c r="D126" s="18"/>
      <c r="E126" s="18"/>
    </row>
    <row r="127" spans="1:5" ht="15" thickBot="1" x14ac:dyDescent="0.35">
      <c r="A127" s="16" t="s">
        <v>6</v>
      </c>
      <c r="B127" s="76">
        <v>176324956.08752412</v>
      </c>
      <c r="C127" s="76">
        <v>70653231.419232368</v>
      </c>
      <c r="D127" s="76">
        <v>246978187.50675631</v>
      </c>
      <c r="E127" s="18"/>
    </row>
    <row r="128" spans="1:5" ht="15" thickTop="1" x14ac:dyDescent="0.3"/>
  </sheetData>
  <mergeCells count="1">
    <mergeCell ref="A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workbookViewId="0">
      <selection activeCell="E25" sqref="E25"/>
    </sheetView>
  </sheetViews>
  <sheetFormatPr defaultRowHeight="14.4" x14ac:dyDescent="0.3"/>
  <cols>
    <col min="1" max="1" width="13.5546875" customWidth="1"/>
    <col min="2" max="2" width="23.5546875" customWidth="1"/>
    <col min="3" max="3" width="36.44140625" customWidth="1"/>
    <col min="4" max="4" width="24.33203125" customWidth="1"/>
    <col min="5" max="5" width="19.5546875" customWidth="1"/>
    <col min="6" max="6" width="30.44140625" customWidth="1"/>
    <col min="7" max="7" width="19.44140625" customWidth="1"/>
    <col min="8" max="8" width="27" customWidth="1"/>
    <col min="9" max="9" width="40.6640625" customWidth="1"/>
    <col min="10" max="10" width="16.6640625" customWidth="1"/>
  </cols>
  <sheetData>
    <row r="1" spans="1:9" ht="15.6" x14ac:dyDescent="0.3">
      <c r="A1" s="31" t="s">
        <v>0</v>
      </c>
      <c r="B1" s="31" t="s">
        <v>1</v>
      </c>
      <c r="C1" s="31" t="s">
        <v>236</v>
      </c>
      <c r="D1" s="31" t="s">
        <v>238</v>
      </c>
      <c r="E1" s="31" t="s">
        <v>239</v>
      </c>
      <c r="F1" s="31" t="s">
        <v>240</v>
      </c>
      <c r="G1" s="33" t="s">
        <v>217</v>
      </c>
      <c r="H1" s="31" t="s">
        <v>235</v>
      </c>
      <c r="I1" s="31" t="s">
        <v>241</v>
      </c>
    </row>
    <row r="2" spans="1:9" ht="15.6" x14ac:dyDescent="0.3">
      <c r="A2" s="12">
        <v>1</v>
      </c>
      <c r="B2" s="12">
        <v>2024</v>
      </c>
      <c r="C2" s="5">
        <f>Table14[[#This Row],[Pharmacies Litigating]]</f>
        <v>21076016.411173847</v>
      </c>
      <c r="D2" s="32">
        <f>((Table14[[#This Row],[Walgreens]]-Table14[[#This Row],[Walgreens Attorney Fees]])*0.15)</f>
        <v>1840233.897749502</v>
      </c>
      <c r="E2" s="32">
        <f>((Table14[[#This Row],[CVS]]-Table14[[#This Row],[CVS Attorney Fees]])*0.15)</f>
        <v>1433107.2977141619</v>
      </c>
      <c r="F2" s="32">
        <f>Table10[[#This Row],[Walgreens Litigating]]+Table10[[#This Row],[CVS Litigating]]</f>
        <v>3273341.1954636639</v>
      </c>
      <c r="G2" s="32">
        <f>Table14[[#This Row],[Litigating Sub Escrow]]</f>
        <v>1043597.8835978836</v>
      </c>
      <c r="H2" s="32">
        <f>(((Table14[[#This Row],[Walmart]]-Table14[[#This Row],[Walmart Attorney Fees]])*0.15))</f>
        <v>17802675.215710178</v>
      </c>
      <c r="I2" s="32">
        <f>Table10[[#This Row],[Walmart Litigating Subs]]-Table10[[#This Row],[Walmart Escrow]]</f>
        <v>16759077.332112294</v>
      </c>
    </row>
    <row r="3" spans="1:9" ht="15.6" x14ac:dyDescent="0.3">
      <c r="A3" s="20">
        <v>2</v>
      </c>
      <c r="B3" s="21">
        <v>46006</v>
      </c>
      <c r="C3" s="6">
        <f>Table14[[#This Row],[Pharmacies Litigating]]</f>
        <v>3273341.196213665</v>
      </c>
      <c r="D3" s="32">
        <f>((Table14[[#This Row],[Walgreens]]-Table14[[#This Row],[Walgreens Attorney Fees]])*0.15)</f>
        <v>1840233.8984995021</v>
      </c>
      <c r="E3" s="32">
        <f>((Table14[[#This Row],[CVS]]-Table14[[#This Row],[CVS Attorney Fees]])*0.15)</f>
        <v>1433107.2977141622</v>
      </c>
      <c r="F3" s="32">
        <f>Table10[[#This Row],[Walgreens Litigating]]+Table10[[#This Row],[CVS Litigating]]</f>
        <v>3273341.1962136645</v>
      </c>
      <c r="G3" s="32">
        <f>Table14[[#This Row],[Litigating Sub Escrow]]</f>
        <v>0</v>
      </c>
      <c r="H3" s="25">
        <f>(((Table14[[#This Row],[Walmart]]-Table14[[#This Row],[Walmart Attorney Fees]])*0.15))</f>
        <v>0</v>
      </c>
      <c r="I3" s="25">
        <f>Table10[[#This Row],[Walmart Litigating Subs]]-Table10[[#This Row],[Walmart Escrow]]</f>
        <v>0</v>
      </c>
    </row>
    <row r="4" spans="1:9" ht="15.6" x14ac:dyDescent="0.3">
      <c r="A4" s="22">
        <v>3</v>
      </c>
      <c r="B4" s="23">
        <v>46371</v>
      </c>
      <c r="C4" s="24">
        <f>Table14[[#This Row],[Pharmacies Litigating]]</f>
        <v>2514687.7870600289</v>
      </c>
      <c r="D4" s="32">
        <f>((Table14[[#This Row],[Walgreens]]-Table14[[#This Row],[Walgreens Attorney Fees]])*0.15)</f>
        <v>905310.40901683364</v>
      </c>
      <c r="E4" s="32">
        <f>((Table14[[#This Row],[CVS]]-Table14[[#This Row],[CVS Attorney Fees]])*0.15)</f>
        <v>1521884.9670834385</v>
      </c>
      <c r="F4" s="32">
        <f>Table10[[#This Row],[Walgreens Litigating]]+Table10[[#This Row],[CVS Litigating]]</f>
        <v>2427195.3761002719</v>
      </c>
      <c r="G4" s="32">
        <f>Table14[[#This Row],[Litigating Sub Escrow]]</f>
        <v>0</v>
      </c>
      <c r="H4" s="32">
        <f>(((Table14[[#This Row],[Walmart]]-Table14[[#This Row],[Walmart Attorney Fees]])*0.15))</f>
        <v>87492.410959756788</v>
      </c>
      <c r="I4" s="32">
        <f>Table10[[#This Row],[Walmart Litigating Subs]]-Table10[[#This Row],[Walmart Escrow]]</f>
        <v>87492.410959756788</v>
      </c>
    </row>
    <row r="5" spans="1:9" ht="15.6" x14ac:dyDescent="0.3">
      <c r="A5" s="20">
        <v>4</v>
      </c>
      <c r="B5" s="21">
        <v>46736</v>
      </c>
      <c r="C5" s="25">
        <f>Table14[[#This Row],[Pharmacies Litigating]]</f>
        <v>2514687.7870600289</v>
      </c>
      <c r="D5" s="32">
        <f>((Table14[[#This Row],[Walgreens]]-Table14[[#This Row],[Walgreens Attorney Fees]])*0.15)</f>
        <v>905310.40901683364</v>
      </c>
      <c r="E5" s="32">
        <f>((Table14[[#This Row],[CVS]]-Table14[[#This Row],[CVS Attorney Fees]])*0.15)</f>
        <v>1521884.9670834385</v>
      </c>
      <c r="F5" s="32">
        <f>Table10[[#This Row],[Walgreens Litigating]]+Table10[[#This Row],[CVS Litigating]]</f>
        <v>2427195.3761002719</v>
      </c>
      <c r="G5" s="32">
        <f>Table14[[#This Row],[Litigating Sub Escrow]]</f>
        <v>0</v>
      </c>
      <c r="H5" s="32">
        <f>(((Table14[[#This Row],[Walmart]]-Table14[[#This Row],[Walmart Attorney Fees]])*0.15))</f>
        <v>87492.410959756788</v>
      </c>
      <c r="I5" s="32">
        <f>Table10[[#This Row],[Walmart Litigating Subs]]-Table10[[#This Row],[Walmart Escrow]]</f>
        <v>87492.410959756788</v>
      </c>
    </row>
    <row r="6" spans="1:9" ht="15.6" x14ac:dyDescent="0.3">
      <c r="A6" s="22">
        <v>5</v>
      </c>
      <c r="B6" s="23">
        <v>47102</v>
      </c>
      <c r="C6" s="24">
        <f>Table14[[#This Row],[Pharmacies Litigating]]</f>
        <v>2514687.7870600289</v>
      </c>
      <c r="D6" s="32">
        <f>((Table14[[#This Row],[Walgreens]]-Table14[[#This Row],[Walgreens Attorney Fees]])*0.15)</f>
        <v>905310.40901683364</v>
      </c>
      <c r="E6" s="32">
        <f>((Table14[[#This Row],[CVS]]-Table14[[#This Row],[CVS Attorney Fees]])*0.15)</f>
        <v>1521884.9670834385</v>
      </c>
      <c r="F6" s="32">
        <f>Table10[[#This Row],[Walgreens Litigating]]+Table10[[#This Row],[CVS Litigating]]</f>
        <v>2427195.3761002719</v>
      </c>
      <c r="G6" s="32">
        <f>Table14[[#This Row],[Litigating Sub Escrow]]</f>
        <v>0</v>
      </c>
      <c r="H6" s="32">
        <f>(((Table14[[#This Row],[Walmart]]-Table14[[#This Row],[Walmart Attorney Fees]])*0.15))</f>
        <v>87492.410959756788</v>
      </c>
      <c r="I6" s="32">
        <f>Table10[[#This Row],[Walmart Litigating Subs]]-Table10[[#This Row],[Walmart Escrow]]</f>
        <v>87492.410959756788</v>
      </c>
    </row>
    <row r="7" spans="1:9" ht="15.6" x14ac:dyDescent="0.3">
      <c r="A7" s="20">
        <v>6</v>
      </c>
      <c r="B7" s="21">
        <v>47467</v>
      </c>
      <c r="C7" s="25">
        <f>Table14[[#This Row],[Pharmacies Litigating]]</f>
        <v>3224658.2620939268</v>
      </c>
      <c r="D7" s="32">
        <f>((Table14[[#This Row],[Walgreens]]-Table14[[#This Row],[Walgreens Attorney Fees]])*0.15)</f>
        <v>1240489.9566128566</v>
      </c>
      <c r="E7" s="32">
        <f>((Table14[[#This Row],[CVS]]-Table14[[#This Row],[CVS Attorney Fees]])*0.15)</f>
        <v>1845730.9463675313</v>
      </c>
      <c r="F7" s="32">
        <f>Table10[[#This Row],[Walgreens Litigating]]+Table10[[#This Row],[CVS Litigating]]</f>
        <v>3086220.9029803881</v>
      </c>
      <c r="G7" s="32">
        <f>Table14[[#This Row],[Litigating Sub Escrow]]</f>
        <v>0</v>
      </c>
      <c r="H7" s="32">
        <f>(((Table14[[#This Row],[Walmart]]-Table14[[#This Row],[Walmart Attorney Fees]])*0.15))</f>
        <v>138437.35911353922</v>
      </c>
      <c r="I7" s="32">
        <f>Table10[[#This Row],[Walmart Litigating Subs]]-Table10[[#This Row],[Walmart Escrow]]</f>
        <v>138437.35911353922</v>
      </c>
    </row>
    <row r="8" spans="1:9" ht="15.6" x14ac:dyDescent="0.3">
      <c r="A8" s="22">
        <v>7</v>
      </c>
      <c r="B8" s="23">
        <v>47832</v>
      </c>
      <c r="C8" s="24">
        <f>Table14[[#This Row],[Pharmacies Litigating]]</f>
        <v>3008132.6791339652</v>
      </c>
      <c r="D8" s="32">
        <f>((Table14[[#This Row],[Walgreens]]-Table14[[#This Row],[Walgreens Attorney Fees]])*0.15)</f>
        <v>1240489.9566128566</v>
      </c>
      <c r="E8" s="32">
        <f>((Table14[[#This Row],[CVS]]-Table14[[#This Row],[CVS Attorney Fees]])*0.15)</f>
        <v>1767642.7225211083</v>
      </c>
      <c r="F8" s="32">
        <f>Table10[[#This Row],[Walgreens Litigating]]+Table10[[#This Row],[CVS Litigating]]</f>
        <v>3008132.6791339647</v>
      </c>
      <c r="G8" s="32">
        <f>Table14[[#This Row],[Litigating Sub Escrow]]</f>
        <v>0</v>
      </c>
      <c r="H8" s="32">
        <f>(((Table14[[#This Row],[Walmart]]-Table14[[#This Row],[Walmart Attorney Fees]])*0.15))</f>
        <v>0</v>
      </c>
      <c r="I8" s="32">
        <f>Table10[[#This Row],[Walmart Litigating Subs]]-Table10[[#This Row],[Walmart Escrow]]</f>
        <v>0</v>
      </c>
    </row>
    <row r="9" spans="1:9" ht="15.6" x14ac:dyDescent="0.3">
      <c r="A9" s="20">
        <v>8</v>
      </c>
      <c r="B9" s="21">
        <v>48197</v>
      </c>
      <c r="C9" s="25">
        <f>Table14[[#This Row],[Pharmacies Litigating]]</f>
        <v>3271270.0549567519</v>
      </c>
      <c r="D9" s="32">
        <f>((Table14[[#This Row],[Walgreens]]-Table14[[#This Row],[Walgreens Attorney Fees]])*0.15)</f>
        <v>1581715.5562820663</v>
      </c>
      <c r="E9" s="32">
        <f>((Table14[[#This Row],[CVS]]-Table14[[#This Row],[CVS Attorney Fees]])*0.15)</f>
        <v>1689554.4986746854</v>
      </c>
      <c r="F9" s="32">
        <f>Table10[[#This Row],[Walgreens Litigating]]+Table10[[#This Row],[CVS Litigating]]</f>
        <v>3271270.0549567519</v>
      </c>
      <c r="G9" s="32">
        <f>Table14[[#This Row],[Litigating Sub Escrow]]</f>
        <v>0</v>
      </c>
      <c r="H9" s="32">
        <f>(((Table14[[#This Row],[Walmart]]-Table14[[#This Row],[Walmart Attorney Fees]])*0.15))</f>
        <v>0</v>
      </c>
      <c r="I9" s="32">
        <f>Table10[[#This Row],[Walmart Litigating Subs]]-Table10[[#This Row],[Walmart Escrow]]</f>
        <v>0</v>
      </c>
    </row>
    <row r="10" spans="1:9" ht="15.6" x14ac:dyDescent="0.3">
      <c r="A10" s="22">
        <v>9</v>
      </c>
      <c r="B10" s="23">
        <v>48563</v>
      </c>
      <c r="C10" s="24">
        <f>Table14[[#This Row],[Pharmacies Litigating]]</f>
        <v>3270030.7478513415</v>
      </c>
      <c r="D10" s="32">
        <f>((Table14[[#This Row],[Walgreens]]-Table14[[#This Row],[Walgreens Attorney Fees]])*0.15)</f>
        <v>1581715.5562820663</v>
      </c>
      <c r="E10" s="32">
        <f>((Table14[[#This Row],[CVS]]-Table14[[#This Row],[CVS Attorney Fees]])*0.15)</f>
        <v>1688315.1915692752</v>
      </c>
      <c r="F10" s="32">
        <f>Table10[[#This Row],[Walgreens Litigating]]+Table10[[#This Row],[CVS Litigating]]</f>
        <v>3270030.7478513415</v>
      </c>
      <c r="G10" s="32">
        <f>Table14[[#This Row],[Litigating Sub Escrow]]</f>
        <v>0</v>
      </c>
      <c r="H10" s="32">
        <f>(((Table14[[#This Row],[Walmart]]-Table14[[#This Row],[Walmart Attorney Fees]])*0.15))</f>
        <v>0</v>
      </c>
      <c r="I10" s="32">
        <f>Table10[[#This Row],[Walmart Litigating Subs]]-Table10[[#This Row],[Walmart Escrow]]</f>
        <v>0</v>
      </c>
    </row>
    <row r="11" spans="1:9" ht="15.6" x14ac:dyDescent="0.3">
      <c r="A11" s="20">
        <v>10</v>
      </c>
      <c r="B11" s="21">
        <v>48928</v>
      </c>
      <c r="C11" s="25">
        <f>Table14[[#This Row],[Pharmacies Litigating]]</f>
        <v>3270030.7506042873</v>
      </c>
      <c r="D11" s="32">
        <f>((Table14[[#This Row],[Walgreens]]-Table14[[#This Row],[Walgreens Attorney Fees]])*0.15)</f>
        <v>1581715.5562820663</v>
      </c>
      <c r="E11" s="32">
        <f>((Table14[[#This Row],[CVS]]-Table14[[#This Row],[CVS Attorney Fees]])*0.15)</f>
        <v>1688315.1943222207</v>
      </c>
      <c r="F11" s="32">
        <f>Table10[[#This Row],[Walgreens Litigating]]+Table10[[#This Row],[CVS Litigating]]</f>
        <v>3270030.7506042868</v>
      </c>
      <c r="G11" s="32">
        <f>Table14[[#This Row],[Litigating Sub Escrow]]</f>
        <v>0</v>
      </c>
      <c r="H11" s="32">
        <f>(((Table14[[#This Row],[Walmart]]-Table14[[#This Row],[Walmart Attorney Fees]])*0.15))</f>
        <v>0</v>
      </c>
      <c r="I11" s="32">
        <f>Table10[[#This Row],[Walmart Litigating Subs]]-Table10[[#This Row],[Walmart Escrow]]</f>
        <v>0</v>
      </c>
    </row>
    <row r="12" spans="1:9" ht="15.6" x14ac:dyDescent="0.3">
      <c r="A12" s="22">
        <v>11</v>
      </c>
      <c r="B12" s="23">
        <v>49293</v>
      </c>
      <c r="C12" s="24">
        <f>Table14[[#This Row],[Pharmacies Litigating]]</f>
        <v>1581715.5562820663</v>
      </c>
      <c r="D12" s="32">
        <f>((Table14[[#This Row],[Walgreens]]-Table14[[#This Row],[Walgreens Attorney Fees]])*0.15)</f>
        <v>1581715.5562820663</v>
      </c>
      <c r="E12" s="32">
        <f>((Table14[[#This Row],[CVS]]-Table14[[#This Row],[CVS Attorney Fees]])*0.15)</f>
        <v>0</v>
      </c>
      <c r="F12" s="32">
        <f>Table10[[#This Row],[Walgreens Litigating]]+Table10[[#This Row],[CVS Litigating]]</f>
        <v>1581715.5562820663</v>
      </c>
      <c r="G12" s="32">
        <f>Table14[[#This Row],[Litigating Sub Escrow]]</f>
        <v>0</v>
      </c>
      <c r="H12" s="32">
        <f>(((Table14[[#This Row],[Walmart]]-Table14[[#This Row],[Walmart Attorney Fees]])*0.15))</f>
        <v>0</v>
      </c>
      <c r="I12" s="32">
        <f>Table10[[#This Row],[Walmart Litigating Subs]]-Table10[[#This Row],[Walmart Escrow]]</f>
        <v>0</v>
      </c>
    </row>
    <row r="13" spans="1:9" ht="15.6" x14ac:dyDescent="0.3">
      <c r="A13" s="20">
        <v>12</v>
      </c>
      <c r="B13" s="21">
        <v>49658</v>
      </c>
      <c r="C13" s="25">
        <f>Table14[[#This Row],[Pharmacies Litigating]]</f>
        <v>1581715.5562820663</v>
      </c>
      <c r="D13" s="32">
        <f>((Table14[[#This Row],[Walgreens]]-Table14[[#This Row],[Walgreens Attorney Fees]])*0.15)</f>
        <v>1581715.5562820663</v>
      </c>
      <c r="E13" s="32">
        <f>((Table14[[#This Row],[CVS]]-Table14[[#This Row],[CVS Attorney Fees]])*0.15)</f>
        <v>0</v>
      </c>
      <c r="F13" s="32">
        <f>Table10[[#This Row],[Walgreens Litigating]]+Table10[[#This Row],[CVS Litigating]]</f>
        <v>1581715.5562820663</v>
      </c>
      <c r="G13" s="32">
        <f>Table14[[#This Row],[Litigating Sub Escrow]]</f>
        <v>0</v>
      </c>
      <c r="H13" s="32">
        <f>(((Table14[[#This Row],[Walmart]]-Table14[[#This Row],[Walmart Attorney Fees]])*0.15))</f>
        <v>0</v>
      </c>
      <c r="I13" s="32">
        <f>Table10[[#This Row],[Walmart Litigating Subs]]-Table10[[#This Row],[Walmart Escrow]]</f>
        <v>0</v>
      </c>
    </row>
    <row r="14" spans="1:9" ht="15.6" x14ac:dyDescent="0.3">
      <c r="A14" s="22">
        <v>13</v>
      </c>
      <c r="B14" s="23">
        <v>50024</v>
      </c>
      <c r="C14" s="24">
        <f>Table14[[#This Row],[Pharmacies Litigating]]</f>
        <v>1581715.5562820663</v>
      </c>
      <c r="D14" s="32">
        <f>((Table14[[#This Row],[Walgreens]]-Table14[[#This Row],[Walgreens Attorney Fees]])*0.15)</f>
        <v>1581715.5562820663</v>
      </c>
      <c r="E14" s="32">
        <f>((Table14[[#This Row],[CVS]]-Table14[[#This Row],[CVS Attorney Fees]])*0.15)</f>
        <v>0</v>
      </c>
      <c r="F14" s="32">
        <f>Table10[[#This Row],[Walgreens Litigating]]+Table10[[#This Row],[CVS Litigating]]</f>
        <v>1581715.5562820663</v>
      </c>
      <c r="G14" s="32">
        <f>Table14[[#This Row],[Litigating Sub Escrow]]</f>
        <v>0</v>
      </c>
      <c r="H14" s="32">
        <f>(((Table14[[#This Row],[Walmart]]-Table14[[#This Row],[Walmart Attorney Fees]])*0.15))</f>
        <v>0</v>
      </c>
      <c r="I14" s="32">
        <f>Table10[[#This Row],[Walmart Litigating Subs]]-Table10[[#This Row],[Walmart Escrow]]</f>
        <v>0</v>
      </c>
    </row>
    <row r="15" spans="1:9" ht="15.6" x14ac:dyDescent="0.3">
      <c r="A15" s="20">
        <v>14</v>
      </c>
      <c r="B15" s="21">
        <v>50389</v>
      </c>
      <c r="C15" s="25">
        <f>Table14[[#This Row],[Pharmacies Litigating]]</f>
        <v>1581715.5562820663</v>
      </c>
      <c r="D15" s="32">
        <f>((Table14[[#This Row],[Walgreens]]-Table14[[#This Row],[Walgreens Attorney Fees]])*0.15)</f>
        <v>1581715.5562820663</v>
      </c>
      <c r="E15" s="32">
        <f>((Table14[[#This Row],[CVS]]-Table14[[#This Row],[CVS Attorney Fees]])*0.15)</f>
        <v>0</v>
      </c>
      <c r="F15" s="32">
        <f>Table10[[#This Row],[Walgreens Litigating]]+Table10[[#This Row],[CVS Litigating]]</f>
        <v>1581715.5562820663</v>
      </c>
      <c r="G15" s="32">
        <f>Table14[[#This Row],[Litigating Sub Escrow]]</f>
        <v>0</v>
      </c>
      <c r="H15" s="32">
        <f>(((Table14[[#This Row],[Walmart]]-Table14[[#This Row],[Walmart Attorney Fees]])*0.15))</f>
        <v>0</v>
      </c>
      <c r="I15" s="32">
        <f>Table10[[#This Row],[Walmart Litigating Subs]]-Table10[[#This Row],[Walmart Escrow]]</f>
        <v>0</v>
      </c>
    </row>
    <row r="16" spans="1:9" ht="15.6" x14ac:dyDescent="0.3">
      <c r="A16" s="22">
        <v>15</v>
      </c>
      <c r="B16" s="23">
        <v>50754</v>
      </c>
      <c r="C16" s="24">
        <f>Table14[[#This Row],[Pharmacies Litigating]]</f>
        <v>1581715.5562820663</v>
      </c>
      <c r="D16" s="32">
        <f>((Table14[[#This Row],[Walgreens]]-Table14[[#This Row],[Walgreens Attorney Fees]])*0.15)</f>
        <v>1581715.5562820663</v>
      </c>
      <c r="E16" s="32">
        <f>((Table14[[#This Row],[CVS]]-Table14[[#This Row],[CVS Attorney Fees]])*0.15)</f>
        <v>0</v>
      </c>
      <c r="F16" s="32">
        <f>Table10[[#This Row],[Walgreens Litigating]]+Table10[[#This Row],[CVS Litigating]]</f>
        <v>1581715.5562820663</v>
      </c>
      <c r="G16" s="32">
        <f>Table14[[#This Row],[Litigating Sub Escrow]]</f>
        <v>0</v>
      </c>
      <c r="H16" s="32">
        <f>(((Table14[[#This Row],[Walmart]]-Table14[[#This Row],[Walmart Attorney Fees]])*0.15))</f>
        <v>0</v>
      </c>
      <c r="I16" s="32">
        <f>Table10[[#This Row],[Walmart Litigating Subs]]-Table10[[#This Row],[Walmart Escrow]]</f>
        <v>0</v>
      </c>
    </row>
    <row r="17" spans="1:9" ht="15.6" x14ac:dyDescent="0.3">
      <c r="A17" s="25" t="s">
        <v>6</v>
      </c>
      <c r="B17" s="25"/>
      <c r="C17" s="25">
        <f>SUM(C2:C16)</f>
        <v>55846121.2446182</v>
      </c>
      <c r="D17" s="25">
        <f>((Table14[[#This Row],[Walgreens]]-Table14[[#This Row],[Walgreens Attorney Fees]])*0.15)</f>
        <v>21531103.386781745</v>
      </c>
      <c r="E17" s="25">
        <f>((Table14[[#This Row],[CVS]]-Table14[[#This Row],[CVS Attorney Fees]])*0.15)</f>
        <v>16111428.050133461</v>
      </c>
      <c r="F17" s="25">
        <f>Table10[[#This Row],[Walgreens Litigating]]+Table10[[#This Row],[CVS Litigating]]</f>
        <v>37642531.436915204</v>
      </c>
      <c r="G17" s="25">
        <f t="shared" ref="G17" si="0">SUM(G2:G16)</f>
        <v>1043597.8835978836</v>
      </c>
      <c r="H17" s="25">
        <f>(((Table14[[#This Row],[Walmart]]-Table14[[#This Row],[Walmart Attorney Fees]])*0.15))</f>
        <v>18203589.807702988</v>
      </c>
      <c r="I17" s="25">
        <f>Table10[[#This Row],[Walmart Litigating Subs]]-Table10[[#This Row],[Walmart Escrow]]</f>
        <v>17159991.924105104</v>
      </c>
    </row>
    <row r="19" spans="1:9" x14ac:dyDescent="0.3">
      <c r="A19" t="s">
        <v>234</v>
      </c>
    </row>
    <row r="20" spans="1:9" x14ac:dyDescent="0.3">
      <c r="D20" s="7"/>
    </row>
    <row r="23" spans="1:9" x14ac:dyDescent="0.3">
      <c r="G23" s="7"/>
      <c r="H23" s="7"/>
    </row>
    <row r="24" spans="1:9" x14ac:dyDescent="0.3">
      <c r="G24" s="7"/>
    </row>
    <row r="25" spans="1:9" x14ac:dyDescent="0.3">
      <c r="G25" s="7"/>
      <c r="H25" s="7"/>
    </row>
    <row r="26" spans="1:9" x14ac:dyDescent="0.3">
      <c r="H26" s="7"/>
    </row>
    <row r="27" spans="1:9" x14ac:dyDescent="0.3">
      <c r="G27" s="7"/>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91"/>
  <sheetViews>
    <sheetView workbookViewId="0">
      <selection activeCell="E1" sqref="E1"/>
    </sheetView>
  </sheetViews>
  <sheetFormatPr defaultRowHeight="14.4" x14ac:dyDescent="0.3"/>
  <cols>
    <col min="1" max="1" width="30.44140625" customWidth="1"/>
    <col min="2" max="2" width="20.33203125" customWidth="1"/>
    <col min="3" max="18" width="16.6640625" customWidth="1"/>
  </cols>
  <sheetData>
    <row r="1" spans="1:18" x14ac:dyDescent="0.3">
      <c r="A1" t="s">
        <v>117</v>
      </c>
      <c r="B1" t="s">
        <v>218</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119</v>
      </c>
      <c r="B2">
        <v>1.6898834612310891E-2</v>
      </c>
      <c r="C2" s="18">
        <f>Table15[[#This Row],[Adjusted %]]*$C$84</f>
        <v>55315.65149180447</v>
      </c>
      <c r="D2" s="18">
        <f>Table15[[#This Row],[Adjusted %]]*$D$84</f>
        <v>55315.651504478607</v>
      </c>
      <c r="E2" s="18">
        <f>Table15[[#This Row],[Adjusted %]]*$E$84</f>
        <v>41016.773232484229</v>
      </c>
      <c r="F2" s="18">
        <f>Table15[[#This Row],[Adjusted %]]*$F$84</f>
        <v>41016.773232484229</v>
      </c>
      <c r="G2" s="18">
        <f>Table15[[#This Row],[Adjusted %]]*$G$84</f>
        <v>41016.773232484229</v>
      </c>
      <c r="H2" s="18">
        <f>Table15[[#This Row],[Adjusted %]]*$H$84</f>
        <v>52153.536616522353</v>
      </c>
      <c r="I2" s="18">
        <f>Table15[[#This Row],[Adjusted %]]*$I$84</f>
        <v>50833.936636572536</v>
      </c>
      <c r="J2" s="18">
        <f>Table15[[#This Row],[Adjusted %]]*$J$84</f>
        <v>55280.65163091931</v>
      </c>
      <c r="K2" s="18">
        <f>Table15[[#This Row],[Adjusted %]]*$K$84</f>
        <v>55259.708785111114</v>
      </c>
      <c r="L2" s="18">
        <f>Table15[[#This Row],[Adjusted %]]*$L$84</f>
        <v>55259.708831632684</v>
      </c>
      <c r="M2" s="18">
        <f>Table15[[#This Row],[Adjusted %]]*$M$84</f>
        <v>26729.149589329958</v>
      </c>
      <c r="N2" s="18">
        <f>Table15[[#This Row],[Adjusted %]]*$N$84</f>
        <v>26729.149589329958</v>
      </c>
      <c r="O2" s="18">
        <f>Table15[[#This Row],[Adjusted %]]*$O$84</f>
        <v>26729.149589329958</v>
      </c>
      <c r="P2" s="18">
        <f>Table15[[#This Row],[Adjusted %]]*$P$84</f>
        <v>26729.149589329958</v>
      </c>
      <c r="Q2" s="18">
        <f>Table15[[#This Row],[Adjusted %]]*$Q$84</f>
        <v>26729.149589329958</v>
      </c>
      <c r="R2" s="18">
        <f>SUM(Table15[[#This Row],[Payment 1]:[Payment 15]])</f>
        <v>636114.91314114351</v>
      </c>
    </row>
    <row r="3" spans="1:18" x14ac:dyDescent="0.3">
      <c r="A3" t="s">
        <v>121</v>
      </c>
      <c r="B3">
        <v>8.9986420618649629E-2</v>
      </c>
      <c r="C3" s="18">
        <f>Table15[[#This Row],[Adjusted %]]*$C$84</f>
        <v>294556.25764334667</v>
      </c>
      <c r="D3" s="18">
        <f>Table15[[#This Row],[Adjusted %]]*$D$84</f>
        <v>294556.25771083654</v>
      </c>
      <c r="E3" s="18">
        <f>Table15[[#This Row],[Adjusted %]]*$E$84</f>
        <v>218414.62403740056</v>
      </c>
      <c r="F3" s="18">
        <f>Table15[[#This Row],[Adjusted %]]*$F$84</f>
        <v>218414.62403740056</v>
      </c>
      <c r="G3" s="18">
        <f>Table15[[#This Row],[Adjusted %]]*$G$84</f>
        <v>218414.62403740056</v>
      </c>
      <c r="H3" s="18">
        <f>Table15[[#This Row],[Adjusted %]]*$H$84</f>
        <v>277717.97229766188</v>
      </c>
      <c r="I3" s="18">
        <f>Table15[[#This Row],[Adjusted %]]*$I$84</f>
        <v>270691.09254125436</v>
      </c>
      <c r="J3" s="18">
        <f>Table15[[#This Row],[Adjusted %]]*$J$84</f>
        <v>294369.88312253135</v>
      </c>
      <c r="K3" s="18">
        <f>Table15[[#This Row],[Adjusted %]]*$K$84</f>
        <v>294258.36231206823</v>
      </c>
      <c r="L3" s="18">
        <f>Table15[[#This Row],[Adjusted %]]*$L$84</f>
        <v>294258.3625597959</v>
      </c>
      <c r="M3" s="18">
        <f>Table15[[#This Row],[Adjusted %]]*$M$84</f>
        <v>142332.92134665939</v>
      </c>
      <c r="N3" s="18">
        <f>Table15[[#This Row],[Adjusted %]]*$N$84</f>
        <v>142332.92134665939</v>
      </c>
      <c r="O3" s="18">
        <f>Table15[[#This Row],[Adjusted %]]*$O$84</f>
        <v>142332.92134665939</v>
      </c>
      <c r="P3" s="18">
        <f>Table15[[#This Row],[Adjusted %]]*$P$84</f>
        <v>142332.92134665939</v>
      </c>
      <c r="Q3" s="18">
        <f>Table15[[#This Row],[Adjusted %]]*$Q$84</f>
        <v>142332.92134665939</v>
      </c>
      <c r="R3" s="18">
        <f>SUM(Table15[[#This Row],[Payment 1]:[Payment 15]])</f>
        <v>3387316.6670329934</v>
      </c>
    </row>
    <row r="4" spans="1:18" x14ac:dyDescent="0.3">
      <c r="A4" t="s">
        <v>123</v>
      </c>
      <c r="B4">
        <v>8.4494173061554455E-3</v>
      </c>
      <c r="C4" s="18">
        <f>Table15[[#This Row],[Adjusted %]]*$C$84</f>
        <v>27657.825745902235</v>
      </c>
      <c r="D4" s="18">
        <f>Table15[[#This Row],[Adjusted %]]*$D$84</f>
        <v>27657.825752239303</v>
      </c>
      <c r="E4" s="18">
        <f>Table15[[#This Row],[Adjusted %]]*$E$84</f>
        <v>20508.386616242115</v>
      </c>
      <c r="F4" s="18">
        <f>Table15[[#This Row],[Adjusted %]]*$F$84</f>
        <v>20508.386616242115</v>
      </c>
      <c r="G4" s="18">
        <f>Table15[[#This Row],[Adjusted %]]*$G$84</f>
        <v>20508.386616242115</v>
      </c>
      <c r="H4" s="18">
        <f>Table15[[#This Row],[Adjusted %]]*$H$84</f>
        <v>26076.768308261177</v>
      </c>
      <c r="I4" s="18">
        <f>Table15[[#This Row],[Adjusted %]]*$I$84</f>
        <v>25416.968318286268</v>
      </c>
      <c r="J4" s="18">
        <f>Table15[[#This Row],[Adjusted %]]*$J$84</f>
        <v>27640.325815459655</v>
      </c>
      <c r="K4" s="18">
        <f>Table15[[#This Row],[Adjusted %]]*$K$84</f>
        <v>27629.854392555557</v>
      </c>
      <c r="L4" s="18">
        <f>Table15[[#This Row],[Adjusted %]]*$L$84</f>
        <v>27629.854415816342</v>
      </c>
      <c r="M4" s="18">
        <f>Table15[[#This Row],[Adjusted %]]*$M$84</f>
        <v>13364.574794664979</v>
      </c>
      <c r="N4" s="18">
        <f>Table15[[#This Row],[Adjusted %]]*$N$84</f>
        <v>13364.574794664979</v>
      </c>
      <c r="O4" s="18">
        <f>Table15[[#This Row],[Adjusted %]]*$O$84</f>
        <v>13364.574794664979</v>
      </c>
      <c r="P4" s="18">
        <f>Table15[[#This Row],[Adjusted %]]*$P$84</f>
        <v>13364.574794664979</v>
      </c>
      <c r="Q4" s="18">
        <f>Table15[[#This Row],[Adjusted %]]*$Q$84</f>
        <v>13364.574794664979</v>
      </c>
      <c r="R4" s="18">
        <f>SUM(Table15[[#This Row],[Payment 1]:[Payment 15]])</f>
        <v>318057.45657057175</v>
      </c>
    </row>
    <row r="5" spans="1:18" x14ac:dyDescent="0.3">
      <c r="A5" t="s">
        <v>124</v>
      </c>
      <c r="B5">
        <v>1.6898834612310891E-2</v>
      </c>
      <c r="C5" s="18">
        <f>Table15[[#This Row],[Adjusted %]]*$C$84</f>
        <v>55315.65149180447</v>
      </c>
      <c r="D5" s="18">
        <f>Table15[[#This Row],[Adjusted %]]*$D$84</f>
        <v>55315.651504478607</v>
      </c>
      <c r="E5" s="18">
        <f>Table15[[#This Row],[Adjusted %]]*$E$84</f>
        <v>41016.773232484229</v>
      </c>
      <c r="F5" s="18">
        <f>Table15[[#This Row],[Adjusted %]]*$F$84</f>
        <v>41016.773232484229</v>
      </c>
      <c r="G5" s="18">
        <f>Table15[[#This Row],[Adjusted %]]*$G$84</f>
        <v>41016.773232484229</v>
      </c>
      <c r="H5" s="18">
        <f>Table15[[#This Row],[Adjusted %]]*$H$84</f>
        <v>52153.536616522353</v>
      </c>
      <c r="I5" s="18">
        <f>Table15[[#This Row],[Adjusted %]]*$I$84</f>
        <v>50833.936636572536</v>
      </c>
      <c r="J5" s="18">
        <f>Table15[[#This Row],[Adjusted %]]*$J$84</f>
        <v>55280.65163091931</v>
      </c>
      <c r="K5" s="18">
        <f>Table15[[#This Row],[Adjusted %]]*$K$84</f>
        <v>55259.708785111114</v>
      </c>
      <c r="L5" s="18">
        <f>Table15[[#This Row],[Adjusted %]]*$L$84</f>
        <v>55259.708831632684</v>
      </c>
      <c r="M5" s="18">
        <f>Table15[[#This Row],[Adjusted %]]*$M$84</f>
        <v>26729.149589329958</v>
      </c>
      <c r="N5" s="18">
        <f>Table15[[#This Row],[Adjusted %]]*$N$84</f>
        <v>26729.149589329958</v>
      </c>
      <c r="O5" s="18">
        <f>Table15[[#This Row],[Adjusted %]]*$O$84</f>
        <v>26729.149589329958</v>
      </c>
      <c r="P5" s="18">
        <f>Table15[[#This Row],[Adjusted %]]*$P$84</f>
        <v>26729.149589329958</v>
      </c>
      <c r="Q5" s="18">
        <f>Table15[[#This Row],[Adjusted %]]*$Q$84</f>
        <v>26729.149589329958</v>
      </c>
      <c r="R5" s="18">
        <f>SUM(Table15[[#This Row],[Payment 1]:[Payment 15]])</f>
        <v>636114.91314114351</v>
      </c>
    </row>
    <row r="6" spans="1:18" x14ac:dyDescent="0.3">
      <c r="A6" t="s">
        <v>125</v>
      </c>
      <c r="B6">
        <v>4.2379722473701292E-3</v>
      </c>
      <c r="C6" s="18">
        <f>Table15[[#This Row],[Adjusted %]]*$C$84</f>
        <v>13872.329142548369</v>
      </c>
      <c r="D6" s="18">
        <f>Table15[[#This Row],[Adjusted %]]*$D$84</f>
        <v>13872.329145726851</v>
      </c>
      <c r="E6" s="18">
        <f>Table15[[#This Row],[Adjusted %]]*$E$84</f>
        <v>10286.386642858055</v>
      </c>
      <c r="F6" s="18">
        <f>Table15[[#This Row],[Adjusted %]]*$F$84</f>
        <v>10286.386642858055</v>
      </c>
      <c r="G6" s="18">
        <f>Table15[[#This Row],[Adjusted %]]*$G$84</f>
        <v>10286.386642858055</v>
      </c>
      <c r="H6" s="18">
        <f>Table15[[#This Row],[Adjusted %]]*$H$84</f>
        <v>13079.318536084465</v>
      </c>
      <c r="I6" s="18">
        <f>Table15[[#This Row],[Adjusted %]]*$I$84</f>
        <v>12748.382810576895</v>
      </c>
      <c r="J6" s="18">
        <f>Table15[[#This Row],[Adjusted %]]*$J$84</f>
        <v>13863.551706559672</v>
      </c>
      <c r="K6" s="18">
        <f>Table15[[#This Row],[Adjusted %]]*$K$84</f>
        <v>13858.299557440974</v>
      </c>
      <c r="L6" s="18">
        <f>Table15[[#This Row],[Adjusted %]]*$L$84</f>
        <v>13858.29956910788</v>
      </c>
      <c r="M6" s="18">
        <f>Table15[[#This Row],[Adjusted %]]*$M$84</f>
        <v>6703.2666307570025</v>
      </c>
      <c r="N6" s="18">
        <f>Table15[[#This Row],[Adjusted %]]*$N$84</f>
        <v>6703.2666307570025</v>
      </c>
      <c r="O6" s="18">
        <f>Table15[[#This Row],[Adjusted %]]*$O$84</f>
        <v>6703.2666307570025</v>
      </c>
      <c r="P6" s="18">
        <f>Table15[[#This Row],[Adjusted %]]*$P$84</f>
        <v>6703.2666307570025</v>
      </c>
      <c r="Q6" s="18">
        <f>Table15[[#This Row],[Adjusted %]]*$Q$84</f>
        <v>6703.2666307570025</v>
      </c>
      <c r="R6" s="18">
        <f>SUM(Table15[[#This Row],[Payment 1]:[Payment 15]])</f>
        <v>159528.00355040422</v>
      </c>
    </row>
    <row r="7" spans="1:18" x14ac:dyDescent="0.3">
      <c r="A7" t="s">
        <v>126</v>
      </c>
      <c r="B7">
        <v>8.4494173061554455E-3</v>
      </c>
      <c r="C7" s="18">
        <f>Table15[[#This Row],[Adjusted %]]*$C$84</f>
        <v>27657.825745902235</v>
      </c>
      <c r="D7" s="18">
        <f>Table15[[#This Row],[Adjusted %]]*$D$84</f>
        <v>27657.825752239303</v>
      </c>
      <c r="E7" s="18">
        <f>Table15[[#This Row],[Adjusted %]]*$E$84</f>
        <v>20508.386616242115</v>
      </c>
      <c r="F7" s="18">
        <f>Table15[[#This Row],[Adjusted %]]*$F$84</f>
        <v>20508.386616242115</v>
      </c>
      <c r="G7" s="18">
        <f>Table15[[#This Row],[Adjusted %]]*$G$84</f>
        <v>20508.386616242115</v>
      </c>
      <c r="H7" s="18">
        <f>Table15[[#This Row],[Adjusted %]]*$H$84</f>
        <v>26076.768308261177</v>
      </c>
      <c r="I7" s="18">
        <f>Table15[[#This Row],[Adjusted %]]*$I$84</f>
        <v>25416.968318286268</v>
      </c>
      <c r="J7" s="18">
        <f>Table15[[#This Row],[Adjusted %]]*$J$84</f>
        <v>27640.325815459655</v>
      </c>
      <c r="K7" s="18">
        <f>Table15[[#This Row],[Adjusted %]]*$K$84</f>
        <v>27629.854392555557</v>
      </c>
      <c r="L7" s="18">
        <f>Table15[[#This Row],[Adjusted %]]*$L$84</f>
        <v>27629.854415816342</v>
      </c>
      <c r="M7" s="18">
        <f>Table15[[#This Row],[Adjusted %]]*$M$84</f>
        <v>13364.574794664979</v>
      </c>
      <c r="N7" s="18">
        <f>Table15[[#This Row],[Adjusted %]]*$N$84</f>
        <v>13364.574794664979</v>
      </c>
      <c r="O7" s="18">
        <f>Table15[[#This Row],[Adjusted %]]*$O$84</f>
        <v>13364.574794664979</v>
      </c>
      <c r="P7" s="18">
        <f>Table15[[#This Row],[Adjusted %]]*$P$84</f>
        <v>13364.574794664979</v>
      </c>
      <c r="Q7" s="18">
        <f>Table15[[#This Row],[Adjusted %]]*$Q$84</f>
        <v>13364.574794664979</v>
      </c>
      <c r="R7" s="18">
        <f>SUM(Table15[[#This Row],[Payment 1]:[Payment 15]])</f>
        <v>318057.45657057175</v>
      </c>
    </row>
    <row r="8" spans="1:18" x14ac:dyDescent="0.3">
      <c r="A8" t="s">
        <v>127</v>
      </c>
      <c r="B8">
        <v>8.4494173061554455E-3</v>
      </c>
      <c r="C8" s="18">
        <f>Table15[[#This Row],[Adjusted %]]*$C$84</f>
        <v>27657.825745902235</v>
      </c>
      <c r="D8" s="18">
        <f>Table15[[#This Row],[Adjusted %]]*$D$84</f>
        <v>27657.825752239303</v>
      </c>
      <c r="E8" s="18">
        <f>Table15[[#This Row],[Adjusted %]]*$E$84</f>
        <v>20508.386616242115</v>
      </c>
      <c r="F8" s="18">
        <f>Table15[[#This Row],[Adjusted %]]*$F$84</f>
        <v>20508.386616242115</v>
      </c>
      <c r="G8" s="18">
        <f>Table15[[#This Row],[Adjusted %]]*$G$84</f>
        <v>20508.386616242115</v>
      </c>
      <c r="H8" s="18">
        <f>Table15[[#This Row],[Adjusted %]]*$H$84</f>
        <v>26076.768308261177</v>
      </c>
      <c r="I8" s="18">
        <f>Table15[[#This Row],[Adjusted %]]*$I$84</f>
        <v>25416.968318286268</v>
      </c>
      <c r="J8" s="18">
        <f>Table15[[#This Row],[Adjusted %]]*$J$84</f>
        <v>27640.325815459655</v>
      </c>
      <c r="K8" s="18">
        <f>Table15[[#This Row],[Adjusted %]]*$K$84</f>
        <v>27629.854392555557</v>
      </c>
      <c r="L8" s="18">
        <f>Table15[[#This Row],[Adjusted %]]*$L$84</f>
        <v>27629.854415816342</v>
      </c>
      <c r="M8" s="18">
        <f>Table15[[#This Row],[Adjusted %]]*$M$84</f>
        <v>13364.574794664979</v>
      </c>
      <c r="N8" s="18">
        <f>Table15[[#This Row],[Adjusted %]]*$N$84</f>
        <v>13364.574794664979</v>
      </c>
      <c r="O8" s="18">
        <f>Table15[[#This Row],[Adjusted %]]*$O$84</f>
        <v>13364.574794664979</v>
      </c>
      <c r="P8" s="18">
        <f>Table15[[#This Row],[Adjusted %]]*$P$84</f>
        <v>13364.574794664979</v>
      </c>
      <c r="Q8" s="18">
        <f>Table15[[#This Row],[Adjusted %]]*$Q$84</f>
        <v>13364.574794664979</v>
      </c>
      <c r="R8" s="18">
        <f>SUM(Table15[[#This Row],[Payment 1]:[Payment 15]])</f>
        <v>318057.45657057175</v>
      </c>
    </row>
    <row r="9" spans="1:18" x14ac:dyDescent="0.3">
      <c r="A9" t="s">
        <v>128</v>
      </c>
      <c r="B9">
        <v>8.4494173061554472E-3</v>
      </c>
      <c r="C9" s="18">
        <f>Table15[[#This Row],[Adjusted %]]*$C$84</f>
        <v>27657.825745902242</v>
      </c>
      <c r="D9" s="18">
        <f>Table15[[#This Row],[Adjusted %]]*$D$84</f>
        <v>27657.825752239311</v>
      </c>
      <c r="E9" s="18">
        <f>Table15[[#This Row],[Adjusted %]]*$E$84</f>
        <v>20508.386616242118</v>
      </c>
      <c r="F9" s="18">
        <f>Table15[[#This Row],[Adjusted %]]*$F$84</f>
        <v>20508.386616242118</v>
      </c>
      <c r="G9" s="18">
        <f>Table15[[#This Row],[Adjusted %]]*$G$84</f>
        <v>20508.386616242118</v>
      </c>
      <c r="H9" s="18">
        <f>Table15[[#This Row],[Adjusted %]]*$H$84</f>
        <v>26076.768308261184</v>
      </c>
      <c r="I9" s="18">
        <f>Table15[[#This Row],[Adjusted %]]*$I$84</f>
        <v>25416.968318286272</v>
      </c>
      <c r="J9" s="18">
        <f>Table15[[#This Row],[Adjusted %]]*$J$84</f>
        <v>27640.325815459659</v>
      </c>
      <c r="K9" s="18">
        <f>Table15[[#This Row],[Adjusted %]]*$K$84</f>
        <v>27629.854392555564</v>
      </c>
      <c r="L9" s="18">
        <f>Table15[[#This Row],[Adjusted %]]*$L$84</f>
        <v>27629.85441581635</v>
      </c>
      <c r="M9" s="18">
        <f>Table15[[#This Row],[Adjusted %]]*$M$84</f>
        <v>13364.574794664981</v>
      </c>
      <c r="N9" s="18">
        <f>Table15[[#This Row],[Adjusted %]]*$N$84</f>
        <v>13364.574794664981</v>
      </c>
      <c r="O9" s="18">
        <f>Table15[[#This Row],[Adjusted %]]*$O$84</f>
        <v>13364.574794664981</v>
      </c>
      <c r="P9" s="18">
        <f>Table15[[#This Row],[Adjusted %]]*$P$84</f>
        <v>13364.574794664981</v>
      </c>
      <c r="Q9" s="18">
        <f>Table15[[#This Row],[Adjusted %]]*$Q$84</f>
        <v>13364.574794664981</v>
      </c>
      <c r="R9" s="18">
        <f>SUM(Table15[[#This Row],[Payment 1]:[Payment 15]])</f>
        <v>318057.45657057181</v>
      </c>
    </row>
    <row r="10" spans="1:18" x14ac:dyDescent="0.3">
      <c r="A10" t="s">
        <v>129</v>
      </c>
      <c r="B10">
        <v>4.6522200465657068E-2</v>
      </c>
      <c r="C10" s="18">
        <f>Table15[[#This Row],[Adjusted %]]*$C$84</f>
        <v>152283.03528785412</v>
      </c>
      <c r="D10" s="18">
        <f>Table15[[#This Row],[Adjusted %]]*$D$84</f>
        <v>152283.0353227458</v>
      </c>
      <c r="E10" s="18">
        <f>Table15[[#This Row],[Adjusted %]]*$E$84</f>
        <v>112918.46985625275</v>
      </c>
      <c r="F10" s="18">
        <f>Table15[[#This Row],[Adjusted %]]*$F$84</f>
        <v>112918.46985625275</v>
      </c>
      <c r="G10" s="18">
        <f>Table15[[#This Row],[Adjusted %]]*$G$84</f>
        <v>112918.46985625275</v>
      </c>
      <c r="H10" s="18">
        <f>Table15[[#This Row],[Adjusted %]]*$H$84</f>
        <v>143577.7875297548</v>
      </c>
      <c r="I10" s="18">
        <f>Table15[[#This Row],[Adjusted %]]*$I$84</f>
        <v>139944.95152596437</v>
      </c>
      <c r="J10" s="18">
        <f>Table15[[#This Row],[Adjusted %]]*$J$84</f>
        <v>152186.68127399901</v>
      </c>
      <c r="K10" s="18">
        <f>Table15[[#This Row],[Adjusted %]]*$K$84</f>
        <v>152129.0259804026</v>
      </c>
      <c r="L10" s="18">
        <f>Table15[[#This Row],[Adjusted %]]*$L$84</f>
        <v>152129.02610847569</v>
      </c>
      <c r="M10" s="18">
        <f>Table15[[#This Row],[Adjusted %]]*$M$84</f>
        <v>73584.888189002566</v>
      </c>
      <c r="N10" s="18">
        <f>Table15[[#This Row],[Adjusted %]]*$N$84</f>
        <v>73584.888189002566</v>
      </c>
      <c r="O10" s="18">
        <f>Table15[[#This Row],[Adjusted %]]*$O$84</f>
        <v>73584.888189002566</v>
      </c>
      <c r="P10" s="18">
        <f>Table15[[#This Row],[Adjusted %]]*$P$84</f>
        <v>73584.888189002566</v>
      </c>
      <c r="Q10" s="18">
        <f>Table15[[#This Row],[Adjusted %]]*$Q$84</f>
        <v>73584.888189002566</v>
      </c>
      <c r="R10" s="18">
        <f>SUM(Table15[[#This Row],[Payment 1]:[Payment 15]])</f>
        <v>1751213.3935429677</v>
      </c>
    </row>
    <row r="11" spans="1:18" x14ac:dyDescent="0.3">
      <c r="A11" t="s">
        <v>130</v>
      </c>
      <c r="B11">
        <v>1.6898834612310891E-2</v>
      </c>
      <c r="C11" s="18">
        <f>Table15[[#This Row],[Adjusted %]]*$C$84</f>
        <v>55315.65149180447</v>
      </c>
      <c r="D11" s="18">
        <f>Table15[[#This Row],[Adjusted %]]*$D$84</f>
        <v>55315.651504478607</v>
      </c>
      <c r="E11" s="18">
        <f>Table15[[#This Row],[Adjusted %]]*$E$84</f>
        <v>41016.773232484229</v>
      </c>
      <c r="F11" s="18">
        <f>Table15[[#This Row],[Adjusted %]]*$F$84</f>
        <v>41016.773232484229</v>
      </c>
      <c r="G11" s="18">
        <f>Table15[[#This Row],[Adjusted %]]*$G$84</f>
        <v>41016.773232484229</v>
      </c>
      <c r="H11" s="18">
        <f>Table15[[#This Row],[Adjusted %]]*$H$84</f>
        <v>52153.536616522353</v>
      </c>
      <c r="I11" s="18">
        <f>Table15[[#This Row],[Adjusted %]]*$I$84</f>
        <v>50833.936636572536</v>
      </c>
      <c r="J11" s="18">
        <f>Table15[[#This Row],[Adjusted %]]*$J$84</f>
        <v>55280.65163091931</v>
      </c>
      <c r="K11" s="18">
        <f>Table15[[#This Row],[Adjusted %]]*$K$84</f>
        <v>55259.708785111114</v>
      </c>
      <c r="L11" s="18">
        <f>Table15[[#This Row],[Adjusted %]]*$L$84</f>
        <v>55259.708831632684</v>
      </c>
      <c r="M11" s="18">
        <f>Table15[[#This Row],[Adjusted %]]*$M$84</f>
        <v>26729.149589329958</v>
      </c>
      <c r="N11" s="18">
        <f>Table15[[#This Row],[Adjusted %]]*$N$84</f>
        <v>26729.149589329958</v>
      </c>
      <c r="O11" s="18">
        <f>Table15[[#This Row],[Adjusted %]]*$O$84</f>
        <v>26729.149589329958</v>
      </c>
      <c r="P11" s="18">
        <f>Table15[[#This Row],[Adjusted %]]*$P$84</f>
        <v>26729.149589329958</v>
      </c>
      <c r="Q11" s="18">
        <f>Table15[[#This Row],[Adjusted %]]*$Q$84</f>
        <v>26729.149589329958</v>
      </c>
      <c r="R11" s="18">
        <f>SUM(Table15[[#This Row],[Payment 1]:[Payment 15]])</f>
        <v>636114.91314114351</v>
      </c>
    </row>
    <row r="12" spans="1:18" x14ac:dyDescent="0.3">
      <c r="A12" t="s">
        <v>131</v>
      </c>
      <c r="B12">
        <v>8.4494173061554455E-3</v>
      </c>
      <c r="C12" s="18">
        <f>Table15[[#This Row],[Adjusted %]]*$C$84</f>
        <v>27657.825745902235</v>
      </c>
      <c r="D12" s="18">
        <f>Table15[[#This Row],[Adjusted %]]*$D$84</f>
        <v>27657.825752239303</v>
      </c>
      <c r="E12" s="18">
        <f>Table15[[#This Row],[Adjusted %]]*$E$84</f>
        <v>20508.386616242115</v>
      </c>
      <c r="F12" s="18">
        <f>Table15[[#This Row],[Adjusted %]]*$F$84</f>
        <v>20508.386616242115</v>
      </c>
      <c r="G12" s="18">
        <f>Table15[[#This Row],[Adjusted %]]*$G$84</f>
        <v>20508.386616242115</v>
      </c>
      <c r="H12" s="18">
        <f>Table15[[#This Row],[Adjusted %]]*$H$84</f>
        <v>26076.768308261177</v>
      </c>
      <c r="I12" s="18">
        <f>Table15[[#This Row],[Adjusted %]]*$I$84</f>
        <v>25416.968318286268</v>
      </c>
      <c r="J12" s="18">
        <f>Table15[[#This Row],[Adjusted %]]*$J$84</f>
        <v>27640.325815459655</v>
      </c>
      <c r="K12" s="18">
        <f>Table15[[#This Row],[Adjusted %]]*$K$84</f>
        <v>27629.854392555557</v>
      </c>
      <c r="L12" s="18">
        <f>Table15[[#This Row],[Adjusted %]]*$L$84</f>
        <v>27629.854415816342</v>
      </c>
      <c r="M12" s="18">
        <f>Table15[[#This Row],[Adjusted %]]*$M$84</f>
        <v>13364.574794664979</v>
      </c>
      <c r="N12" s="18">
        <f>Table15[[#This Row],[Adjusted %]]*$N$84</f>
        <v>13364.574794664979</v>
      </c>
      <c r="O12" s="18">
        <f>Table15[[#This Row],[Adjusted %]]*$O$84</f>
        <v>13364.574794664979</v>
      </c>
      <c r="P12" s="18">
        <f>Table15[[#This Row],[Adjusted %]]*$P$84</f>
        <v>13364.574794664979</v>
      </c>
      <c r="Q12" s="18">
        <f>Table15[[#This Row],[Adjusted %]]*$Q$84</f>
        <v>13364.574794664979</v>
      </c>
      <c r="R12" s="18">
        <f>SUM(Table15[[#This Row],[Payment 1]:[Payment 15]])</f>
        <v>318057.45657057175</v>
      </c>
    </row>
    <row r="13" spans="1:18" x14ac:dyDescent="0.3">
      <c r="A13" t="s">
        <v>132</v>
      </c>
      <c r="B13">
        <v>0</v>
      </c>
      <c r="C13" s="18">
        <f>Table15[[#This Row],[Adjusted %]]*$C$84</f>
        <v>0</v>
      </c>
      <c r="D13" s="18">
        <f>Table15[[#This Row],[Adjusted %]]*$D$84</f>
        <v>0</v>
      </c>
      <c r="E13" s="18">
        <f>Table15[[#This Row],[Adjusted %]]*$E$84</f>
        <v>0</v>
      </c>
      <c r="F13" s="18">
        <f>Table15[[#This Row],[Adjusted %]]*$F$84</f>
        <v>0</v>
      </c>
      <c r="G13" s="18">
        <f>Table15[[#This Row],[Adjusted %]]*$G$84</f>
        <v>0</v>
      </c>
      <c r="H13" s="18">
        <f>Table15[[#This Row],[Adjusted %]]*$H$84</f>
        <v>0</v>
      </c>
      <c r="I13" s="18">
        <f>Table15[[#This Row],[Adjusted %]]*$I$84</f>
        <v>0</v>
      </c>
      <c r="J13" s="18">
        <f>Table15[[#This Row],[Adjusted %]]*$J$84</f>
        <v>0</v>
      </c>
      <c r="K13" s="18">
        <f>Table15[[#This Row],[Adjusted %]]*$K$84</f>
        <v>0</v>
      </c>
      <c r="L13" s="18">
        <f>Table15[[#This Row],[Adjusted %]]*$L$84</f>
        <v>0</v>
      </c>
      <c r="M13" s="18">
        <f>Table15[[#This Row],[Adjusted %]]*$M$84</f>
        <v>0</v>
      </c>
      <c r="N13" s="18">
        <f>Table15[[#This Row],[Adjusted %]]*$N$84</f>
        <v>0</v>
      </c>
      <c r="O13" s="18">
        <f>Table15[[#This Row],[Adjusted %]]*$O$84</f>
        <v>0</v>
      </c>
      <c r="P13" s="18">
        <f>Table15[[#This Row],[Adjusted %]]*$P$84</f>
        <v>0</v>
      </c>
      <c r="Q13" s="18">
        <f>Table15[[#This Row],[Adjusted %]]*$Q$84</f>
        <v>0</v>
      </c>
      <c r="R13" s="18">
        <f>SUM(Table15[[#This Row],[Payment 1]:[Payment 15]])</f>
        <v>0</v>
      </c>
    </row>
    <row r="14" spans="1:18" x14ac:dyDescent="0.3">
      <c r="A14" t="s">
        <v>133</v>
      </c>
      <c r="B14">
        <v>4.2247086530777227E-3</v>
      </c>
      <c r="C14" s="18">
        <f>Table15[[#This Row],[Adjusted %]]*$C$84</f>
        <v>13828.912872951118</v>
      </c>
      <c r="D14" s="18">
        <f>Table15[[#This Row],[Adjusted %]]*$D$84</f>
        <v>13828.912876119652</v>
      </c>
      <c r="E14" s="18">
        <f>Table15[[#This Row],[Adjusted %]]*$E$84</f>
        <v>10254.193308121057</v>
      </c>
      <c r="F14" s="18">
        <f>Table15[[#This Row],[Adjusted %]]*$F$84</f>
        <v>10254.193308121057</v>
      </c>
      <c r="G14" s="18">
        <f>Table15[[#This Row],[Adjusted %]]*$G$84</f>
        <v>10254.193308121057</v>
      </c>
      <c r="H14" s="18">
        <f>Table15[[#This Row],[Adjusted %]]*$H$84</f>
        <v>13038.384154130588</v>
      </c>
      <c r="I14" s="18">
        <f>Table15[[#This Row],[Adjusted %]]*$I$84</f>
        <v>12708.484159143134</v>
      </c>
      <c r="J14" s="18">
        <f>Table15[[#This Row],[Adjusted %]]*$J$84</f>
        <v>13820.162907729828</v>
      </c>
      <c r="K14" s="18">
        <f>Table15[[#This Row],[Adjusted %]]*$K$84</f>
        <v>13814.927196277778</v>
      </c>
      <c r="L14" s="18">
        <f>Table15[[#This Row],[Adjusted %]]*$L$84</f>
        <v>13814.927207908171</v>
      </c>
      <c r="M14" s="18">
        <f>Table15[[#This Row],[Adjusted %]]*$M$84</f>
        <v>6682.2873973324895</v>
      </c>
      <c r="N14" s="18">
        <f>Table15[[#This Row],[Adjusted %]]*$N$84</f>
        <v>6682.2873973324895</v>
      </c>
      <c r="O14" s="18">
        <f>Table15[[#This Row],[Adjusted %]]*$O$84</f>
        <v>6682.2873973324895</v>
      </c>
      <c r="P14" s="18">
        <f>Table15[[#This Row],[Adjusted %]]*$P$84</f>
        <v>6682.2873973324895</v>
      </c>
      <c r="Q14" s="18">
        <f>Table15[[#This Row],[Adjusted %]]*$Q$84</f>
        <v>6682.2873973324895</v>
      </c>
      <c r="R14" s="18">
        <f>SUM(Table15[[#This Row],[Payment 1]:[Payment 15]])</f>
        <v>159028.72828528588</v>
      </c>
    </row>
    <row r="15" spans="1:18" x14ac:dyDescent="0.3">
      <c r="A15" t="s">
        <v>135</v>
      </c>
      <c r="B15">
        <v>4.2247086530777227E-3</v>
      </c>
      <c r="C15" s="18">
        <f>Table15[[#This Row],[Adjusted %]]*$C$84</f>
        <v>13828.912872951118</v>
      </c>
      <c r="D15" s="18">
        <f>Table15[[#This Row],[Adjusted %]]*$D$84</f>
        <v>13828.912876119652</v>
      </c>
      <c r="E15" s="18">
        <f>Table15[[#This Row],[Adjusted %]]*$E$84</f>
        <v>10254.193308121057</v>
      </c>
      <c r="F15" s="18">
        <f>Table15[[#This Row],[Adjusted %]]*$F$84</f>
        <v>10254.193308121057</v>
      </c>
      <c r="G15" s="18">
        <f>Table15[[#This Row],[Adjusted %]]*$G$84</f>
        <v>10254.193308121057</v>
      </c>
      <c r="H15" s="18">
        <f>Table15[[#This Row],[Adjusted %]]*$H$84</f>
        <v>13038.384154130588</v>
      </c>
      <c r="I15" s="18">
        <f>Table15[[#This Row],[Adjusted %]]*$I$84</f>
        <v>12708.484159143134</v>
      </c>
      <c r="J15" s="18">
        <f>Table15[[#This Row],[Adjusted %]]*$J$84</f>
        <v>13820.162907729828</v>
      </c>
      <c r="K15" s="18">
        <f>Table15[[#This Row],[Adjusted %]]*$K$84</f>
        <v>13814.927196277778</v>
      </c>
      <c r="L15" s="18">
        <f>Table15[[#This Row],[Adjusted %]]*$L$84</f>
        <v>13814.927207908171</v>
      </c>
      <c r="M15" s="18">
        <f>Table15[[#This Row],[Adjusted %]]*$M$84</f>
        <v>6682.2873973324895</v>
      </c>
      <c r="N15" s="18">
        <f>Table15[[#This Row],[Adjusted %]]*$N$84</f>
        <v>6682.2873973324895</v>
      </c>
      <c r="O15" s="18">
        <f>Table15[[#This Row],[Adjusted %]]*$O$84</f>
        <v>6682.2873973324895</v>
      </c>
      <c r="P15" s="18">
        <f>Table15[[#This Row],[Adjusted %]]*$P$84</f>
        <v>6682.2873973324895</v>
      </c>
      <c r="Q15" s="18">
        <f>Table15[[#This Row],[Adjusted %]]*$Q$84</f>
        <v>6682.2873973324895</v>
      </c>
      <c r="R15" s="18">
        <f>SUM(Table15[[#This Row],[Payment 1]:[Payment 15]])</f>
        <v>159028.72828528588</v>
      </c>
    </row>
    <row r="16" spans="1:18" x14ac:dyDescent="0.3">
      <c r="A16" t="s">
        <v>136</v>
      </c>
      <c r="B16">
        <v>4.2247086530777227E-3</v>
      </c>
      <c r="C16" s="18">
        <f>Table15[[#This Row],[Adjusted %]]*$C$84</f>
        <v>13828.912872951118</v>
      </c>
      <c r="D16" s="18">
        <f>Table15[[#This Row],[Adjusted %]]*$D$84</f>
        <v>13828.912876119652</v>
      </c>
      <c r="E16" s="18">
        <f>Table15[[#This Row],[Adjusted %]]*$E$84</f>
        <v>10254.193308121057</v>
      </c>
      <c r="F16" s="18">
        <f>Table15[[#This Row],[Adjusted %]]*$F$84</f>
        <v>10254.193308121057</v>
      </c>
      <c r="G16" s="18">
        <f>Table15[[#This Row],[Adjusted %]]*$G$84</f>
        <v>10254.193308121057</v>
      </c>
      <c r="H16" s="18">
        <f>Table15[[#This Row],[Adjusted %]]*$H$84</f>
        <v>13038.384154130588</v>
      </c>
      <c r="I16" s="18">
        <f>Table15[[#This Row],[Adjusted %]]*$I$84</f>
        <v>12708.484159143134</v>
      </c>
      <c r="J16" s="18">
        <f>Table15[[#This Row],[Adjusted %]]*$J$84</f>
        <v>13820.162907729828</v>
      </c>
      <c r="K16" s="18">
        <f>Table15[[#This Row],[Adjusted %]]*$K$84</f>
        <v>13814.927196277778</v>
      </c>
      <c r="L16" s="18">
        <f>Table15[[#This Row],[Adjusted %]]*$L$84</f>
        <v>13814.927207908171</v>
      </c>
      <c r="M16" s="18">
        <f>Table15[[#This Row],[Adjusted %]]*$M$84</f>
        <v>6682.2873973324895</v>
      </c>
      <c r="N16" s="18">
        <f>Table15[[#This Row],[Adjusted %]]*$N$84</f>
        <v>6682.2873973324895</v>
      </c>
      <c r="O16" s="18">
        <f>Table15[[#This Row],[Adjusted %]]*$O$84</f>
        <v>6682.2873973324895</v>
      </c>
      <c r="P16" s="18">
        <f>Table15[[#This Row],[Adjusted %]]*$P$84</f>
        <v>6682.2873973324895</v>
      </c>
      <c r="Q16" s="18">
        <f>Table15[[#This Row],[Adjusted %]]*$Q$84</f>
        <v>6682.2873973324895</v>
      </c>
      <c r="R16" s="18">
        <f>SUM(Table15[[#This Row],[Payment 1]:[Payment 15]])</f>
        <v>159028.72828528588</v>
      </c>
    </row>
    <row r="17" spans="1:18" x14ac:dyDescent="0.3">
      <c r="A17" t="s">
        <v>137</v>
      </c>
      <c r="B17">
        <v>8.4494173061554455E-3</v>
      </c>
      <c r="C17" s="18">
        <f>Table15[[#This Row],[Adjusted %]]*$C$84</f>
        <v>27657.825745902235</v>
      </c>
      <c r="D17" s="18">
        <f>Table15[[#This Row],[Adjusted %]]*$D$84</f>
        <v>27657.825752239303</v>
      </c>
      <c r="E17" s="18">
        <f>Table15[[#This Row],[Adjusted %]]*$E$84</f>
        <v>20508.386616242115</v>
      </c>
      <c r="F17" s="18">
        <f>Table15[[#This Row],[Adjusted %]]*$F$84</f>
        <v>20508.386616242115</v>
      </c>
      <c r="G17" s="18">
        <f>Table15[[#This Row],[Adjusted %]]*$G$84</f>
        <v>20508.386616242115</v>
      </c>
      <c r="H17" s="18">
        <f>Table15[[#This Row],[Adjusted %]]*$H$84</f>
        <v>26076.768308261177</v>
      </c>
      <c r="I17" s="18">
        <f>Table15[[#This Row],[Adjusted %]]*$I$84</f>
        <v>25416.968318286268</v>
      </c>
      <c r="J17" s="18">
        <f>Table15[[#This Row],[Adjusted %]]*$J$84</f>
        <v>27640.325815459655</v>
      </c>
      <c r="K17" s="18">
        <f>Table15[[#This Row],[Adjusted %]]*$K$84</f>
        <v>27629.854392555557</v>
      </c>
      <c r="L17" s="18">
        <f>Table15[[#This Row],[Adjusted %]]*$L$84</f>
        <v>27629.854415816342</v>
      </c>
      <c r="M17" s="18">
        <f>Table15[[#This Row],[Adjusted %]]*$M$84</f>
        <v>13364.574794664979</v>
      </c>
      <c r="N17" s="18">
        <f>Table15[[#This Row],[Adjusted %]]*$N$84</f>
        <v>13364.574794664979</v>
      </c>
      <c r="O17" s="18">
        <f>Table15[[#This Row],[Adjusted %]]*$O$84</f>
        <v>13364.574794664979</v>
      </c>
      <c r="P17" s="18">
        <f>Table15[[#This Row],[Adjusted %]]*$P$84</f>
        <v>13364.574794664979</v>
      </c>
      <c r="Q17" s="18">
        <f>Table15[[#This Row],[Adjusted %]]*$Q$84</f>
        <v>13364.574794664979</v>
      </c>
      <c r="R17" s="18">
        <f>SUM(Table15[[#This Row],[Payment 1]:[Payment 15]])</f>
        <v>318057.45657057175</v>
      </c>
    </row>
    <row r="18" spans="1:18" x14ac:dyDescent="0.3">
      <c r="A18" t="s">
        <v>139</v>
      </c>
      <c r="B18">
        <v>2.0608231435065922E-2</v>
      </c>
      <c r="C18" s="18">
        <f>Table15[[#This Row],[Adjusted %]]*$C$84</f>
        <v>67457.772922050543</v>
      </c>
      <c r="D18" s="18">
        <f>Table15[[#This Row],[Adjusted %]]*$D$84</f>
        <v>67457.772937506728</v>
      </c>
      <c r="E18" s="18">
        <f>Table15[[#This Row],[Adjusted %]]*$E$84</f>
        <v>50020.20404879628</v>
      </c>
      <c r="F18" s="18">
        <f>Table15[[#This Row],[Adjusted %]]*$F$84</f>
        <v>50020.20404879628</v>
      </c>
      <c r="G18" s="18">
        <f>Table15[[#This Row],[Adjusted %]]*$G$84</f>
        <v>50020.20404879628</v>
      </c>
      <c r="H18" s="18">
        <f>Table15[[#This Row],[Adjusted %]]*$H$84</f>
        <v>63601.554628357968</v>
      </c>
      <c r="I18" s="18">
        <f>Table15[[#This Row],[Adjusted %]]*$I$84</f>
        <v>61992.294438977638</v>
      </c>
      <c r="J18" s="18">
        <f>Table15[[#This Row],[Adjusted %]]*$J$84</f>
        <v>67415.090379149566</v>
      </c>
      <c r="K18" s="18">
        <f>Table15[[#This Row],[Adjusted %]]*$K$84</f>
        <v>67389.550451502146</v>
      </c>
      <c r="L18" s="18">
        <f>Table15[[#This Row],[Adjusted %]]*$L$84</f>
        <v>67389.550508235479</v>
      </c>
      <c r="M18" s="18">
        <f>Table15[[#This Row],[Adjusted %]]*$M$84</f>
        <v>32596.36024830486</v>
      </c>
      <c r="N18" s="18">
        <f>Table15[[#This Row],[Adjusted %]]*$N$84</f>
        <v>32596.36024830486</v>
      </c>
      <c r="O18" s="18">
        <f>Table15[[#This Row],[Adjusted %]]*$O$84</f>
        <v>32596.36024830486</v>
      </c>
      <c r="P18" s="18">
        <f>Table15[[#This Row],[Adjusted %]]*$P$84</f>
        <v>32596.36024830486</v>
      </c>
      <c r="Q18" s="18">
        <f>Table15[[#This Row],[Adjusted %]]*$Q$84</f>
        <v>32596.36024830486</v>
      </c>
      <c r="R18" s="18">
        <f>SUM(Table15[[#This Row],[Payment 1]:[Payment 15]])</f>
        <v>775745.9996536934</v>
      </c>
    </row>
    <row r="19" spans="1:18" x14ac:dyDescent="0.3">
      <c r="A19" t="s">
        <v>140</v>
      </c>
      <c r="B19">
        <v>4.1506301090740168E-2</v>
      </c>
      <c r="C19" s="18">
        <f>Table15[[#This Row],[Adjusted %]]*$C$84</f>
        <v>135864.28523163821</v>
      </c>
      <c r="D19" s="18">
        <f>Table15[[#This Row],[Adjusted %]]*$D$84</f>
        <v>135864.28526276795</v>
      </c>
      <c r="E19" s="18">
        <f>Table15[[#This Row],[Adjusted %]]*$E$84</f>
        <v>100743.9020864702</v>
      </c>
      <c r="F19" s="18">
        <f>Table15[[#This Row],[Adjusted %]]*$F$84</f>
        <v>100743.9020864702</v>
      </c>
      <c r="G19" s="18">
        <f>Table15[[#This Row],[Adjusted %]]*$G$84</f>
        <v>100743.9020864702</v>
      </c>
      <c r="H19" s="18">
        <f>Table15[[#This Row],[Adjusted %]]*$H$84</f>
        <v>128097.61403163998</v>
      </c>
      <c r="I19" s="18">
        <f>Table15[[#This Row],[Adjusted %]]*$I$84</f>
        <v>124856.46070102922</v>
      </c>
      <c r="J19" s="18">
        <f>Table15[[#This Row],[Adjusted %]]*$J$84</f>
        <v>135778.31985015707</v>
      </c>
      <c r="K19" s="18">
        <f>Table15[[#This Row],[Adjusted %]]*$K$84</f>
        <v>135726.88079629603</v>
      </c>
      <c r="L19" s="18">
        <f>Table15[[#This Row],[Adjusted %]]*$L$84</f>
        <v>135726.88091056061</v>
      </c>
      <c r="M19" s="18">
        <f>Table15[[#This Row],[Adjusted %]]*$M$84</f>
        <v>65651.162118951019</v>
      </c>
      <c r="N19" s="18">
        <f>Table15[[#This Row],[Adjusted %]]*$N$84</f>
        <v>65651.162118951019</v>
      </c>
      <c r="O19" s="18">
        <f>Table15[[#This Row],[Adjusted %]]*$O$84</f>
        <v>65651.162118951019</v>
      </c>
      <c r="P19" s="18">
        <f>Table15[[#This Row],[Adjusted %]]*$P$84</f>
        <v>65651.162118951019</v>
      </c>
      <c r="Q19" s="18">
        <f>Table15[[#This Row],[Adjusted %]]*$Q$84</f>
        <v>65651.162118951019</v>
      </c>
      <c r="R19" s="18">
        <f>SUM(Table15[[#This Row],[Payment 1]:[Payment 15]])</f>
        <v>1562402.2436382549</v>
      </c>
    </row>
    <row r="20" spans="1:18" x14ac:dyDescent="0.3">
      <c r="A20" t="s">
        <v>141</v>
      </c>
      <c r="B20">
        <v>0</v>
      </c>
      <c r="C20" s="48">
        <f>Table15[[#This Row],[Adjusted %]]*$C$84</f>
        <v>0</v>
      </c>
      <c r="D20" s="48">
        <f>Table15[[#This Row],[Adjusted %]]*$D$84</f>
        <v>0</v>
      </c>
      <c r="E20" s="18">
        <f>Table15[[#This Row],[Adjusted %]]*$E$84</f>
        <v>0</v>
      </c>
      <c r="F20" s="18">
        <f>Table15[[#This Row],[Adjusted %]]*$F$84</f>
        <v>0</v>
      </c>
      <c r="G20" s="18">
        <f>Table15[[#This Row],[Adjusted %]]*$G$84</f>
        <v>0</v>
      </c>
      <c r="H20" s="18">
        <f>Table15[[#This Row],[Adjusted %]]*$H$84</f>
        <v>0</v>
      </c>
      <c r="I20" s="18">
        <f>Table15[[#This Row],[Adjusted %]]*$I$84</f>
        <v>0</v>
      </c>
      <c r="J20" s="18">
        <f>Table15[[#This Row],[Adjusted %]]*$J$84</f>
        <v>0</v>
      </c>
      <c r="K20" s="18">
        <f>Table15[[#This Row],[Adjusted %]]*$K$84</f>
        <v>0</v>
      </c>
      <c r="L20" s="18">
        <f>Table15[[#This Row],[Adjusted %]]*$L$84</f>
        <v>0</v>
      </c>
      <c r="M20" s="18">
        <f>Table15[[#This Row],[Adjusted %]]*$M$84</f>
        <v>0</v>
      </c>
      <c r="N20" s="18">
        <f>Table15[[#This Row],[Adjusted %]]*$N$84</f>
        <v>0</v>
      </c>
      <c r="O20" s="18">
        <f>Table15[[#This Row],[Adjusted %]]*$O$84</f>
        <v>0</v>
      </c>
      <c r="P20" s="18">
        <f>Table15[[#This Row],[Adjusted %]]*$P$84</f>
        <v>0</v>
      </c>
      <c r="Q20" s="18">
        <f>Table15[[#This Row],[Adjusted %]]*$Q$84</f>
        <v>0</v>
      </c>
      <c r="R20" s="18">
        <f>SUM(Table15[[#This Row],[Payment 1]:[Payment 15]])</f>
        <v>0</v>
      </c>
    </row>
    <row r="21" spans="1:18" x14ac:dyDescent="0.3">
      <c r="A21" t="s">
        <v>219</v>
      </c>
      <c r="B21">
        <v>1.2655466448598492E-2</v>
      </c>
      <c r="C21" s="48">
        <f>Table15[[#This Row],[Adjusted %]]*$C$84</f>
        <v>41425.659674005678</v>
      </c>
      <c r="D21" s="48">
        <f>Table15[[#This Row],[Adjusted %]]*$D$84</f>
        <v>41425.659683497288</v>
      </c>
      <c r="E21" s="18">
        <f>Table15[[#This Row],[Adjusted %]]*$E$84</f>
        <v>30717.289646430392</v>
      </c>
      <c r="F21" s="18">
        <f>Table15[[#This Row],[Adjusted %]]*$F$84</f>
        <v>30717.289646430392</v>
      </c>
      <c r="G21" s="18">
        <f>Table15[[#This Row],[Adjusted %]]*$G$84</f>
        <v>30717.289646430392</v>
      </c>
      <c r="H21" s="18">
        <f>Table15[[#This Row],[Adjusted %]]*$H$84</f>
        <v>39057.565090631644</v>
      </c>
      <c r="I21" s="18">
        <f>Table15[[#This Row],[Adjusted %]]*$I$84</f>
        <v>38069.322193712585</v>
      </c>
      <c r="J21" s="18">
        <f>Table15[[#This Row],[Adjusted %]]*$J$84</f>
        <v>41399.448424810122</v>
      </c>
      <c r="K21" s="18">
        <f>Table15[[#This Row],[Adjusted %]]*$K$84</f>
        <v>41383.764415318088</v>
      </c>
      <c r="L21" s="18">
        <f>Table15[[#This Row],[Adjusted %]]*$L$84</f>
        <v>41383.764450157898</v>
      </c>
      <c r="M21" s="18">
        <f>Table15[[#This Row],[Adjusted %]]*$M$84</f>
        <v>20017.348153753988</v>
      </c>
      <c r="N21" s="18">
        <f>Table15[[#This Row],[Adjusted %]]*$N$84</f>
        <v>20017.348153753988</v>
      </c>
      <c r="O21" s="18">
        <f>Table15[[#This Row],[Adjusted %]]*$O$84</f>
        <v>20017.348153753988</v>
      </c>
      <c r="P21" s="18">
        <f>Table15[[#This Row],[Adjusted %]]*$P$84</f>
        <v>20017.348153753988</v>
      </c>
      <c r="Q21" s="18">
        <f>Table15[[#This Row],[Adjusted %]]*$Q$84</f>
        <v>20017.348153753988</v>
      </c>
      <c r="R21" s="18">
        <f>SUM(Table15[[#This Row],[Payment 1]:[Payment 15]])</f>
        <v>476383.79364019429</v>
      </c>
    </row>
    <row r="22" spans="1:18" x14ac:dyDescent="0.3">
      <c r="A22" t="s">
        <v>142</v>
      </c>
      <c r="B22">
        <v>2.6152043847903653E-2</v>
      </c>
      <c r="C22" s="48">
        <f>Table15[[#This Row],[Adjusted %]]*$C$84</f>
        <v>85604.562472915102</v>
      </c>
      <c r="D22" s="48">
        <f>Table15[[#This Row],[Adjusted %]]*$D$84</f>
        <v>85604.562492529149</v>
      </c>
      <c r="E22" s="18">
        <f>Table15[[#This Row],[Adjusted %]]*$E$84</f>
        <v>63476.119903203311</v>
      </c>
      <c r="F22" s="18">
        <f>Table15[[#This Row],[Adjusted %]]*$F$84</f>
        <v>63476.119903203311</v>
      </c>
      <c r="G22" s="18">
        <f>Table15[[#This Row],[Adjusted %]]*$G$84</f>
        <v>63476.119903203311</v>
      </c>
      <c r="H22" s="18">
        <f>Table15[[#This Row],[Adjusted %]]*$H$84</f>
        <v>80710.984379059912</v>
      </c>
      <c r="I22" s="18">
        <f>Table15[[#This Row],[Adjusted %]]*$I$84</f>
        <v>78668.817725023342</v>
      </c>
      <c r="J22" s="18">
        <f>Table15[[#This Row],[Adjusted %]]*$J$84</f>
        <v>85550.397915563168</v>
      </c>
      <c r="K22" s="18">
        <f>Table15[[#This Row],[Adjusted %]]*$K$84</f>
        <v>85517.987501801457</v>
      </c>
      <c r="L22" s="18">
        <f>Table15[[#This Row],[Adjusted %]]*$L$84</f>
        <v>85517.987573796607</v>
      </c>
      <c r="M22" s="18">
        <f>Table15[[#This Row],[Adjusted %]]*$M$84</f>
        <v>41365.094582799917</v>
      </c>
      <c r="N22" s="18">
        <f>Table15[[#This Row],[Adjusted %]]*$N$84</f>
        <v>41365.094582799917</v>
      </c>
      <c r="O22" s="18">
        <f>Table15[[#This Row],[Adjusted %]]*$O$84</f>
        <v>41365.094582799917</v>
      </c>
      <c r="P22" s="18">
        <f>Table15[[#This Row],[Adjusted %]]*$P$84</f>
        <v>41365.094582799917</v>
      </c>
      <c r="Q22" s="18">
        <f>Table15[[#This Row],[Adjusted %]]*$Q$84</f>
        <v>41365.094582799917</v>
      </c>
      <c r="R22" s="18">
        <f>SUM(Table15[[#This Row],[Payment 1]:[Payment 15]])</f>
        <v>984429.13268429844</v>
      </c>
    </row>
    <row r="23" spans="1:18" x14ac:dyDescent="0.3">
      <c r="A23" t="s">
        <v>143</v>
      </c>
      <c r="B23">
        <v>3.9427141313926189E-2</v>
      </c>
      <c r="C23" s="48">
        <f>Table15[[#This Row],[Adjusted %]]*$C$84</f>
        <v>129058.48588224196</v>
      </c>
      <c r="D23" s="48">
        <f>Table15[[#This Row],[Adjusted %]]*$D$84</f>
        <v>129058.48591181234</v>
      </c>
      <c r="E23" s="18">
        <f>Table15[[#This Row],[Adjusted %]]*$E$84</f>
        <v>95697.375090013651</v>
      </c>
      <c r="F23" s="18">
        <f>Table15[[#This Row],[Adjusted %]]*$F$84</f>
        <v>95697.375090013651</v>
      </c>
      <c r="G23" s="18">
        <f>Table15[[#This Row],[Adjusted %]]*$G$84</f>
        <v>95697.375090013651</v>
      </c>
      <c r="H23" s="18">
        <f>Table15[[#This Row],[Adjusted %]]*$H$84</f>
        <v>121680.86766780064</v>
      </c>
      <c r="I23" s="18">
        <f>Table15[[#This Row],[Adjusted %]]*$I$84</f>
        <v>118602.07223125422</v>
      </c>
      <c r="J23" s="18">
        <f>Table15[[#This Row],[Adjusted %]]*$J$84</f>
        <v>128976.82673279494</v>
      </c>
      <c r="K23" s="18">
        <f>Table15[[#This Row],[Adjusted %]]*$K$84</f>
        <v>128927.96439641858</v>
      </c>
      <c r="L23" s="18">
        <f>Table15[[#This Row],[Adjusted %]]*$L$84</f>
        <v>128927.96450495934</v>
      </c>
      <c r="M23" s="18">
        <f>Table15[[#This Row],[Adjusted %]]*$M$84</f>
        <v>62362.522755968399</v>
      </c>
      <c r="N23" s="18">
        <f>Table15[[#This Row],[Adjusted %]]*$N$84</f>
        <v>62362.522755968399</v>
      </c>
      <c r="O23" s="18">
        <f>Table15[[#This Row],[Adjusted %]]*$O$84</f>
        <v>62362.522755968399</v>
      </c>
      <c r="P23" s="18">
        <f>Table15[[#This Row],[Adjusted %]]*$P$84</f>
        <v>62362.522755968399</v>
      </c>
      <c r="Q23" s="18">
        <f>Table15[[#This Row],[Adjusted %]]*$Q$84</f>
        <v>62362.522755968399</v>
      </c>
      <c r="R23" s="18">
        <f>SUM(Table15[[#This Row],[Payment 1]:[Payment 15]])</f>
        <v>1484137.4063771649</v>
      </c>
    </row>
    <row r="24" spans="1:18" x14ac:dyDescent="0.3">
      <c r="A24" t="s">
        <v>220</v>
      </c>
      <c r="B24">
        <v>1.3474674937241388E-2</v>
      </c>
      <c r="C24" s="48">
        <f>Table15[[#This Row],[Adjusted %]]*$C$84</f>
        <v>44107.208567553993</v>
      </c>
      <c r="D24" s="48">
        <f>Table15[[#This Row],[Adjusted %]]*$D$84</f>
        <v>44107.208577660007</v>
      </c>
      <c r="E24" s="18">
        <f>Table15[[#This Row],[Adjusted %]]*$E$84</f>
        <v>32705.668702126517</v>
      </c>
      <c r="F24" s="18">
        <f>Table15[[#This Row],[Adjusted %]]*$F$84</f>
        <v>32705.668702126517</v>
      </c>
      <c r="G24" s="18">
        <f>Table15[[#This Row],[Adjusted %]]*$G$84</f>
        <v>32705.668702126517</v>
      </c>
      <c r="H24" s="18">
        <f>Table15[[#This Row],[Adjusted %]]*$H$84</f>
        <v>41585.823452180317</v>
      </c>
      <c r="I24" s="18">
        <f>Table15[[#This Row],[Adjusted %]]*$I$84</f>
        <v>40533.61001942322</v>
      </c>
      <c r="J24" s="18">
        <f>Table15[[#This Row],[Adjusted %]]*$J$84</f>
        <v>44079.300622474002</v>
      </c>
      <c r="K24" s="18">
        <f>Table15[[#This Row],[Adjusted %]]*$K$84</f>
        <v>44062.601362081186</v>
      </c>
      <c r="L24" s="18">
        <f>Table15[[#This Row],[Adjusted %]]*$L$84</f>
        <v>44062.601399176223</v>
      </c>
      <c r="M24" s="18">
        <f>Table15[[#This Row],[Adjusted %]]*$M$84</f>
        <v>21313.102964078778</v>
      </c>
      <c r="N24" s="18">
        <f>Table15[[#This Row],[Adjusted %]]*$N$84</f>
        <v>21313.102964078778</v>
      </c>
      <c r="O24" s="18">
        <f>Table15[[#This Row],[Adjusted %]]*$O$84</f>
        <v>21313.102964078778</v>
      </c>
      <c r="P24" s="18">
        <f>Table15[[#This Row],[Adjusted %]]*$P$84</f>
        <v>21313.102964078778</v>
      </c>
      <c r="Q24" s="18">
        <f>Table15[[#This Row],[Adjusted %]]*$Q$84</f>
        <v>21313.102964078778</v>
      </c>
      <c r="R24" s="18">
        <f>SUM(Table15[[#This Row],[Payment 1]:[Payment 15]])</f>
        <v>507220.87492732238</v>
      </c>
    </row>
    <row r="25" spans="1:18" x14ac:dyDescent="0.3">
      <c r="A25" t="s">
        <v>144</v>
      </c>
      <c r="B25">
        <v>3.2589541327809404E-2</v>
      </c>
      <c r="C25" s="48">
        <f>Table15[[#This Row],[Adjusted %]]*$C$84</f>
        <v>106676.68816958411</v>
      </c>
      <c r="D25" s="48">
        <f>Table15[[#This Row],[Adjusted %]]*$D$84</f>
        <v>106676.6881940263</v>
      </c>
      <c r="E25" s="18">
        <f>Table15[[#This Row],[Adjusted %]]*$E$84</f>
        <v>79101.184020087705</v>
      </c>
      <c r="F25" s="18">
        <f>Table15[[#This Row],[Adjusted %]]*$F$84</f>
        <v>79101.184020087705</v>
      </c>
      <c r="G25" s="18">
        <f>Table15[[#This Row],[Adjusted %]]*$G$84</f>
        <v>79101.184020087705</v>
      </c>
      <c r="H25" s="18">
        <f>Table15[[#This Row],[Adjusted %]]*$H$84</f>
        <v>100578.52366442862</v>
      </c>
      <c r="I25" s="18">
        <f>Table15[[#This Row],[Adjusted %]]*$I$84</f>
        <v>98033.664266170366</v>
      </c>
      <c r="J25" s="18">
        <f>Table15[[#This Row],[Adjusted %]]*$J$84</f>
        <v>106609.19065043841</v>
      </c>
      <c r="K25" s="18">
        <f>Table15[[#This Row],[Adjusted %]]*$K$84</f>
        <v>106568.80220030878</v>
      </c>
      <c r="L25" s="18">
        <f>Table15[[#This Row],[Adjusted %]]*$L$84</f>
        <v>106568.80229002601</v>
      </c>
      <c r="M25" s="18">
        <f>Table15[[#This Row],[Adjusted %]]*$M$84</f>
        <v>51547.384490293443</v>
      </c>
      <c r="N25" s="18">
        <f>Table15[[#This Row],[Adjusted %]]*$N$84</f>
        <v>51547.384490293443</v>
      </c>
      <c r="O25" s="18">
        <f>Table15[[#This Row],[Adjusted %]]*$O$84</f>
        <v>51547.384490293443</v>
      </c>
      <c r="P25" s="18">
        <f>Table15[[#This Row],[Adjusted %]]*$P$84</f>
        <v>51547.384490293443</v>
      </c>
      <c r="Q25" s="18">
        <f>Table15[[#This Row],[Adjusted %]]*$Q$84</f>
        <v>51547.384490293443</v>
      </c>
      <c r="R25" s="18">
        <f>SUM(Table15[[#This Row],[Payment 1]:[Payment 15]])</f>
        <v>1226752.8339467128</v>
      </c>
    </row>
    <row r="26" spans="1:18" x14ac:dyDescent="0.3">
      <c r="A26" t="s">
        <v>145</v>
      </c>
      <c r="B26">
        <v>6.2390815152689461E-3</v>
      </c>
      <c r="C26" s="48">
        <f>Table15[[#This Row],[Adjusted %]]*$C$84</f>
        <v>20422.6425457857</v>
      </c>
      <c r="D26" s="48">
        <f>Table15[[#This Row],[Adjusted %]]*$D$84</f>
        <v>20422.642550465014</v>
      </c>
      <c r="E26" s="18">
        <f>Table15[[#This Row],[Adjusted %]]*$E$84</f>
        <v>15143.469804973463</v>
      </c>
      <c r="F26" s="18">
        <f>Table15[[#This Row],[Adjusted %]]*$F$84</f>
        <v>15143.469804973463</v>
      </c>
      <c r="G26" s="18">
        <f>Table15[[#This Row],[Adjusted %]]*$G$84</f>
        <v>15143.469804973463</v>
      </c>
      <c r="H26" s="18">
        <f>Table15[[#This Row],[Adjusted %]]*$H$84</f>
        <v>19255.183787821574</v>
      </c>
      <c r="I26" s="18">
        <f>Table15[[#This Row],[Adjusted %]]*$I$84</f>
        <v>18767.98499386117</v>
      </c>
      <c r="J26" s="18">
        <f>Table15[[#This Row],[Adjusted %]]*$J$84</f>
        <v>20409.7205313335</v>
      </c>
      <c r="K26" s="18">
        <f>Table15[[#This Row],[Adjusted %]]*$K$84</f>
        <v>20401.988393280393</v>
      </c>
      <c r="L26" s="18">
        <f>Table15[[#This Row],[Adjusted %]]*$L$84</f>
        <v>20401.988410456244</v>
      </c>
      <c r="M26" s="18">
        <f>Table15[[#This Row],[Adjusted %]]*$M$84</f>
        <v>9868.4522896127783</v>
      </c>
      <c r="N26" s="18">
        <f>Table15[[#This Row],[Adjusted %]]*$N$84</f>
        <v>9868.4522896127783</v>
      </c>
      <c r="O26" s="18">
        <f>Table15[[#This Row],[Adjusted %]]*$O$84</f>
        <v>9868.4522896127783</v>
      </c>
      <c r="P26" s="18">
        <f>Table15[[#This Row],[Adjusted %]]*$P$84</f>
        <v>9868.4522896127783</v>
      </c>
      <c r="Q26" s="18">
        <f>Table15[[#This Row],[Adjusted %]]*$Q$84</f>
        <v>9868.4522896127783</v>
      </c>
      <c r="R26" s="18">
        <f>SUM(Table15[[#This Row],[Payment 1]:[Payment 15]])</f>
        <v>234854.82207598793</v>
      </c>
    </row>
    <row r="27" spans="1:18" x14ac:dyDescent="0.3">
      <c r="A27" t="s">
        <v>146</v>
      </c>
      <c r="B27">
        <v>2.4060007399784249E-2</v>
      </c>
      <c r="C27" s="48">
        <f>Table15[[#This Row],[Adjusted %]]*$C$84</f>
        <v>78756.613384874378</v>
      </c>
      <c r="D27" s="48">
        <f>Table15[[#This Row],[Adjusted %]]*$D$84</f>
        <v>78756.613402919393</v>
      </c>
      <c r="E27" s="18">
        <f>Table15[[#This Row],[Adjusted %]]*$E$84</f>
        <v>58398.338709694654</v>
      </c>
      <c r="F27" s="18">
        <f>Table15[[#This Row],[Adjusted %]]*$F$84</f>
        <v>58398.338709694654</v>
      </c>
      <c r="G27" s="18">
        <f>Table15[[#This Row],[Adjusted %]]*$G$84</f>
        <v>58398.338709694654</v>
      </c>
      <c r="H27" s="18">
        <f>Table15[[#This Row],[Adjusted %]]*$H$84</f>
        <v>74254.497763076972</v>
      </c>
      <c r="I27" s="18">
        <f>Table15[[#This Row],[Adjusted %]]*$I$84</f>
        <v>72375.694519496014</v>
      </c>
      <c r="J27" s="18">
        <f>Table15[[#This Row],[Adjusted %]]*$J$84</f>
        <v>78706.781728952075</v>
      </c>
      <c r="K27" s="18">
        <f>Table15[[#This Row],[Adjusted %]]*$K$84</f>
        <v>78676.963990825301</v>
      </c>
      <c r="L27" s="18">
        <f>Table15[[#This Row],[Adjusted %]]*$L$84</f>
        <v>78676.964057061181</v>
      </c>
      <c r="M27" s="18">
        <f>Table15[[#This Row],[Adjusted %]]*$M$84</f>
        <v>38056.087988500374</v>
      </c>
      <c r="N27" s="18">
        <f>Table15[[#This Row],[Adjusted %]]*$N$84</f>
        <v>38056.087988500374</v>
      </c>
      <c r="O27" s="18">
        <f>Table15[[#This Row],[Adjusted %]]*$O$84</f>
        <v>38056.087988500374</v>
      </c>
      <c r="P27" s="18">
        <f>Table15[[#This Row],[Adjusted %]]*$P$84</f>
        <v>38056.087988500374</v>
      </c>
      <c r="Q27" s="18">
        <f>Table15[[#This Row],[Adjusted %]]*$Q$84</f>
        <v>38056.087988500374</v>
      </c>
      <c r="R27" s="18">
        <f>SUM(Table15[[#This Row],[Payment 1]:[Payment 15]])</f>
        <v>905679.58491879108</v>
      </c>
    </row>
    <row r="28" spans="1:18" x14ac:dyDescent="0.3">
      <c r="A28" t="s">
        <v>147</v>
      </c>
      <c r="B28">
        <v>3.51762122630256E-2</v>
      </c>
      <c r="C28" s="48">
        <f>Table15[[#This Row],[Adjusted %]]*$C$84</f>
        <v>115143.74470093581</v>
      </c>
      <c r="D28" s="48">
        <f>Table15[[#This Row],[Adjusted %]]*$D$84</f>
        <v>115143.74472731799</v>
      </c>
      <c r="E28" s="18">
        <f>Table15[[#This Row],[Adjusted %]]*$E$84</f>
        <v>85379.539753537421</v>
      </c>
      <c r="F28" s="18">
        <f>Table15[[#This Row],[Adjusted %]]*$F$84</f>
        <v>85379.539753537421</v>
      </c>
      <c r="G28" s="18">
        <f>Table15[[#This Row],[Adjusted %]]*$G$84</f>
        <v>85379.539753537421</v>
      </c>
      <c r="H28" s="18">
        <f>Table15[[#This Row],[Adjusted %]]*$H$84</f>
        <v>108561.56157382467</v>
      </c>
      <c r="I28" s="18">
        <f>Table15[[#This Row],[Adjusted %]]*$I$84</f>
        <v>105814.71363656022</v>
      </c>
      <c r="J28" s="18">
        <f>Table15[[#This Row],[Adjusted %]]*$J$84</f>
        <v>115070.88982283813</v>
      </c>
      <c r="K28" s="18">
        <f>Table15[[#This Row],[Adjusted %]]*$K$84</f>
        <v>115027.29569303914</v>
      </c>
      <c r="L28" s="18">
        <f>Table15[[#This Row],[Adjusted %]]*$L$84</f>
        <v>115027.29578987732</v>
      </c>
      <c r="M28" s="18">
        <f>Table15[[#This Row],[Adjusted %]]*$M$84</f>
        <v>55638.762147507579</v>
      </c>
      <c r="N28" s="18">
        <f>Table15[[#This Row],[Adjusted %]]*$N$84</f>
        <v>55638.762147507579</v>
      </c>
      <c r="O28" s="18">
        <f>Table15[[#This Row],[Adjusted %]]*$O$84</f>
        <v>55638.762147507579</v>
      </c>
      <c r="P28" s="18">
        <f>Table15[[#This Row],[Adjusted %]]*$P$84</f>
        <v>55638.762147507579</v>
      </c>
      <c r="Q28" s="18">
        <f>Table15[[#This Row],[Adjusted %]]*$Q$84</f>
        <v>55638.762147507579</v>
      </c>
      <c r="R28" s="18">
        <f>SUM(Table15[[#This Row],[Payment 1]:[Payment 15]])</f>
        <v>1324121.6759425434</v>
      </c>
    </row>
    <row r="29" spans="1:18" x14ac:dyDescent="0.3">
      <c r="A29" t="s">
        <v>148</v>
      </c>
      <c r="B29">
        <v>5.1558829009968827E-3</v>
      </c>
      <c r="C29" s="48">
        <f>Table15[[#This Row],[Adjusted %]]*$C$84</f>
        <v>16876.963898819798</v>
      </c>
      <c r="D29" s="48">
        <f>Table15[[#This Row],[Adjusted %]]*$D$84</f>
        <v>16876.963902686715</v>
      </c>
      <c r="E29" s="18">
        <f>Table15[[#This Row],[Adjusted %]]*$E$84</f>
        <v>12514.33513701409</v>
      </c>
      <c r="F29" s="18">
        <f>Table15[[#This Row],[Adjusted %]]*$F$84</f>
        <v>12514.33513701409</v>
      </c>
      <c r="G29" s="18">
        <f>Table15[[#This Row],[Adjusted %]]*$G$84</f>
        <v>12514.33513701409</v>
      </c>
      <c r="H29" s="18">
        <f>Table15[[#This Row],[Adjusted %]]*$H$84</f>
        <v>15912.193582375743</v>
      </c>
      <c r="I29" s="18">
        <f>Table15[[#This Row],[Adjusted %]]*$I$84</f>
        <v>15509.57984427675</v>
      </c>
      <c r="J29" s="18">
        <f>Table15[[#This Row],[Adjusted %]]*$J$84</f>
        <v>16866.28534089465</v>
      </c>
      <c r="K29" s="18">
        <f>Table15[[#This Row],[Adjusted %]]*$K$84</f>
        <v>16859.89561858078</v>
      </c>
      <c r="L29" s="18">
        <f>Table15[[#This Row],[Adjusted %]]*$L$84</f>
        <v>16859.895632774645</v>
      </c>
      <c r="M29" s="18">
        <f>Table15[[#This Row],[Adjusted %]]*$M$84</f>
        <v>8155.1401908754779</v>
      </c>
      <c r="N29" s="18">
        <f>Table15[[#This Row],[Adjusted %]]*$N$84</f>
        <v>8155.1401908754779</v>
      </c>
      <c r="O29" s="18">
        <f>Table15[[#This Row],[Adjusted %]]*$O$84</f>
        <v>8155.1401908754779</v>
      </c>
      <c r="P29" s="18">
        <f>Table15[[#This Row],[Adjusted %]]*$P$84</f>
        <v>8155.1401908754779</v>
      </c>
      <c r="Q29" s="18">
        <f>Table15[[#This Row],[Adjusted %]]*$Q$84</f>
        <v>8155.1401908754779</v>
      </c>
      <c r="R29" s="18">
        <f>SUM(Table15[[#This Row],[Payment 1]:[Payment 15]])</f>
        <v>194080.48418582877</v>
      </c>
    </row>
    <row r="30" spans="1:18" x14ac:dyDescent="0.3">
      <c r="A30" t="s">
        <v>221</v>
      </c>
      <c r="B30">
        <v>6.376803589261017E-3</v>
      </c>
      <c r="C30" s="48">
        <f>Table15[[#This Row],[Adjusted %]]*$C$84</f>
        <v>20873.45388410864</v>
      </c>
      <c r="D30" s="48">
        <f>Table15[[#This Row],[Adjusted %]]*$D$84</f>
        <v>20873.453888891247</v>
      </c>
      <c r="E30" s="18">
        <f>Table15[[#This Row],[Adjusted %]]*$E$84</f>
        <v>15477.748186153958</v>
      </c>
      <c r="F30" s="18">
        <f>Table15[[#This Row],[Adjusted %]]*$F$84</f>
        <v>15477.748186153958</v>
      </c>
      <c r="G30" s="18">
        <f>Table15[[#This Row],[Adjusted %]]*$G$84</f>
        <v>15477.748186153958</v>
      </c>
      <c r="H30" s="18">
        <f>Table15[[#This Row],[Adjusted %]]*$H$84</f>
        <v>19680.224531377717</v>
      </c>
      <c r="I30" s="18">
        <f>Table15[[#This Row],[Adjusted %]]*$I$84</f>
        <v>19182.271265274827</v>
      </c>
      <c r="J30" s="18">
        <f>Table15[[#This Row],[Adjusted %]]*$J$84</f>
        <v>20860.246627890301</v>
      </c>
      <c r="K30" s="18">
        <f>Table15[[#This Row],[Adjusted %]]*$K$84</f>
        <v>20852.343809892322</v>
      </c>
      <c r="L30" s="18">
        <f>Table15[[#This Row],[Adjusted %]]*$L$84</f>
        <v>20852.343827447312</v>
      </c>
      <c r="M30" s="18">
        <f>Table15[[#This Row],[Adjusted %]]*$M$84</f>
        <v>10086.289436489467</v>
      </c>
      <c r="N30" s="18">
        <f>Table15[[#This Row],[Adjusted %]]*$N$84</f>
        <v>10086.289436489467</v>
      </c>
      <c r="O30" s="18">
        <f>Table15[[#This Row],[Adjusted %]]*$O$84</f>
        <v>10086.289436489467</v>
      </c>
      <c r="P30" s="18">
        <f>Table15[[#This Row],[Adjusted %]]*$P$84</f>
        <v>10086.289436489467</v>
      </c>
      <c r="Q30" s="18">
        <f>Table15[[#This Row],[Adjusted %]]*$Q$84</f>
        <v>10086.289436489467</v>
      </c>
      <c r="R30" s="18">
        <f>SUM(Table15[[#This Row],[Payment 1]:[Payment 15]])</f>
        <v>240039.02957579153</v>
      </c>
    </row>
    <row r="31" spans="1:18" x14ac:dyDescent="0.3">
      <c r="A31" t="s">
        <v>149</v>
      </c>
      <c r="B31">
        <v>2.6264260695870859E-2</v>
      </c>
      <c r="C31" s="48">
        <f>Table15[[#This Row],[Adjusted %]]*$C$84</f>
        <v>85971.886504191236</v>
      </c>
      <c r="D31" s="48">
        <f>Table15[[#This Row],[Adjusted %]]*$D$84</f>
        <v>85971.88652388945</v>
      </c>
      <c r="E31" s="18">
        <f>Table15[[#This Row],[Adjusted %]]*$E$84</f>
        <v>63748.492117709859</v>
      </c>
      <c r="F31" s="18">
        <f>Table15[[#This Row],[Adjusted %]]*$F$84</f>
        <v>63748.492117709859</v>
      </c>
      <c r="G31" s="18">
        <f>Table15[[#This Row],[Adjusted %]]*$G$84</f>
        <v>63748.492117709859</v>
      </c>
      <c r="H31" s="18">
        <f>Table15[[#This Row],[Adjusted %]]*$H$84</f>
        <v>81057.310360922886</v>
      </c>
      <c r="I31" s="18">
        <f>Table15[[#This Row],[Adjusted %]]*$I$84</f>
        <v>79006.380892542889</v>
      </c>
      <c r="J31" s="18">
        <f>Table15[[#This Row],[Adjusted %]]*$J$84</f>
        <v>85917.489529979925</v>
      </c>
      <c r="K31" s="18">
        <f>Table15[[#This Row],[Adjusted %]]*$K$84</f>
        <v>85884.940045081181</v>
      </c>
      <c r="L31" s="18">
        <f>Table15[[#This Row],[Adjusted %]]*$L$84</f>
        <v>85884.940117385253</v>
      </c>
      <c r="M31" s="18">
        <f>Table15[[#This Row],[Adjusted %]]*$M$84</f>
        <v>41542.589716906587</v>
      </c>
      <c r="N31" s="18">
        <f>Table15[[#This Row],[Adjusted %]]*$N$84</f>
        <v>41542.589716906587</v>
      </c>
      <c r="O31" s="18">
        <f>Table15[[#This Row],[Adjusted %]]*$O$84</f>
        <v>41542.589716906587</v>
      </c>
      <c r="P31" s="18">
        <f>Table15[[#This Row],[Adjusted %]]*$P$84</f>
        <v>41542.589716906587</v>
      </c>
      <c r="Q31" s="18">
        <f>Table15[[#This Row],[Adjusted %]]*$Q$84</f>
        <v>41542.589716906587</v>
      </c>
      <c r="R31" s="18">
        <f>SUM(Table15[[#This Row],[Payment 1]:[Payment 15]])</f>
        <v>988653.25891165517</v>
      </c>
    </row>
    <row r="32" spans="1:18" x14ac:dyDescent="0.3">
      <c r="A32" t="s">
        <v>150</v>
      </c>
      <c r="B32">
        <v>2.4723863802197009E-2</v>
      </c>
      <c r="C32" s="48">
        <f>Table15[[#This Row],[Adjusted %]]*$C$84</f>
        <v>80929.641894764369</v>
      </c>
      <c r="D32" s="48">
        <f>Table15[[#This Row],[Adjusted %]]*$D$84</f>
        <v>80929.641913307278</v>
      </c>
      <c r="E32" s="18">
        <f>Table15[[#This Row],[Adjusted %]]*$E$84</f>
        <v>60009.647900025469</v>
      </c>
      <c r="F32" s="18">
        <f>Table15[[#This Row],[Adjusted %]]*$F$84</f>
        <v>60009.647900025469</v>
      </c>
      <c r="G32" s="18">
        <f>Table15[[#This Row],[Adjusted %]]*$G$84</f>
        <v>60009.647900025469</v>
      </c>
      <c r="H32" s="18">
        <f>Table15[[#This Row],[Adjusted %]]*$H$84</f>
        <v>76303.30526878059</v>
      </c>
      <c r="I32" s="18">
        <f>Table15[[#This Row],[Adjusted %]]*$I$84</f>
        <v>74372.662657846144</v>
      </c>
      <c r="J32" s="18">
        <f>Table15[[#This Row],[Adjusted %]]*$J$84</f>
        <v>80878.435298956261</v>
      </c>
      <c r="K32" s="18">
        <f>Table15[[#This Row],[Adjusted %]]*$K$84</f>
        <v>80847.794838873</v>
      </c>
      <c r="L32" s="18">
        <f>Table15[[#This Row],[Adjusted %]]*$L$84</f>
        <v>80847.79490693644</v>
      </c>
      <c r="M32" s="18">
        <f>Table15[[#This Row],[Adjusted %]]*$M$84</f>
        <v>39106.119987334081</v>
      </c>
      <c r="N32" s="18">
        <f>Table15[[#This Row],[Adjusted %]]*$N$84</f>
        <v>39106.119987334081</v>
      </c>
      <c r="O32" s="18">
        <f>Table15[[#This Row],[Adjusted %]]*$O$84</f>
        <v>39106.119987334081</v>
      </c>
      <c r="P32" s="18">
        <f>Table15[[#This Row],[Adjusted %]]*$P$84</f>
        <v>39106.119987334081</v>
      </c>
      <c r="Q32" s="18">
        <f>Table15[[#This Row],[Adjusted %]]*$Q$84</f>
        <v>39106.119987334081</v>
      </c>
      <c r="R32" s="18">
        <f>SUM(Table15[[#This Row],[Payment 1]:[Payment 15]])</f>
        <v>930668.82041621103</v>
      </c>
    </row>
    <row r="33" spans="1:18" x14ac:dyDescent="0.3">
      <c r="A33" t="s">
        <v>151</v>
      </c>
      <c r="B33">
        <v>0</v>
      </c>
      <c r="C33" s="48">
        <f>Table15[[#This Row],[Adjusted %]]*$C$84</f>
        <v>0</v>
      </c>
      <c r="D33" s="48">
        <f>Table15[[#This Row],[Adjusted %]]*$D$84</f>
        <v>0</v>
      </c>
      <c r="E33" s="18">
        <f>Table15[[#This Row],[Adjusted %]]*$E$84</f>
        <v>0</v>
      </c>
      <c r="F33" s="18">
        <f>Table15[[#This Row],[Adjusted %]]*$F$84</f>
        <v>0</v>
      </c>
      <c r="G33" s="18">
        <f>Table15[[#This Row],[Adjusted %]]*$G$84</f>
        <v>0</v>
      </c>
      <c r="H33" s="18">
        <f>Table15[[#This Row],[Adjusted %]]*$H$84</f>
        <v>0</v>
      </c>
      <c r="I33" s="18">
        <f>Table15[[#This Row],[Adjusted %]]*$I$84</f>
        <v>0</v>
      </c>
      <c r="J33" s="18">
        <f>Table15[[#This Row],[Adjusted %]]*$J$84</f>
        <v>0</v>
      </c>
      <c r="K33" s="18">
        <f>Table15[[#This Row],[Adjusted %]]*$K$84</f>
        <v>0</v>
      </c>
      <c r="L33" s="18">
        <f>Table15[[#This Row],[Adjusted %]]*$L$84</f>
        <v>0</v>
      </c>
      <c r="M33" s="18">
        <f>Table15[[#This Row],[Adjusted %]]*$M$84</f>
        <v>0</v>
      </c>
      <c r="N33" s="18">
        <f>Table15[[#This Row],[Adjusted %]]*$N$84</f>
        <v>0</v>
      </c>
      <c r="O33" s="18">
        <f>Table15[[#This Row],[Adjusted %]]*$O$84</f>
        <v>0</v>
      </c>
      <c r="P33" s="18">
        <f>Table15[[#This Row],[Adjusted %]]*$P$84</f>
        <v>0</v>
      </c>
      <c r="Q33" s="18">
        <f>Table15[[#This Row],[Adjusted %]]*$Q$84</f>
        <v>0</v>
      </c>
      <c r="R33" s="18">
        <f>SUM(Table15[[#This Row],[Payment 1]:[Payment 15]])</f>
        <v>0</v>
      </c>
    </row>
    <row r="34" spans="1:18" x14ac:dyDescent="0.3">
      <c r="A34" t="s">
        <v>152</v>
      </c>
      <c r="B34">
        <v>2.5766830968202328E-2</v>
      </c>
      <c r="C34" s="18">
        <f>Table15[[#This Row],[Adjusted %]]*$C$84</f>
        <v>84343.629284765571</v>
      </c>
      <c r="D34" s="18">
        <f>Table15[[#This Row],[Adjusted %]]*$D$84</f>
        <v>84343.629304090704</v>
      </c>
      <c r="E34" s="18">
        <f>Table15[[#This Row],[Adjusted %]]*$E$84</f>
        <v>62541.132982777985</v>
      </c>
      <c r="F34" s="18">
        <f>Table15[[#This Row],[Adjusted %]]*$F$84</f>
        <v>62541.132982777985</v>
      </c>
      <c r="G34" s="18">
        <f>Table15[[#This Row],[Adjusted %]]*$G$84</f>
        <v>62541.132982777985</v>
      </c>
      <c r="H34" s="18">
        <f>Table15[[#This Row],[Adjusted %]]*$H$84</f>
        <v>79522.132337628413</v>
      </c>
      <c r="I34" s="18">
        <f>Table15[[#This Row],[Adjusted %]]*$I$84</f>
        <v>77510.046273170476</v>
      </c>
      <c r="J34" s="18">
        <f>Table15[[#This Row],[Adjusted %]]*$J$84</f>
        <v>84290.26255741257</v>
      </c>
      <c r="K34" s="18">
        <f>Table15[[#This Row],[Adjusted %]]*$K$84</f>
        <v>84258.329540709761</v>
      </c>
      <c r="L34" s="18">
        <f>Table15[[#This Row],[Adjusted %]]*$L$84</f>
        <v>84258.32961164444</v>
      </c>
      <c r="M34" s="18">
        <f>Table15[[#This Row],[Adjusted %]]*$M$84</f>
        <v>40755.797378496121</v>
      </c>
      <c r="N34" s="18">
        <f>Table15[[#This Row],[Adjusted %]]*$N$84</f>
        <v>40755.797378496121</v>
      </c>
      <c r="O34" s="18">
        <f>Table15[[#This Row],[Adjusted %]]*$O$84</f>
        <v>40755.797378496121</v>
      </c>
      <c r="P34" s="18">
        <f>Table15[[#This Row],[Adjusted %]]*$P$84</f>
        <v>40755.797378496121</v>
      </c>
      <c r="Q34" s="18">
        <f>Table15[[#This Row],[Adjusted %]]*$Q$84</f>
        <v>40755.797378496121</v>
      </c>
      <c r="R34" s="18">
        <f>SUM(Table15[[#This Row],[Payment 1]:[Payment 15]])</f>
        <v>969928.74475023674</v>
      </c>
    </row>
    <row r="35" spans="1:18" x14ac:dyDescent="0.3">
      <c r="A35" t="s">
        <v>153</v>
      </c>
      <c r="B35">
        <v>4.8765381278234217E-3</v>
      </c>
      <c r="C35" s="18">
        <f>Table15[[#This Row],[Adjusted %]]*$C$84</f>
        <v>15962.573145053657</v>
      </c>
      <c r="D35" s="18">
        <f>Table15[[#This Row],[Adjusted %]]*$D$84</f>
        <v>15962.573148711062</v>
      </c>
      <c r="E35" s="18">
        <f>Table15[[#This Row],[Adjusted %]]*$E$84</f>
        <v>11836.310795229687</v>
      </c>
      <c r="F35" s="18">
        <f>Table15[[#This Row],[Adjusted %]]*$F$84</f>
        <v>11836.310795229687</v>
      </c>
      <c r="G35" s="18">
        <f>Table15[[#This Row],[Adjusted %]]*$G$84</f>
        <v>11836.310795229687</v>
      </c>
      <c r="H35" s="18">
        <f>Table15[[#This Row],[Adjusted %]]*$H$84</f>
        <v>15050.073904269491</v>
      </c>
      <c r="I35" s="18">
        <f>Table15[[#This Row],[Adjusted %]]*$I$84</f>
        <v>14669.273703348397</v>
      </c>
      <c r="J35" s="18">
        <f>Table15[[#This Row],[Adjusted %]]*$J$84</f>
        <v>15952.47314940362</v>
      </c>
      <c r="K35" s="18">
        <f>Table15[[#This Row],[Adjusted %]]*$K$84</f>
        <v>15946.429621052004</v>
      </c>
      <c r="L35" s="18">
        <f>Table15[[#This Row],[Adjusted %]]*$L$84</f>
        <v>15946.429634476846</v>
      </c>
      <c r="M35" s="18">
        <f>Table15[[#This Row],[Adjusted %]]*$M$84</f>
        <v>7713.2962175809298</v>
      </c>
      <c r="N35" s="18">
        <f>Table15[[#This Row],[Adjusted %]]*$N$84</f>
        <v>7713.2962175809298</v>
      </c>
      <c r="O35" s="18">
        <f>Table15[[#This Row],[Adjusted %]]*$O$84</f>
        <v>7713.2962175809298</v>
      </c>
      <c r="P35" s="18">
        <f>Table15[[#This Row],[Adjusted %]]*$P$84</f>
        <v>7713.2962175809298</v>
      </c>
      <c r="Q35" s="18">
        <f>Table15[[#This Row],[Adjusted %]]*$Q$84</f>
        <v>7713.2962175809298</v>
      </c>
      <c r="R35" s="18">
        <f>SUM(Table15[[#This Row],[Payment 1]:[Payment 15]])</f>
        <v>183565.23977990882</v>
      </c>
    </row>
    <row r="36" spans="1:18" x14ac:dyDescent="0.3">
      <c r="A36" t="s">
        <v>154</v>
      </c>
      <c r="B36">
        <v>1.689883461231089E-3</v>
      </c>
      <c r="C36" s="18">
        <f>Table15[[#This Row],[Adjusted %]]*$C$84</f>
        <v>5531.5651491804474</v>
      </c>
      <c r="D36" s="18">
        <f>Table15[[#This Row],[Adjusted %]]*$D$84</f>
        <v>5531.565150447861</v>
      </c>
      <c r="E36" s="18">
        <f>Table15[[#This Row],[Adjusted %]]*$E$84</f>
        <v>4101.677323248422</v>
      </c>
      <c r="F36" s="18">
        <f>Table15[[#This Row],[Adjusted %]]*$F$84</f>
        <v>4101.677323248422</v>
      </c>
      <c r="G36" s="18">
        <f>Table15[[#This Row],[Adjusted %]]*$G$84</f>
        <v>4101.677323248422</v>
      </c>
      <c r="H36" s="18">
        <f>Table15[[#This Row],[Adjusted %]]*$H$84</f>
        <v>5215.3536616522351</v>
      </c>
      <c r="I36" s="18">
        <f>Table15[[#This Row],[Adjusted %]]*$I$84</f>
        <v>5083.3936636572535</v>
      </c>
      <c r="J36" s="18">
        <f>Table15[[#This Row],[Adjusted %]]*$J$84</f>
        <v>5528.065163091931</v>
      </c>
      <c r="K36" s="18">
        <f>Table15[[#This Row],[Adjusted %]]*$K$84</f>
        <v>5525.9708785111116</v>
      </c>
      <c r="L36" s="18">
        <f>Table15[[#This Row],[Adjusted %]]*$L$84</f>
        <v>5525.9708831632679</v>
      </c>
      <c r="M36" s="18">
        <f>Table15[[#This Row],[Adjusted %]]*$M$84</f>
        <v>2672.9149589329954</v>
      </c>
      <c r="N36" s="18">
        <f>Table15[[#This Row],[Adjusted %]]*$N$84</f>
        <v>2672.9149589329954</v>
      </c>
      <c r="O36" s="18">
        <f>Table15[[#This Row],[Adjusted %]]*$O$84</f>
        <v>2672.9149589329954</v>
      </c>
      <c r="P36" s="18">
        <f>Table15[[#This Row],[Adjusted %]]*$P$84</f>
        <v>2672.9149589329954</v>
      </c>
      <c r="Q36" s="18">
        <f>Table15[[#This Row],[Adjusted %]]*$Q$84</f>
        <v>2672.9149589329954</v>
      </c>
      <c r="R36" s="18">
        <f>SUM(Table15[[#This Row],[Payment 1]:[Payment 15]])</f>
        <v>63611.491314114362</v>
      </c>
    </row>
    <row r="37" spans="1:18" x14ac:dyDescent="0.3">
      <c r="A37" t="s">
        <v>155</v>
      </c>
      <c r="B37">
        <v>1.9491116644861282E-2</v>
      </c>
      <c r="C37" s="18">
        <f>Table15[[#This Row],[Adjusted %]]*$C$84</f>
        <v>63801.075059211944</v>
      </c>
      <c r="D37" s="18">
        <f>Table15[[#This Row],[Adjusted %]]*$D$84</f>
        <v>63801.075073830296</v>
      </c>
      <c r="E37" s="18">
        <f>Table15[[#This Row],[Adjusted %]]*$E$84</f>
        <v>47308.748195438347</v>
      </c>
      <c r="F37" s="18">
        <f>Table15[[#This Row],[Adjusted %]]*$F$84</f>
        <v>47308.748195438347</v>
      </c>
      <c r="G37" s="18">
        <f>Table15[[#This Row],[Adjusted %]]*$G$84</f>
        <v>47308.748195438347</v>
      </c>
      <c r="H37" s="18">
        <f>Table15[[#This Row],[Adjusted %]]*$H$84</f>
        <v>60153.89161179986</v>
      </c>
      <c r="I37" s="18">
        <f>Table15[[#This Row],[Adjusted %]]*$I$84</f>
        <v>58631.864932219178</v>
      </c>
      <c r="J37" s="18">
        <f>Table15[[#This Row],[Adjusted %]]*$J$84</f>
        <v>63760.706218003827</v>
      </c>
      <c r="K37" s="18">
        <f>Table15[[#This Row],[Adjusted %]]*$K$84</f>
        <v>63736.550738653466</v>
      </c>
      <c r="L37" s="18">
        <f>Table15[[#This Row],[Adjusted %]]*$L$84</f>
        <v>63736.550792311442</v>
      </c>
      <c r="M37" s="18">
        <f>Table15[[#This Row],[Adjusted %]]*$M$84</f>
        <v>30829.402406485402</v>
      </c>
      <c r="N37" s="18">
        <f>Table15[[#This Row],[Adjusted %]]*$N$84</f>
        <v>30829.402406485402</v>
      </c>
      <c r="O37" s="18">
        <f>Table15[[#This Row],[Adjusted %]]*$O$84</f>
        <v>30829.402406485402</v>
      </c>
      <c r="P37" s="18">
        <f>Table15[[#This Row],[Adjusted %]]*$P$84</f>
        <v>30829.402406485402</v>
      </c>
      <c r="Q37" s="18">
        <f>Table15[[#This Row],[Adjusted %]]*$Q$84</f>
        <v>30829.402406485402</v>
      </c>
      <c r="R37" s="18">
        <f>SUM(Table15[[#This Row],[Payment 1]:[Payment 15]])</f>
        <v>733694.97104477207</v>
      </c>
    </row>
    <row r="38" spans="1:18" x14ac:dyDescent="0.3">
      <c r="A38" t="s">
        <v>156</v>
      </c>
      <c r="B38">
        <v>1.689883461231089E-3</v>
      </c>
      <c r="C38" s="18">
        <f>Table15[[#This Row],[Adjusted %]]*$C$84</f>
        <v>5531.5651491804474</v>
      </c>
      <c r="D38" s="18">
        <f>Table15[[#This Row],[Adjusted %]]*$D$84</f>
        <v>5531.565150447861</v>
      </c>
      <c r="E38" s="18">
        <f>Table15[[#This Row],[Adjusted %]]*$E$84</f>
        <v>4101.677323248422</v>
      </c>
      <c r="F38" s="18">
        <f>Table15[[#This Row],[Adjusted %]]*$F$84</f>
        <v>4101.677323248422</v>
      </c>
      <c r="G38" s="18">
        <f>Table15[[#This Row],[Adjusted %]]*$G$84</f>
        <v>4101.677323248422</v>
      </c>
      <c r="H38" s="18">
        <f>Table15[[#This Row],[Adjusted %]]*$H$84</f>
        <v>5215.3536616522351</v>
      </c>
      <c r="I38" s="18">
        <f>Table15[[#This Row],[Adjusted %]]*$I$84</f>
        <v>5083.3936636572535</v>
      </c>
      <c r="J38" s="18">
        <f>Table15[[#This Row],[Adjusted %]]*$J$84</f>
        <v>5528.065163091931</v>
      </c>
      <c r="K38" s="18">
        <f>Table15[[#This Row],[Adjusted %]]*$K$84</f>
        <v>5525.9708785111116</v>
      </c>
      <c r="L38" s="18">
        <f>Table15[[#This Row],[Adjusted %]]*$L$84</f>
        <v>5525.9708831632679</v>
      </c>
      <c r="M38" s="18">
        <f>Table15[[#This Row],[Adjusted %]]*$M$84</f>
        <v>2672.9149589329954</v>
      </c>
      <c r="N38" s="18">
        <f>Table15[[#This Row],[Adjusted %]]*$N$84</f>
        <v>2672.9149589329954</v>
      </c>
      <c r="O38" s="18">
        <f>Table15[[#This Row],[Adjusted %]]*$O$84</f>
        <v>2672.9149589329954</v>
      </c>
      <c r="P38" s="18">
        <f>Table15[[#This Row],[Adjusted %]]*$P$84</f>
        <v>2672.9149589329954</v>
      </c>
      <c r="Q38" s="18">
        <f>Table15[[#This Row],[Adjusted %]]*$Q$84</f>
        <v>2672.9149589329954</v>
      </c>
      <c r="R38" s="18">
        <f>SUM(Table15[[#This Row],[Payment 1]:[Payment 15]])</f>
        <v>63611.491314114362</v>
      </c>
    </row>
    <row r="39" spans="1:18" x14ac:dyDescent="0.3">
      <c r="A39" t="s">
        <v>157</v>
      </c>
      <c r="B39">
        <v>4.2247086530777227E-3</v>
      </c>
      <c r="C39" s="18">
        <f>Table15[[#This Row],[Adjusted %]]*$C$84</f>
        <v>13828.912872951118</v>
      </c>
      <c r="D39" s="18">
        <f>Table15[[#This Row],[Adjusted %]]*$D$84</f>
        <v>13828.912876119652</v>
      </c>
      <c r="E39" s="18">
        <f>Table15[[#This Row],[Adjusted %]]*$E$84</f>
        <v>10254.193308121057</v>
      </c>
      <c r="F39" s="18">
        <f>Table15[[#This Row],[Adjusted %]]*$F$84</f>
        <v>10254.193308121057</v>
      </c>
      <c r="G39" s="18">
        <f>Table15[[#This Row],[Adjusted %]]*$G$84</f>
        <v>10254.193308121057</v>
      </c>
      <c r="H39" s="18">
        <f>Table15[[#This Row],[Adjusted %]]*$H$84</f>
        <v>13038.384154130588</v>
      </c>
      <c r="I39" s="18">
        <f>Table15[[#This Row],[Adjusted %]]*$I$84</f>
        <v>12708.484159143134</v>
      </c>
      <c r="J39" s="18">
        <f>Table15[[#This Row],[Adjusted %]]*$J$84</f>
        <v>13820.162907729828</v>
      </c>
      <c r="K39" s="18">
        <f>Table15[[#This Row],[Adjusted %]]*$K$84</f>
        <v>13814.927196277778</v>
      </c>
      <c r="L39" s="18">
        <f>Table15[[#This Row],[Adjusted %]]*$L$84</f>
        <v>13814.927207908171</v>
      </c>
      <c r="M39" s="18">
        <f>Table15[[#This Row],[Adjusted %]]*$M$84</f>
        <v>6682.2873973324895</v>
      </c>
      <c r="N39" s="18">
        <f>Table15[[#This Row],[Adjusted %]]*$N$84</f>
        <v>6682.2873973324895</v>
      </c>
      <c r="O39" s="18">
        <f>Table15[[#This Row],[Adjusted %]]*$O$84</f>
        <v>6682.2873973324895</v>
      </c>
      <c r="P39" s="18">
        <f>Table15[[#This Row],[Adjusted %]]*$P$84</f>
        <v>6682.2873973324895</v>
      </c>
      <c r="Q39" s="18">
        <f>Table15[[#This Row],[Adjusted %]]*$Q$84</f>
        <v>6682.2873973324895</v>
      </c>
      <c r="R39" s="18">
        <f>SUM(Table15[[#This Row],[Payment 1]:[Payment 15]])</f>
        <v>159028.72828528588</v>
      </c>
    </row>
    <row r="40" spans="1:18" x14ac:dyDescent="0.3">
      <c r="A40" t="s">
        <v>158</v>
      </c>
      <c r="B40">
        <v>1.6898834612310891E-2</v>
      </c>
      <c r="C40" s="18">
        <f>Table15[[#This Row],[Adjusted %]]*$C$84</f>
        <v>55315.65149180447</v>
      </c>
      <c r="D40" s="18">
        <f>Table15[[#This Row],[Adjusted %]]*$D$84</f>
        <v>55315.651504478607</v>
      </c>
      <c r="E40" s="18">
        <f>Table15[[#This Row],[Adjusted %]]*$E$84</f>
        <v>41016.773232484229</v>
      </c>
      <c r="F40" s="18">
        <f>Table15[[#This Row],[Adjusted %]]*$F$84</f>
        <v>41016.773232484229</v>
      </c>
      <c r="G40" s="18">
        <f>Table15[[#This Row],[Adjusted %]]*$G$84</f>
        <v>41016.773232484229</v>
      </c>
      <c r="H40" s="18">
        <f>Table15[[#This Row],[Adjusted %]]*$H$84</f>
        <v>52153.536616522353</v>
      </c>
      <c r="I40" s="18">
        <f>Table15[[#This Row],[Adjusted %]]*$I$84</f>
        <v>50833.936636572536</v>
      </c>
      <c r="J40" s="18">
        <f>Table15[[#This Row],[Adjusted %]]*$J$84</f>
        <v>55280.65163091931</v>
      </c>
      <c r="K40" s="18">
        <f>Table15[[#This Row],[Adjusted %]]*$K$84</f>
        <v>55259.708785111114</v>
      </c>
      <c r="L40" s="18">
        <f>Table15[[#This Row],[Adjusted %]]*$L$84</f>
        <v>55259.708831632684</v>
      </c>
      <c r="M40" s="18">
        <f>Table15[[#This Row],[Adjusted %]]*$M$84</f>
        <v>26729.149589329958</v>
      </c>
      <c r="N40" s="18">
        <f>Table15[[#This Row],[Adjusted %]]*$N$84</f>
        <v>26729.149589329958</v>
      </c>
      <c r="O40" s="18">
        <f>Table15[[#This Row],[Adjusted %]]*$O$84</f>
        <v>26729.149589329958</v>
      </c>
      <c r="P40" s="18">
        <f>Table15[[#This Row],[Adjusted %]]*$P$84</f>
        <v>26729.149589329958</v>
      </c>
      <c r="Q40" s="18">
        <f>Table15[[#This Row],[Adjusted %]]*$Q$84</f>
        <v>26729.149589329958</v>
      </c>
      <c r="R40" s="18">
        <f>SUM(Table15[[#This Row],[Payment 1]:[Payment 15]])</f>
        <v>636114.91314114351</v>
      </c>
    </row>
    <row r="41" spans="1:18" x14ac:dyDescent="0.3">
      <c r="A41" t="s">
        <v>159</v>
      </c>
      <c r="B41">
        <v>1.689883461231089E-3</v>
      </c>
      <c r="C41" s="18">
        <f>Table15[[#This Row],[Adjusted %]]*$C$84</f>
        <v>5531.5651491804474</v>
      </c>
      <c r="D41" s="18">
        <f>Table15[[#This Row],[Adjusted %]]*$D$84</f>
        <v>5531.565150447861</v>
      </c>
      <c r="E41" s="18">
        <f>Table15[[#This Row],[Adjusted %]]*$E$84</f>
        <v>4101.677323248422</v>
      </c>
      <c r="F41" s="18">
        <f>Table15[[#This Row],[Adjusted %]]*$F$84</f>
        <v>4101.677323248422</v>
      </c>
      <c r="G41" s="18">
        <f>Table15[[#This Row],[Adjusted %]]*$G$84</f>
        <v>4101.677323248422</v>
      </c>
      <c r="H41" s="18">
        <f>Table15[[#This Row],[Adjusted %]]*$H$84</f>
        <v>5215.3536616522351</v>
      </c>
      <c r="I41" s="18">
        <f>Table15[[#This Row],[Adjusted %]]*$I$84</f>
        <v>5083.3936636572535</v>
      </c>
      <c r="J41" s="18">
        <f>Table15[[#This Row],[Adjusted %]]*$J$84</f>
        <v>5528.065163091931</v>
      </c>
      <c r="K41" s="18">
        <f>Table15[[#This Row],[Adjusted %]]*$K$84</f>
        <v>5525.9708785111116</v>
      </c>
      <c r="L41" s="18">
        <f>Table15[[#This Row],[Adjusted %]]*$L$84</f>
        <v>5525.9708831632679</v>
      </c>
      <c r="M41" s="18">
        <f>Table15[[#This Row],[Adjusted %]]*$M$84</f>
        <v>2672.9149589329954</v>
      </c>
      <c r="N41" s="18">
        <f>Table15[[#This Row],[Adjusted %]]*$N$84</f>
        <v>2672.9149589329954</v>
      </c>
      <c r="O41" s="18">
        <f>Table15[[#This Row],[Adjusted %]]*$O$84</f>
        <v>2672.9149589329954</v>
      </c>
      <c r="P41" s="18">
        <f>Table15[[#This Row],[Adjusted %]]*$P$84</f>
        <v>2672.9149589329954</v>
      </c>
      <c r="Q41" s="18">
        <f>Table15[[#This Row],[Adjusted %]]*$Q$84</f>
        <v>2672.9149589329954</v>
      </c>
      <c r="R41" s="18">
        <f>SUM(Table15[[#This Row],[Payment 1]:[Payment 15]])</f>
        <v>63611.491314114362</v>
      </c>
    </row>
    <row r="42" spans="1:18" x14ac:dyDescent="0.3">
      <c r="A42" t="s">
        <v>160</v>
      </c>
      <c r="B42">
        <v>1.6898834612310891E-2</v>
      </c>
      <c r="C42" s="18">
        <f>Table15[[#This Row],[Adjusted %]]*$C$84</f>
        <v>55315.65149180447</v>
      </c>
      <c r="D42" s="18">
        <f>Table15[[#This Row],[Adjusted %]]*$D$84</f>
        <v>55315.651504478607</v>
      </c>
      <c r="E42" s="18">
        <f>Table15[[#This Row],[Adjusted %]]*$E$84</f>
        <v>41016.773232484229</v>
      </c>
      <c r="F42" s="18">
        <f>Table15[[#This Row],[Adjusted %]]*$F$84</f>
        <v>41016.773232484229</v>
      </c>
      <c r="G42" s="18">
        <f>Table15[[#This Row],[Adjusted %]]*$G$84</f>
        <v>41016.773232484229</v>
      </c>
      <c r="H42" s="18">
        <f>Table15[[#This Row],[Adjusted %]]*$H$84</f>
        <v>52153.536616522353</v>
      </c>
      <c r="I42" s="18">
        <f>Table15[[#This Row],[Adjusted %]]*$I$84</f>
        <v>50833.936636572536</v>
      </c>
      <c r="J42" s="18">
        <f>Table15[[#This Row],[Adjusted %]]*$J$84</f>
        <v>55280.65163091931</v>
      </c>
      <c r="K42" s="18">
        <f>Table15[[#This Row],[Adjusted %]]*$K$84</f>
        <v>55259.708785111114</v>
      </c>
      <c r="L42" s="18">
        <f>Table15[[#This Row],[Adjusted %]]*$L$84</f>
        <v>55259.708831632684</v>
      </c>
      <c r="M42" s="18">
        <f>Table15[[#This Row],[Adjusted %]]*$M$84</f>
        <v>26729.149589329958</v>
      </c>
      <c r="N42" s="18">
        <f>Table15[[#This Row],[Adjusted %]]*$N$84</f>
        <v>26729.149589329958</v>
      </c>
      <c r="O42" s="18">
        <f>Table15[[#This Row],[Adjusted %]]*$O$84</f>
        <v>26729.149589329958</v>
      </c>
      <c r="P42" s="18">
        <f>Table15[[#This Row],[Adjusted %]]*$P$84</f>
        <v>26729.149589329958</v>
      </c>
      <c r="Q42" s="18">
        <f>Table15[[#This Row],[Adjusted %]]*$Q$84</f>
        <v>26729.149589329958</v>
      </c>
      <c r="R42" s="18">
        <f>SUM(Table15[[#This Row],[Payment 1]:[Payment 15]])</f>
        <v>636114.91314114351</v>
      </c>
    </row>
    <row r="43" spans="1:18" x14ac:dyDescent="0.3">
      <c r="A43" t="s">
        <v>161</v>
      </c>
      <c r="B43">
        <v>4.2247086530777227E-3</v>
      </c>
      <c r="C43" s="18">
        <f>Table15[[#This Row],[Adjusted %]]*$C$84</f>
        <v>13828.912872951118</v>
      </c>
      <c r="D43" s="18">
        <f>Table15[[#This Row],[Adjusted %]]*$D$84</f>
        <v>13828.912876119652</v>
      </c>
      <c r="E43" s="18">
        <f>Table15[[#This Row],[Adjusted %]]*$E$84</f>
        <v>10254.193308121057</v>
      </c>
      <c r="F43" s="18">
        <f>Table15[[#This Row],[Adjusted %]]*$F$84</f>
        <v>10254.193308121057</v>
      </c>
      <c r="G43" s="18">
        <f>Table15[[#This Row],[Adjusted %]]*$G$84</f>
        <v>10254.193308121057</v>
      </c>
      <c r="H43" s="18">
        <f>Table15[[#This Row],[Adjusted %]]*$H$84</f>
        <v>13038.384154130588</v>
      </c>
      <c r="I43" s="18">
        <f>Table15[[#This Row],[Adjusted %]]*$I$84</f>
        <v>12708.484159143134</v>
      </c>
      <c r="J43" s="18">
        <f>Table15[[#This Row],[Adjusted %]]*$J$84</f>
        <v>13820.162907729828</v>
      </c>
      <c r="K43" s="18">
        <f>Table15[[#This Row],[Adjusted %]]*$K$84</f>
        <v>13814.927196277778</v>
      </c>
      <c r="L43" s="18">
        <f>Table15[[#This Row],[Adjusted %]]*$L$84</f>
        <v>13814.927207908171</v>
      </c>
      <c r="M43" s="18">
        <f>Table15[[#This Row],[Adjusted %]]*$M$84</f>
        <v>6682.2873973324895</v>
      </c>
      <c r="N43" s="18">
        <f>Table15[[#This Row],[Adjusted %]]*$N$84</f>
        <v>6682.2873973324895</v>
      </c>
      <c r="O43" s="18">
        <f>Table15[[#This Row],[Adjusted %]]*$O$84</f>
        <v>6682.2873973324895</v>
      </c>
      <c r="P43" s="18">
        <f>Table15[[#This Row],[Adjusted %]]*$P$84</f>
        <v>6682.2873973324895</v>
      </c>
      <c r="Q43" s="18">
        <f>Table15[[#This Row],[Adjusted %]]*$Q$84</f>
        <v>6682.2873973324895</v>
      </c>
      <c r="R43" s="18">
        <f>SUM(Table15[[#This Row],[Payment 1]:[Payment 15]])</f>
        <v>159028.72828528588</v>
      </c>
    </row>
    <row r="44" spans="1:18" x14ac:dyDescent="0.3">
      <c r="A44" t="s">
        <v>162</v>
      </c>
      <c r="B44">
        <v>4.2247086530777227E-3</v>
      </c>
      <c r="C44" s="18">
        <f>Table15[[#This Row],[Adjusted %]]*$C$84</f>
        <v>13828.912872951118</v>
      </c>
      <c r="D44" s="18">
        <f>Table15[[#This Row],[Adjusted %]]*$D$84</f>
        <v>13828.912876119652</v>
      </c>
      <c r="E44" s="18">
        <f>Table15[[#This Row],[Adjusted %]]*$E$84</f>
        <v>10254.193308121057</v>
      </c>
      <c r="F44" s="18">
        <f>Table15[[#This Row],[Adjusted %]]*$F$84</f>
        <v>10254.193308121057</v>
      </c>
      <c r="G44" s="18">
        <f>Table15[[#This Row],[Adjusted %]]*$G$84</f>
        <v>10254.193308121057</v>
      </c>
      <c r="H44" s="18">
        <f>Table15[[#This Row],[Adjusted %]]*$H$84</f>
        <v>13038.384154130588</v>
      </c>
      <c r="I44" s="18">
        <f>Table15[[#This Row],[Adjusted %]]*$I$84</f>
        <v>12708.484159143134</v>
      </c>
      <c r="J44" s="18">
        <f>Table15[[#This Row],[Adjusted %]]*$J$84</f>
        <v>13820.162907729828</v>
      </c>
      <c r="K44" s="18">
        <f>Table15[[#This Row],[Adjusted %]]*$K$84</f>
        <v>13814.927196277778</v>
      </c>
      <c r="L44" s="18">
        <f>Table15[[#This Row],[Adjusted %]]*$L$84</f>
        <v>13814.927207908171</v>
      </c>
      <c r="M44" s="18">
        <f>Table15[[#This Row],[Adjusted %]]*$M$84</f>
        <v>6682.2873973324895</v>
      </c>
      <c r="N44" s="18">
        <f>Table15[[#This Row],[Adjusted %]]*$N$84</f>
        <v>6682.2873973324895</v>
      </c>
      <c r="O44" s="18">
        <f>Table15[[#This Row],[Adjusted %]]*$O$84</f>
        <v>6682.2873973324895</v>
      </c>
      <c r="P44" s="18">
        <f>Table15[[#This Row],[Adjusted %]]*$P$84</f>
        <v>6682.2873973324895</v>
      </c>
      <c r="Q44" s="18">
        <f>Table15[[#This Row],[Adjusted %]]*$Q$84</f>
        <v>6682.2873973324895</v>
      </c>
      <c r="R44" s="18">
        <f>SUM(Table15[[#This Row],[Payment 1]:[Payment 15]])</f>
        <v>159028.72828528588</v>
      </c>
    </row>
    <row r="45" spans="1:18" x14ac:dyDescent="0.3">
      <c r="A45" t="s">
        <v>163</v>
      </c>
      <c r="B45">
        <v>4.2247086530777227E-3</v>
      </c>
      <c r="C45" s="18">
        <f>Table15[[#This Row],[Adjusted %]]*$C$84</f>
        <v>13828.912872951118</v>
      </c>
      <c r="D45" s="18">
        <f>Table15[[#This Row],[Adjusted %]]*$D$84</f>
        <v>13828.912876119652</v>
      </c>
      <c r="E45" s="18">
        <f>Table15[[#This Row],[Adjusted %]]*$E$84</f>
        <v>10254.193308121057</v>
      </c>
      <c r="F45" s="18">
        <f>Table15[[#This Row],[Adjusted %]]*$F$84</f>
        <v>10254.193308121057</v>
      </c>
      <c r="G45" s="18">
        <f>Table15[[#This Row],[Adjusted %]]*$G$84</f>
        <v>10254.193308121057</v>
      </c>
      <c r="H45" s="18">
        <f>Table15[[#This Row],[Adjusted %]]*$H$84</f>
        <v>13038.384154130588</v>
      </c>
      <c r="I45" s="18">
        <f>Table15[[#This Row],[Adjusted %]]*$I$84</f>
        <v>12708.484159143134</v>
      </c>
      <c r="J45" s="18">
        <f>Table15[[#This Row],[Adjusted %]]*$J$84</f>
        <v>13820.162907729828</v>
      </c>
      <c r="K45" s="18">
        <f>Table15[[#This Row],[Adjusted %]]*$K$84</f>
        <v>13814.927196277778</v>
      </c>
      <c r="L45" s="18">
        <f>Table15[[#This Row],[Adjusted %]]*$L$84</f>
        <v>13814.927207908171</v>
      </c>
      <c r="M45" s="18">
        <f>Table15[[#This Row],[Adjusted %]]*$M$84</f>
        <v>6682.2873973324895</v>
      </c>
      <c r="N45" s="18">
        <f>Table15[[#This Row],[Adjusted %]]*$N$84</f>
        <v>6682.2873973324895</v>
      </c>
      <c r="O45" s="18">
        <f>Table15[[#This Row],[Adjusted %]]*$O$84</f>
        <v>6682.2873973324895</v>
      </c>
      <c r="P45" s="18">
        <f>Table15[[#This Row],[Adjusted %]]*$P$84</f>
        <v>6682.2873973324895</v>
      </c>
      <c r="Q45" s="18">
        <f>Table15[[#This Row],[Adjusted %]]*$Q$84</f>
        <v>6682.2873973324895</v>
      </c>
      <c r="R45" s="18">
        <f>SUM(Table15[[#This Row],[Payment 1]:[Payment 15]])</f>
        <v>159028.72828528588</v>
      </c>
    </row>
    <row r="46" spans="1:18" x14ac:dyDescent="0.3">
      <c r="A46" t="s">
        <v>164</v>
      </c>
      <c r="B46">
        <v>4.2247086530777227E-3</v>
      </c>
      <c r="C46" s="18">
        <f>Table15[[#This Row],[Adjusted %]]*$C$84</f>
        <v>13828.912872951118</v>
      </c>
      <c r="D46" s="18">
        <f>Table15[[#This Row],[Adjusted %]]*$D$84</f>
        <v>13828.912876119652</v>
      </c>
      <c r="E46" s="18">
        <f>Table15[[#This Row],[Adjusted %]]*$E$84</f>
        <v>10254.193308121057</v>
      </c>
      <c r="F46" s="18">
        <f>Table15[[#This Row],[Adjusted %]]*$F$84</f>
        <v>10254.193308121057</v>
      </c>
      <c r="G46" s="18">
        <f>Table15[[#This Row],[Adjusted %]]*$G$84</f>
        <v>10254.193308121057</v>
      </c>
      <c r="H46" s="18">
        <f>Table15[[#This Row],[Adjusted %]]*$H$84</f>
        <v>13038.384154130588</v>
      </c>
      <c r="I46" s="18">
        <f>Table15[[#This Row],[Adjusted %]]*$I$84</f>
        <v>12708.484159143134</v>
      </c>
      <c r="J46" s="18">
        <f>Table15[[#This Row],[Adjusted %]]*$J$84</f>
        <v>13820.162907729828</v>
      </c>
      <c r="K46" s="18">
        <f>Table15[[#This Row],[Adjusted %]]*$K$84</f>
        <v>13814.927196277778</v>
      </c>
      <c r="L46" s="18">
        <f>Table15[[#This Row],[Adjusted %]]*$L$84</f>
        <v>13814.927207908171</v>
      </c>
      <c r="M46" s="18">
        <f>Table15[[#This Row],[Adjusted %]]*$M$84</f>
        <v>6682.2873973324895</v>
      </c>
      <c r="N46" s="18">
        <f>Table15[[#This Row],[Adjusted %]]*$N$84</f>
        <v>6682.2873973324895</v>
      </c>
      <c r="O46" s="18">
        <f>Table15[[#This Row],[Adjusted %]]*$O$84</f>
        <v>6682.2873973324895</v>
      </c>
      <c r="P46" s="18">
        <f>Table15[[#This Row],[Adjusted %]]*$P$84</f>
        <v>6682.2873973324895</v>
      </c>
      <c r="Q46" s="18">
        <f>Table15[[#This Row],[Adjusted %]]*$Q$84</f>
        <v>6682.2873973324895</v>
      </c>
      <c r="R46" s="18">
        <f>SUM(Table15[[#This Row],[Payment 1]:[Payment 15]])</f>
        <v>159028.72828528588</v>
      </c>
    </row>
    <row r="47" spans="1:18" x14ac:dyDescent="0.3">
      <c r="A47" t="s">
        <v>165</v>
      </c>
      <c r="B47">
        <v>8.4494173061554455E-3</v>
      </c>
      <c r="C47" s="18">
        <f>Table15[[#This Row],[Adjusted %]]*$C$84</f>
        <v>27657.825745902235</v>
      </c>
      <c r="D47" s="18">
        <f>Table15[[#This Row],[Adjusted %]]*$D$84</f>
        <v>27657.825752239303</v>
      </c>
      <c r="E47" s="18">
        <f>Table15[[#This Row],[Adjusted %]]*$E$84</f>
        <v>20508.386616242115</v>
      </c>
      <c r="F47" s="18">
        <f>Table15[[#This Row],[Adjusted %]]*$F$84</f>
        <v>20508.386616242115</v>
      </c>
      <c r="G47" s="18">
        <f>Table15[[#This Row],[Adjusted %]]*$G$84</f>
        <v>20508.386616242115</v>
      </c>
      <c r="H47" s="18">
        <f>Table15[[#This Row],[Adjusted %]]*$H$84</f>
        <v>26076.768308261177</v>
      </c>
      <c r="I47" s="18">
        <f>Table15[[#This Row],[Adjusted %]]*$I$84</f>
        <v>25416.968318286268</v>
      </c>
      <c r="J47" s="18">
        <f>Table15[[#This Row],[Adjusted %]]*$J$84</f>
        <v>27640.325815459655</v>
      </c>
      <c r="K47" s="18">
        <f>Table15[[#This Row],[Adjusted %]]*$K$84</f>
        <v>27629.854392555557</v>
      </c>
      <c r="L47" s="18">
        <f>Table15[[#This Row],[Adjusted %]]*$L$84</f>
        <v>27629.854415816342</v>
      </c>
      <c r="M47" s="18">
        <f>Table15[[#This Row],[Adjusted %]]*$M$84</f>
        <v>13364.574794664979</v>
      </c>
      <c r="N47" s="18">
        <f>Table15[[#This Row],[Adjusted %]]*$N$84</f>
        <v>13364.574794664979</v>
      </c>
      <c r="O47" s="18">
        <f>Table15[[#This Row],[Adjusted %]]*$O$84</f>
        <v>13364.574794664979</v>
      </c>
      <c r="P47" s="18">
        <f>Table15[[#This Row],[Adjusted %]]*$P$84</f>
        <v>13364.574794664979</v>
      </c>
      <c r="Q47" s="18">
        <f>Table15[[#This Row],[Adjusted %]]*$Q$84</f>
        <v>13364.574794664979</v>
      </c>
      <c r="R47" s="18">
        <f>SUM(Table15[[#This Row],[Payment 1]:[Payment 15]])</f>
        <v>318057.45657057175</v>
      </c>
    </row>
    <row r="48" spans="1:18" x14ac:dyDescent="0.3">
      <c r="A48" t="s">
        <v>166</v>
      </c>
      <c r="B48">
        <v>4.2247086530777227E-3</v>
      </c>
      <c r="C48" s="18">
        <f>Table15[[#This Row],[Adjusted %]]*$C$84</f>
        <v>13828.912872951118</v>
      </c>
      <c r="D48" s="18">
        <f>Table15[[#This Row],[Adjusted %]]*$D$84</f>
        <v>13828.912876119652</v>
      </c>
      <c r="E48" s="18">
        <f>Table15[[#This Row],[Adjusted %]]*$E$84</f>
        <v>10254.193308121057</v>
      </c>
      <c r="F48" s="18">
        <f>Table15[[#This Row],[Adjusted %]]*$F$84</f>
        <v>10254.193308121057</v>
      </c>
      <c r="G48" s="18">
        <f>Table15[[#This Row],[Adjusted %]]*$G$84</f>
        <v>10254.193308121057</v>
      </c>
      <c r="H48" s="18">
        <f>Table15[[#This Row],[Adjusted %]]*$H$84</f>
        <v>13038.384154130588</v>
      </c>
      <c r="I48" s="18">
        <f>Table15[[#This Row],[Adjusted %]]*$I$84</f>
        <v>12708.484159143134</v>
      </c>
      <c r="J48" s="18">
        <f>Table15[[#This Row],[Adjusted %]]*$J$84</f>
        <v>13820.162907729828</v>
      </c>
      <c r="K48" s="18">
        <f>Table15[[#This Row],[Adjusted %]]*$K$84</f>
        <v>13814.927196277778</v>
      </c>
      <c r="L48" s="18">
        <f>Table15[[#This Row],[Adjusted %]]*$L$84</f>
        <v>13814.927207908171</v>
      </c>
      <c r="M48" s="18">
        <f>Table15[[#This Row],[Adjusted %]]*$M$84</f>
        <v>6682.2873973324895</v>
      </c>
      <c r="N48" s="18">
        <f>Table15[[#This Row],[Adjusted %]]*$N$84</f>
        <v>6682.2873973324895</v>
      </c>
      <c r="O48" s="18">
        <f>Table15[[#This Row],[Adjusted %]]*$O$84</f>
        <v>6682.2873973324895</v>
      </c>
      <c r="P48" s="18">
        <f>Table15[[#This Row],[Adjusted %]]*$P$84</f>
        <v>6682.2873973324895</v>
      </c>
      <c r="Q48" s="18">
        <f>Table15[[#This Row],[Adjusted %]]*$Q$84</f>
        <v>6682.2873973324895</v>
      </c>
      <c r="R48" s="18">
        <f>SUM(Table15[[#This Row],[Payment 1]:[Payment 15]])</f>
        <v>159028.72828528588</v>
      </c>
    </row>
    <row r="49" spans="1:18" x14ac:dyDescent="0.3">
      <c r="A49" t="s">
        <v>167</v>
      </c>
      <c r="B49">
        <v>1.5534983236458643E-2</v>
      </c>
      <c r="C49" s="18">
        <f>Table15[[#This Row],[Adjusted %]]*$C$84</f>
        <v>50851.300598737515</v>
      </c>
      <c r="D49" s="18">
        <f>Table15[[#This Row],[Adjusted %]]*$D$84</f>
        <v>50851.30061038876</v>
      </c>
      <c r="E49" s="18">
        <f>Table15[[#This Row],[Adjusted %]]*$E$84</f>
        <v>37706.439479327659</v>
      </c>
      <c r="F49" s="18">
        <f>Table15[[#This Row],[Adjusted %]]*$F$84</f>
        <v>37706.439479327659</v>
      </c>
      <c r="G49" s="18">
        <f>Table15[[#This Row],[Adjusted %]]*$G$84</f>
        <v>37706.439479327659</v>
      </c>
      <c r="H49" s="18">
        <f>Table15[[#This Row],[Adjusted %]]*$H$84</f>
        <v>47944.389991808588</v>
      </c>
      <c r="I49" s="18">
        <f>Table15[[#This Row],[Adjusted %]]*$I$84</f>
        <v>46731.290743389567</v>
      </c>
      <c r="J49" s="18">
        <f>Table15[[#This Row],[Adjusted %]]*$J$84</f>
        <v>50819.125465682286</v>
      </c>
      <c r="K49" s="18">
        <f>Table15[[#This Row],[Adjusted %]]*$K$84</f>
        <v>50799.87285057491</v>
      </c>
      <c r="L49" s="18">
        <f>Table15[[#This Row],[Adjusted %]]*$L$84</f>
        <v>50799.872893341868</v>
      </c>
      <c r="M49" s="18">
        <f>Table15[[#This Row],[Adjusted %]]*$M$84</f>
        <v>24571.924651687757</v>
      </c>
      <c r="N49" s="18">
        <f>Table15[[#This Row],[Adjusted %]]*$N$84</f>
        <v>24571.924651687757</v>
      </c>
      <c r="O49" s="18">
        <f>Table15[[#This Row],[Adjusted %]]*$O$84</f>
        <v>24571.924651687757</v>
      </c>
      <c r="P49" s="18">
        <f>Table15[[#This Row],[Adjusted %]]*$P$84</f>
        <v>24571.924651687757</v>
      </c>
      <c r="Q49" s="18">
        <f>Table15[[#This Row],[Adjusted %]]*$Q$84</f>
        <v>24571.924651687757</v>
      </c>
      <c r="R49" s="18">
        <f>SUM(Table15[[#This Row],[Payment 1]:[Payment 15]])</f>
        <v>584776.09485034517</v>
      </c>
    </row>
    <row r="50" spans="1:18" x14ac:dyDescent="0.3">
      <c r="A50" t="s">
        <v>168</v>
      </c>
      <c r="B50">
        <v>8.4494173061554472E-3</v>
      </c>
      <c r="C50" s="18">
        <f>Table15[[#This Row],[Adjusted %]]*$C$84</f>
        <v>27657.825745902242</v>
      </c>
      <c r="D50" s="18">
        <f>Table15[[#This Row],[Adjusted %]]*$D$84</f>
        <v>27657.825752239311</v>
      </c>
      <c r="E50" s="18">
        <f>Table15[[#This Row],[Adjusted %]]*$E$84</f>
        <v>20508.386616242118</v>
      </c>
      <c r="F50" s="18">
        <f>Table15[[#This Row],[Adjusted %]]*$F$84</f>
        <v>20508.386616242118</v>
      </c>
      <c r="G50" s="18">
        <f>Table15[[#This Row],[Adjusted %]]*$G$84</f>
        <v>20508.386616242118</v>
      </c>
      <c r="H50" s="18">
        <f>Table15[[#This Row],[Adjusted %]]*$H$84</f>
        <v>26076.768308261184</v>
      </c>
      <c r="I50" s="18">
        <f>Table15[[#This Row],[Adjusted %]]*$I$84</f>
        <v>25416.968318286272</v>
      </c>
      <c r="J50" s="18">
        <f>Table15[[#This Row],[Adjusted %]]*$J$84</f>
        <v>27640.325815459659</v>
      </c>
      <c r="K50" s="18">
        <f>Table15[[#This Row],[Adjusted %]]*$K$84</f>
        <v>27629.854392555564</v>
      </c>
      <c r="L50" s="18">
        <f>Table15[[#This Row],[Adjusted %]]*$L$84</f>
        <v>27629.85441581635</v>
      </c>
      <c r="M50" s="18">
        <f>Table15[[#This Row],[Adjusted %]]*$M$84</f>
        <v>13364.574794664981</v>
      </c>
      <c r="N50" s="18">
        <f>Table15[[#This Row],[Adjusted %]]*$N$84</f>
        <v>13364.574794664981</v>
      </c>
      <c r="O50" s="18">
        <f>Table15[[#This Row],[Adjusted %]]*$O$84</f>
        <v>13364.574794664981</v>
      </c>
      <c r="P50" s="18">
        <f>Table15[[#This Row],[Adjusted %]]*$P$84</f>
        <v>13364.574794664981</v>
      </c>
      <c r="Q50" s="18">
        <f>Table15[[#This Row],[Adjusted %]]*$Q$84</f>
        <v>13364.574794664981</v>
      </c>
      <c r="R50" s="18">
        <f>SUM(Table15[[#This Row],[Payment 1]:[Payment 15]])</f>
        <v>318057.45657057181</v>
      </c>
    </row>
    <row r="51" spans="1:18" x14ac:dyDescent="0.3">
      <c r="A51" t="s">
        <v>169</v>
      </c>
      <c r="B51">
        <v>2.6951572590961578E-2</v>
      </c>
      <c r="C51" s="18">
        <f>Table15[[#This Row],[Adjusted %]]*$C$84</f>
        <v>88221.692844523888</v>
      </c>
      <c r="D51" s="18">
        <f>Table15[[#This Row],[Adjusted %]]*$D$84</f>
        <v>88221.69286473759</v>
      </c>
      <c r="E51" s="18">
        <f>Table15[[#This Row],[Adjusted %]]*$E$84</f>
        <v>65416.732371412771</v>
      </c>
      <c r="F51" s="18">
        <f>Table15[[#This Row],[Adjusted %]]*$F$84</f>
        <v>65416.732371412771</v>
      </c>
      <c r="G51" s="18">
        <f>Table15[[#This Row],[Adjusted %]]*$G$84</f>
        <v>65416.732371412771</v>
      </c>
      <c r="H51" s="18">
        <f>Table15[[#This Row],[Adjusted %]]*$H$84</f>
        <v>83178.506698418918</v>
      </c>
      <c r="I51" s="18">
        <f>Table15[[#This Row],[Adjusted %]]*$I$84</f>
        <v>81073.906264922785</v>
      </c>
      <c r="J51" s="18">
        <f>Table15[[#This Row],[Adjusted %]]*$J$84</f>
        <v>88165.872350805774</v>
      </c>
      <c r="K51" s="18">
        <f>Table15[[#This Row],[Adjusted %]]*$K$84</f>
        <v>88132.471075391804</v>
      </c>
      <c r="L51" s="18">
        <f>Table15[[#This Row],[Adjusted %]]*$L$84</f>
        <v>88132.471149588018</v>
      </c>
      <c r="M51" s="18">
        <f>Table15[[#This Row],[Adjusted %]]*$M$84</f>
        <v>42629.721633389287</v>
      </c>
      <c r="N51" s="18">
        <f>Table15[[#This Row],[Adjusted %]]*$N$84</f>
        <v>42629.721633389287</v>
      </c>
      <c r="O51" s="18">
        <f>Table15[[#This Row],[Adjusted %]]*$O$84</f>
        <v>42629.721633389287</v>
      </c>
      <c r="P51" s="18">
        <f>Table15[[#This Row],[Adjusted %]]*$P$84</f>
        <v>42629.721633389287</v>
      </c>
      <c r="Q51" s="18">
        <f>Table15[[#This Row],[Adjusted %]]*$Q$84</f>
        <v>42629.721633389287</v>
      </c>
      <c r="R51" s="18">
        <f>SUM(Table15[[#This Row],[Payment 1]:[Payment 15]])</f>
        <v>1014525.4185295732</v>
      </c>
    </row>
    <row r="52" spans="1:18" x14ac:dyDescent="0.3">
      <c r="A52" t="s">
        <v>170</v>
      </c>
      <c r="B52">
        <v>1.689883461231089E-3</v>
      </c>
      <c r="C52" s="18">
        <f>Table15[[#This Row],[Adjusted %]]*$C$84</f>
        <v>5531.5651491804474</v>
      </c>
      <c r="D52" s="18">
        <f>Table15[[#This Row],[Adjusted %]]*$D$84</f>
        <v>5531.565150447861</v>
      </c>
      <c r="E52" s="18">
        <f>Table15[[#This Row],[Adjusted %]]*$E$84</f>
        <v>4101.677323248422</v>
      </c>
      <c r="F52" s="18">
        <f>Table15[[#This Row],[Adjusted %]]*$F$84</f>
        <v>4101.677323248422</v>
      </c>
      <c r="G52" s="18">
        <f>Table15[[#This Row],[Adjusted %]]*$G$84</f>
        <v>4101.677323248422</v>
      </c>
      <c r="H52" s="18">
        <f>Table15[[#This Row],[Adjusted %]]*$H$84</f>
        <v>5215.3536616522351</v>
      </c>
      <c r="I52" s="18">
        <f>Table15[[#This Row],[Adjusted %]]*$I$84</f>
        <v>5083.3936636572535</v>
      </c>
      <c r="J52" s="18">
        <f>Table15[[#This Row],[Adjusted %]]*$J$84</f>
        <v>5528.065163091931</v>
      </c>
      <c r="K52" s="18">
        <f>Table15[[#This Row],[Adjusted %]]*$K$84</f>
        <v>5525.9708785111116</v>
      </c>
      <c r="L52" s="18">
        <f>Table15[[#This Row],[Adjusted %]]*$L$84</f>
        <v>5525.9708831632679</v>
      </c>
      <c r="M52" s="18">
        <f>Table15[[#This Row],[Adjusted %]]*$M$84</f>
        <v>2672.9149589329954</v>
      </c>
      <c r="N52" s="18">
        <f>Table15[[#This Row],[Adjusted %]]*$N$84</f>
        <v>2672.9149589329954</v>
      </c>
      <c r="O52" s="18">
        <f>Table15[[#This Row],[Adjusted %]]*$O$84</f>
        <v>2672.9149589329954</v>
      </c>
      <c r="P52" s="18">
        <f>Table15[[#This Row],[Adjusted %]]*$P$84</f>
        <v>2672.9149589329954</v>
      </c>
      <c r="Q52" s="18">
        <f>Table15[[#This Row],[Adjusted %]]*$Q$84</f>
        <v>2672.9149589329954</v>
      </c>
      <c r="R52" s="18">
        <f>SUM(Table15[[#This Row],[Payment 1]:[Payment 15]])</f>
        <v>63611.491314114362</v>
      </c>
    </row>
    <row r="53" spans="1:18" x14ac:dyDescent="0.3">
      <c r="A53" t="s">
        <v>171</v>
      </c>
      <c r="B53">
        <v>4.2247086530777227E-3</v>
      </c>
      <c r="C53" s="18">
        <f>Table15[[#This Row],[Adjusted %]]*$C$84</f>
        <v>13828.912872951118</v>
      </c>
      <c r="D53" s="18">
        <f>Table15[[#This Row],[Adjusted %]]*$D$84</f>
        <v>13828.912876119652</v>
      </c>
      <c r="E53" s="18">
        <f>Table15[[#This Row],[Adjusted %]]*$E$84</f>
        <v>10254.193308121057</v>
      </c>
      <c r="F53" s="18">
        <f>Table15[[#This Row],[Adjusted %]]*$F$84</f>
        <v>10254.193308121057</v>
      </c>
      <c r="G53" s="18">
        <f>Table15[[#This Row],[Adjusted %]]*$G$84</f>
        <v>10254.193308121057</v>
      </c>
      <c r="H53" s="18">
        <f>Table15[[#This Row],[Adjusted %]]*$H$84</f>
        <v>13038.384154130588</v>
      </c>
      <c r="I53" s="18">
        <f>Table15[[#This Row],[Adjusted %]]*$I$84</f>
        <v>12708.484159143134</v>
      </c>
      <c r="J53" s="18">
        <f>Table15[[#This Row],[Adjusted %]]*$J$84</f>
        <v>13820.162907729828</v>
      </c>
      <c r="K53" s="18">
        <f>Table15[[#This Row],[Adjusted %]]*$K$84</f>
        <v>13814.927196277778</v>
      </c>
      <c r="L53" s="18">
        <f>Table15[[#This Row],[Adjusted %]]*$L$84</f>
        <v>13814.927207908171</v>
      </c>
      <c r="M53" s="18">
        <f>Table15[[#This Row],[Adjusted %]]*$M$84</f>
        <v>6682.2873973324895</v>
      </c>
      <c r="N53" s="18">
        <f>Table15[[#This Row],[Adjusted %]]*$N$84</f>
        <v>6682.2873973324895</v>
      </c>
      <c r="O53" s="18">
        <f>Table15[[#This Row],[Adjusted %]]*$O$84</f>
        <v>6682.2873973324895</v>
      </c>
      <c r="P53" s="18">
        <f>Table15[[#This Row],[Adjusted %]]*$P$84</f>
        <v>6682.2873973324895</v>
      </c>
      <c r="Q53" s="18">
        <f>Table15[[#This Row],[Adjusted %]]*$Q$84</f>
        <v>6682.2873973324895</v>
      </c>
      <c r="R53" s="18">
        <f>SUM(Table15[[#This Row],[Payment 1]:[Payment 15]])</f>
        <v>159028.72828528588</v>
      </c>
    </row>
    <row r="54" spans="1:18" x14ac:dyDescent="0.3">
      <c r="A54" t="s">
        <v>172</v>
      </c>
      <c r="B54">
        <v>4.2247086530777227E-3</v>
      </c>
      <c r="C54" s="18">
        <f>Table15[[#This Row],[Adjusted %]]*$C$84</f>
        <v>13828.912872951118</v>
      </c>
      <c r="D54" s="18">
        <f>Table15[[#This Row],[Adjusted %]]*$D$84</f>
        <v>13828.912876119652</v>
      </c>
      <c r="E54" s="18">
        <f>Table15[[#This Row],[Adjusted %]]*$E$84</f>
        <v>10254.193308121057</v>
      </c>
      <c r="F54" s="18">
        <f>Table15[[#This Row],[Adjusted %]]*$F$84</f>
        <v>10254.193308121057</v>
      </c>
      <c r="G54" s="18">
        <f>Table15[[#This Row],[Adjusted %]]*$G$84</f>
        <v>10254.193308121057</v>
      </c>
      <c r="H54" s="18">
        <f>Table15[[#This Row],[Adjusted %]]*$H$84</f>
        <v>13038.384154130588</v>
      </c>
      <c r="I54" s="18">
        <f>Table15[[#This Row],[Adjusted %]]*$I$84</f>
        <v>12708.484159143134</v>
      </c>
      <c r="J54" s="18">
        <f>Table15[[#This Row],[Adjusted %]]*$J$84</f>
        <v>13820.162907729828</v>
      </c>
      <c r="K54" s="18">
        <f>Table15[[#This Row],[Adjusted %]]*$K$84</f>
        <v>13814.927196277778</v>
      </c>
      <c r="L54" s="18">
        <f>Table15[[#This Row],[Adjusted %]]*$L$84</f>
        <v>13814.927207908171</v>
      </c>
      <c r="M54" s="18">
        <f>Table15[[#This Row],[Adjusted %]]*$M$84</f>
        <v>6682.2873973324895</v>
      </c>
      <c r="N54" s="18">
        <f>Table15[[#This Row],[Adjusted %]]*$N$84</f>
        <v>6682.2873973324895</v>
      </c>
      <c r="O54" s="18">
        <f>Table15[[#This Row],[Adjusted %]]*$O$84</f>
        <v>6682.2873973324895</v>
      </c>
      <c r="P54" s="18">
        <f>Table15[[#This Row],[Adjusted %]]*$P$84</f>
        <v>6682.2873973324895</v>
      </c>
      <c r="Q54" s="18">
        <f>Table15[[#This Row],[Adjusted %]]*$Q$84</f>
        <v>6682.2873973324895</v>
      </c>
      <c r="R54" s="18">
        <f>SUM(Table15[[#This Row],[Payment 1]:[Payment 15]])</f>
        <v>159028.72828528588</v>
      </c>
    </row>
    <row r="55" spans="1:18" x14ac:dyDescent="0.3">
      <c r="A55" t="s">
        <v>173</v>
      </c>
      <c r="B55">
        <v>2.3428397616868848E-2</v>
      </c>
      <c r="C55" s="18">
        <f>Table15[[#This Row],[Adjusted %]]*$C$84</f>
        <v>76689.139062999529</v>
      </c>
      <c r="D55" s="18">
        <f>Table15[[#This Row],[Adjusted %]]*$D$84</f>
        <v>76689.139080570836</v>
      </c>
      <c r="E55" s="18">
        <f>Table15[[#This Row],[Adjusted %]]*$E$84</f>
        <v>56865.298365102695</v>
      </c>
      <c r="F55" s="18">
        <f>Table15[[#This Row],[Adjusted %]]*$F$84</f>
        <v>56865.298365102695</v>
      </c>
      <c r="G55" s="18">
        <f>Table15[[#This Row],[Adjusted %]]*$G$84</f>
        <v>56865.298365102695</v>
      </c>
      <c r="H55" s="18">
        <f>Table15[[#This Row],[Adjusted %]]*$H$84</f>
        <v>72305.210448516547</v>
      </c>
      <c r="I55" s="18">
        <f>Table15[[#This Row],[Adjusted %]]*$I$84</f>
        <v>70475.728491047485</v>
      </c>
      <c r="J55" s="18">
        <f>Table15[[#This Row],[Adjusted %]]*$J$84</f>
        <v>76640.615559683196</v>
      </c>
      <c r="K55" s="18">
        <f>Table15[[#This Row],[Adjusted %]]*$K$84</f>
        <v>76611.580580048219</v>
      </c>
      <c r="L55" s="18">
        <f>Table15[[#This Row],[Adjusted %]]*$L$84</f>
        <v>76611.58064454532</v>
      </c>
      <c r="M55" s="18">
        <f>Table15[[#This Row],[Adjusted %]]*$M$84</f>
        <v>37057.060969363149</v>
      </c>
      <c r="N55" s="18">
        <f>Table15[[#This Row],[Adjusted %]]*$N$84</f>
        <v>37057.060969363149</v>
      </c>
      <c r="O55" s="18">
        <f>Table15[[#This Row],[Adjusted %]]*$O$84</f>
        <v>37057.060969363149</v>
      </c>
      <c r="P55" s="18">
        <f>Table15[[#This Row],[Adjusted %]]*$P$84</f>
        <v>37057.060969363149</v>
      </c>
      <c r="Q55" s="18">
        <f>Table15[[#This Row],[Adjusted %]]*$Q$84</f>
        <v>37057.060969363149</v>
      </c>
      <c r="R55" s="18">
        <f>SUM(Table15[[#This Row],[Payment 1]:[Payment 15]])</f>
        <v>881904.19380953512</v>
      </c>
    </row>
    <row r="56" spans="1:18" x14ac:dyDescent="0.3">
      <c r="A56" t="s">
        <v>174</v>
      </c>
      <c r="B56">
        <v>1.6898834612310891E-2</v>
      </c>
      <c r="C56" s="18">
        <f>Table15[[#This Row],[Adjusted %]]*$C$84</f>
        <v>55315.65149180447</v>
      </c>
      <c r="D56" s="18">
        <f>Table15[[#This Row],[Adjusted %]]*$D$84</f>
        <v>55315.651504478607</v>
      </c>
      <c r="E56" s="18">
        <f>Table15[[#This Row],[Adjusted %]]*$E$84</f>
        <v>41016.773232484229</v>
      </c>
      <c r="F56" s="18">
        <f>Table15[[#This Row],[Adjusted %]]*$F$84</f>
        <v>41016.773232484229</v>
      </c>
      <c r="G56" s="18">
        <f>Table15[[#This Row],[Adjusted %]]*$G$84</f>
        <v>41016.773232484229</v>
      </c>
      <c r="H56" s="18">
        <f>Table15[[#This Row],[Adjusted %]]*$H$84</f>
        <v>52153.536616522353</v>
      </c>
      <c r="I56" s="18">
        <f>Table15[[#This Row],[Adjusted %]]*$I$84</f>
        <v>50833.936636572536</v>
      </c>
      <c r="J56" s="18">
        <f>Table15[[#This Row],[Adjusted %]]*$J$84</f>
        <v>55280.65163091931</v>
      </c>
      <c r="K56" s="18">
        <f>Table15[[#This Row],[Adjusted %]]*$K$84</f>
        <v>55259.708785111114</v>
      </c>
      <c r="L56" s="18">
        <f>Table15[[#This Row],[Adjusted %]]*$L$84</f>
        <v>55259.708831632684</v>
      </c>
      <c r="M56" s="18">
        <f>Table15[[#This Row],[Adjusted %]]*$M$84</f>
        <v>26729.149589329958</v>
      </c>
      <c r="N56" s="18">
        <f>Table15[[#This Row],[Adjusted %]]*$N$84</f>
        <v>26729.149589329958</v>
      </c>
      <c r="O56" s="18">
        <f>Table15[[#This Row],[Adjusted %]]*$O$84</f>
        <v>26729.149589329958</v>
      </c>
      <c r="P56" s="18">
        <f>Table15[[#This Row],[Adjusted %]]*$P$84</f>
        <v>26729.149589329958</v>
      </c>
      <c r="Q56" s="18">
        <f>Table15[[#This Row],[Adjusted %]]*$Q$84</f>
        <v>26729.149589329958</v>
      </c>
      <c r="R56" s="18">
        <f>SUM(Table15[[#This Row],[Payment 1]:[Payment 15]])</f>
        <v>636114.91314114351</v>
      </c>
    </row>
    <row r="57" spans="1:18" x14ac:dyDescent="0.3">
      <c r="A57" t="s">
        <v>176</v>
      </c>
      <c r="B57">
        <v>1.6898834612310891E-2</v>
      </c>
      <c r="C57" s="18">
        <f>Table15[[#This Row],[Adjusted %]]*$C$84</f>
        <v>55315.65149180447</v>
      </c>
      <c r="D57" s="18">
        <f>Table15[[#This Row],[Adjusted %]]*$D$84</f>
        <v>55315.651504478607</v>
      </c>
      <c r="E57" s="18">
        <f>Table15[[#This Row],[Adjusted %]]*$E$84</f>
        <v>41016.773232484229</v>
      </c>
      <c r="F57" s="18">
        <f>Table15[[#This Row],[Adjusted %]]*$F$84</f>
        <v>41016.773232484229</v>
      </c>
      <c r="G57" s="18">
        <f>Table15[[#This Row],[Adjusted %]]*$G$84</f>
        <v>41016.773232484229</v>
      </c>
      <c r="H57" s="18">
        <f>Table15[[#This Row],[Adjusted %]]*$H$84</f>
        <v>52153.536616522353</v>
      </c>
      <c r="I57" s="18">
        <f>Table15[[#This Row],[Adjusted %]]*$I$84</f>
        <v>50833.936636572536</v>
      </c>
      <c r="J57" s="18">
        <f>Table15[[#This Row],[Adjusted %]]*$J$84</f>
        <v>55280.65163091931</v>
      </c>
      <c r="K57" s="18">
        <f>Table15[[#This Row],[Adjusted %]]*$K$84</f>
        <v>55259.708785111114</v>
      </c>
      <c r="L57" s="18">
        <f>Table15[[#This Row],[Adjusted %]]*$L$84</f>
        <v>55259.708831632684</v>
      </c>
      <c r="M57" s="18">
        <f>Table15[[#This Row],[Adjusted %]]*$M$84</f>
        <v>26729.149589329958</v>
      </c>
      <c r="N57" s="18">
        <f>Table15[[#This Row],[Adjusted %]]*$N$84</f>
        <v>26729.149589329958</v>
      </c>
      <c r="O57" s="18">
        <f>Table15[[#This Row],[Adjusted %]]*$O$84</f>
        <v>26729.149589329958</v>
      </c>
      <c r="P57" s="18">
        <f>Table15[[#This Row],[Adjusted %]]*$P$84</f>
        <v>26729.149589329958</v>
      </c>
      <c r="Q57" s="18">
        <f>Table15[[#This Row],[Adjusted %]]*$Q$84</f>
        <v>26729.149589329958</v>
      </c>
      <c r="R57" s="18">
        <f>SUM(Table15[[#This Row],[Payment 1]:[Payment 15]])</f>
        <v>636114.91314114351</v>
      </c>
    </row>
    <row r="58" spans="1:18" x14ac:dyDescent="0.3">
      <c r="A58" t="s">
        <v>177</v>
      </c>
      <c r="B58">
        <v>4.2247086530777227E-3</v>
      </c>
      <c r="C58" s="18">
        <f>Table15[[#This Row],[Adjusted %]]*$C$84</f>
        <v>13828.912872951118</v>
      </c>
      <c r="D58" s="18">
        <f>Table15[[#This Row],[Adjusted %]]*$D$84</f>
        <v>13828.912876119652</v>
      </c>
      <c r="E58" s="18">
        <f>Table15[[#This Row],[Adjusted %]]*$E$84</f>
        <v>10254.193308121057</v>
      </c>
      <c r="F58" s="18">
        <f>Table15[[#This Row],[Adjusted %]]*$F$84</f>
        <v>10254.193308121057</v>
      </c>
      <c r="G58" s="18">
        <f>Table15[[#This Row],[Adjusted %]]*$G$84</f>
        <v>10254.193308121057</v>
      </c>
      <c r="H58" s="18">
        <f>Table15[[#This Row],[Adjusted %]]*$H$84</f>
        <v>13038.384154130588</v>
      </c>
      <c r="I58" s="18">
        <f>Table15[[#This Row],[Adjusted %]]*$I$84</f>
        <v>12708.484159143134</v>
      </c>
      <c r="J58" s="18">
        <f>Table15[[#This Row],[Adjusted %]]*$J$84</f>
        <v>13820.162907729828</v>
      </c>
      <c r="K58" s="18">
        <f>Table15[[#This Row],[Adjusted %]]*$K$84</f>
        <v>13814.927196277778</v>
      </c>
      <c r="L58" s="18">
        <f>Table15[[#This Row],[Adjusted %]]*$L$84</f>
        <v>13814.927207908171</v>
      </c>
      <c r="M58" s="18">
        <f>Table15[[#This Row],[Adjusted %]]*$M$84</f>
        <v>6682.2873973324895</v>
      </c>
      <c r="N58" s="18">
        <f>Table15[[#This Row],[Adjusted %]]*$N$84</f>
        <v>6682.2873973324895</v>
      </c>
      <c r="O58" s="18">
        <f>Table15[[#This Row],[Adjusted %]]*$O$84</f>
        <v>6682.2873973324895</v>
      </c>
      <c r="P58" s="18">
        <f>Table15[[#This Row],[Adjusted %]]*$P$84</f>
        <v>6682.2873973324895</v>
      </c>
      <c r="Q58" s="18">
        <f>Table15[[#This Row],[Adjusted %]]*$Q$84</f>
        <v>6682.2873973324895</v>
      </c>
      <c r="R58" s="18">
        <f>SUM(Table15[[#This Row],[Payment 1]:[Payment 15]])</f>
        <v>159028.72828528588</v>
      </c>
    </row>
    <row r="59" spans="1:18" x14ac:dyDescent="0.3">
      <c r="A59" t="s">
        <v>178</v>
      </c>
      <c r="B59">
        <v>1.6898834612310891E-2</v>
      </c>
      <c r="C59" s="18">
        <f>Table15[[#This Row],[Adjusted %]]*$C$84</f>
        <v>55315.65149180447</v>
      </c>
      <c r="D59" s="18">
        <f>Table15[[#This Row],[Adjusted %]]*$D$84</f>
        <v>55315.651504478607</v>
      </c>
      <c r="E59" s="18">
        <f>Table15[[#This Row],[Adjusted %]]*$E$84</f>
        <v>41016.773232484229</v>
      </c>
      <c r="F59" s="18">
        <f>Table15[[#This Row],[Adjusted %]]*$F$84</f>
        <v>41016.773232484229</v>
      </c>
      <c r="G59" s="18">
        <f>Table15[[#This Row],[Adjusted %]]*$G$84</f>
        <v>41016.773232484229</v>
      </c>
      <c r="H59" s="18">
        <f>Table15[[#This Row],[Adjusted %]]*$H$84</f>
        <v>52153.536616522353</v>
      </c>
      <c r="I59" s="18">
        <f>Table15[[#This Row],[Adjusted %]]*$I$84</f>
        <v>50833.936636572536</v>
      </c>
      <c r="J59" s="18">
        <f>Table15[[#This Row],[Adjusted %]]*$J$84</f>
        <v>55280.65163091931</v>
      </c>
      <c r="K59" s="18">
        <f>Table15[[#This Row],[Adjusted %]]*$K$84</f>
        <v>55259.708785111114</v>
      </c>
      <c r="L59" s="18">
        <f>Table15[[#This Row],[Adjusted %]]*$L$84</f>
        <v>55259.708831632684</v>
      </c>
      <c r="M59" s="18">
        <f>Table15[[#This Row],[Adjusted %]]*$M$84</f>
        <v>26729.149589329958</v>
      </c>
      <c r="N59" s="18">
        <f>Table15[[#This Row],[Adjusted %]]*$N$84</f>
        <v>26729.149589329958</v>
      </c>
      <c r="O59" s="18">
        <f>Table15[[#This Row],[Adjusted %]]*$O$84</f>
        <v>26729.149589329958</v>
      </c>
      <c r="P59" s="18">
        <f>Table15[[#This Row],[Adjusted %]]*$P$84</f>
        <v>26729.149589329958</v>
      </c>
      <c r="Q59" s="18">
        <f>Table15[[#This Row],[Adjusted %]]*$Q$84</f>
        <v>26729.149589329958</v>
      </c>
      <c r="R59" s="18">
        <f>SUM(Table15[[#This Row],[Payment 1]:[Payment 15]])</f>
        <v>636114.91314114351</v>
      </c>
    </row>
    <row r="60" spans="1:18" x14ac:dyDescent="0.3">
      <c r="A60" t="s">
        <v>179</v>
      </c>
      <c r="B60">
        <v>1.689883461231089E-3</v>
      </c>
      <c r="C60" s="18">
        <f>Table15[[#This Row],[Adjusted %]]*$C$84</f>
        <v>5531.5651491804474</v>
      </c>
      <c r="D60" s="18">
        <f>Table15[[#This Row],[Adjusted %]]*$D$84</f>
        <v>5531.565150447861</v>
      </c>
      <c r="E60" s="18">
        <f>Table15[[#This Row],[Adjusted %]]*$E$84</f>
        <v>4101.677323248422</v>
      </c>
      <c r="F60" s="18">
        <f>Table15[[#This Row],[Adjusted %]]*$F$84</f>
        <v>4101.677323248422</v>
      </c>
      <c r="G60" s="18">
        <f>Table15[[#This Row],[Adjusted %]]*$G$84</f>
        <v>4101.677323248422</v>
      </c>
      <c r="H60" s="18">
        <f>Table15[[#This Row],[Adjusted %]]*$H$84</f>
        <v>5215.3536616522351</v>
      </c>
      <c r="I60" s="18">
        <f>Table15[[#This Row],[Adjusted %]]*$I$84</f>
        <v>5083.3936636572535</v>
      </c>
      <c r="J60" s="18">
        <f>Table15[[#This Row],[Adjusted %]]*$J$84</f>
        <v>5528.065163091931</v>
      </c>
      <c r="K60" s="18">
        <f>Table15[[#This Row],[Adjusted %]]*$K$84</f>
        <v>5525.9708785111116</v>
      </c>
      <c r="L60" s="18">
        <f>Table15[[#This Row],[Adjusted %]]*$L$84</f>
        <v>5525.9708831632679</v>
      </c>
      <c r="M60" s="18">
        <f>Table15[[#This Row],[Adjusted %]]*$M$84</f>
        <v>2672.9149589329954</v>
      </c>
      <c r="N60" s="18">
        <f>Table15[[#This Row],[Adjusted %]]*$N$84</f>
        <v>2672.9149589329954</v>
      </c>
      <c r="O60" s="18">
        <f>Table15[[#This Row],[Adjusted %]]*$O$84</f>
        <v>2672.9149589329954</v>
      </c>
      <c r="P60" s="18">
        <f>Table15[[#This Row],[Adjusted %]]*$P$84</f>
        <v>2672.9149589329954</v>
      </c>
      <c r="Q60" s="18">
        <f>Table15[[#This Row],[Adjusted %]]*$Q$84</f>
        <v>2672.9149589329954</v>
      </c>
      <c r="R60" s="18">
        <f>SUM(Table15[[#This Row],[Payment 1]:[Payment 15]])</f>
        <v>63611.491314114362</v>
      </c>
    </row>
    <row r="61" spans="1:18" x14ac:dyDescent="0.3">
      <c r="A61" t="s">
        <v>180</v>
      </c>
      <c r="B61">
        <v>4.2247086530777227E-3</v>
      </c>
      <c r="C61" s="18">
        <f>Table15[[#This Row],[Adjusted %]]*$C$84</f>
        <v>13828.912872951118</v>
      </c>
      <c r="D61" s="18">
        <f>Table15[[#This Row],[Adjusted %]]*$D$84</f>
        <v>13828.912876119652</v>
      </c>
      <c r="E61" s="18">
        <f>Table15[[#This Row],[Adjusted %]]*$E$84</f>
        <v>10254.193308121057</v>
      </c>
      <c r="F61" s="18">
        <f>Table15[[#This Row],[Adjusted %]]*$F$84</f>
        <v>10254.193308121057</v>
      </c>
      <c r="G61" s="18">
        <f>Table15[[#This Row],[Adjusted %]]*$G$84</f>
        <v>10254.193308121057</v>
      </c>
      <c r="H61" s="18">
        <f>Table15[[#This Row],[Adjusted %]]*$H$84</f>
        <v>13038.384154130588</v>
      </c>
      <c r="I61" s="18">
        <f>Table15[[#This Row],[Adjusted %]]*$I$84</f>
        <v>12708.484159143134</v>
      </c>
      <c r="J61" s="18">
        <f>Table15[[#This Row],[Adjusted %]]*$J$84</f>
        <v>13820.162907729828</v>
      </c>
      <c r="K61" s="18">
        <f>Table15[[#This Row],[Adjusted %]]*$K$84</f>
        <v>13814.927196277778</v>
      </c>
      <c r="L61" s="18">
        <f>Table15[[#This Row],[Adjusted %]]*$L$84</f>
        <v>13814.927207908171</v>
      </c>
      <c r="M61" s="18">
        <f>Table15[[#This Row],[Adjusted %]]*$M$84</f>
        <v>6682.2873973324895</v>
      </c>
      <c r="N61" s="18">
        <f>Table15[[#This Row],[Adjusted %]]*$N$84</f>
        <v>6682.2873973324895</v>
      </c>
      <c r="O61" s="18">
        <f>Table15[[#This Row],[Adjusted %]]*$O$84</f>
        <v>6682.2873973324895</v>
      </c>
      <c r="P61" s="18">
        <f>Table15[[#This Row],[Adjusted %]]*$P$84</f>
        <v>6682.2873973324895</v>
      </c>
      <c r="Q61" s="18">
        <f>Table15[[#This Row],[Adjusted %]]*$Q$84</f>
        <v>6682.2873973324895</v>
      </c>
      <c r="R61" s="18">
        <f>SUM(Table15[[#This Row],[Payment 1]:[Payment 15]])</f>
        <v>159028.72828528588</v>
      </c>
    </row>
    <row r="62" spans="1:18" x14ac:dyDescent="0.3">
      <c r="A62" t="s">
        <v>182</v>
      </c>
      <c r="B62">
        <v>4.2247086530777227E-3</v>
      </c>
      <c r="C62" s="18">
        <f>Table15[[#This Row],[Adjusted %]]*$C$84</f>
        <v>13828.912872951118</v>
      </c>
      <c r="D62" s="18">
        <f>Table15[[#This Row],[Adjusted %]]*$D$84</f>
        <v>13828.912876119652</v>
      </c>
      <c r="E62" s="18">
        <f>Table15[[#This Row],[Adjusted %]]*$E$84</f>
        <v>10254.193308121057</v>
      </c>
      <c r="F62" s="18">
        <f>Table15[[#This Row],[Adjusted %]]*$F$84</f>
        <v>10254.193308121057</v>
      </c>
      <c r="G62" s="18">
        <f>Table15[[#This Row],[Adjusted %]]*$G$84</f>
        <v>10254.193308121057</v>
      </c>
      <c r="H62" s="18">
        <f>Table15[[#This Row],[Adjusted %]]*$H$84</f>
        <v>13038.384154130588</v>
      </c>
      <c r="I62" s="18">
        <f>Table15[[#This Row],[Adjusted %]]*$I$84</f>
        <v>12708.484159143134</v>
      </c>
      <c r="J62" s="18">
        <f>Table15[[#This Row],[Adjusted %]]*$J$84</f>
        <v>13820.162907729828</v>
      </c>
      <c r="K62" s="18">
        <f>Table15[[#This Row],[Adjusted %]]*$K$84</f>
        <v>13814.927196277778</v>
      </c>
      <c r="L62" s="18">
        <f>Table15[[#This Row],[Adjusted %]]*$L$84</f>
        <v>13814.927207908171</v>
      </c>
      <c r="M62" s="18">
        <f>Table15[[#This Row],[Adjusted %]]*$M$84</f>
        <v>6682.2873973324895</v>
      </c>
      <c r="N62" s="18">
        <f>Table15[[#This Row],[Adjusted %]]*$N$84</f>
        <v>6682.2873973324895</v>
      </c>
      <c r="O62" s="18">
        <f>Table15[[#This Row],[Adjusted %]]*$O$84</f>
        <v>6682.2873973324895</v>
      </c>
      <c r="P62" s="18">
        <f>Table15[[#This Row],[Adjusted %]]*$P$84</f>
        <v>6682.2873973324895</v>
      </c>
      <c r="Q62" s="18">
        <f>Table15[[#This Row],[Adjusted %]]*$Q$84</f>
        <v>6682.2873973324895</v>
      </c>
      <c r="R62" s="18">
        <f>SUM(Table15[[#This Row],[Payment 1]:[Payment 15]])</f>
        <v>159028.72828528588</v>
      </c>
    </row>
    <row r="63" spans="1:18" x14ac:dyDescent="0.3">
      <c r="A63" t="s">
        <v>183</v>
      </c>
      <c r="B63">
        <v>4.2247086530777227E-3</v>
      </c>
      <c r="C63" s="18">
        <f>Table15[[#This Row],[Adjusted %]]*$C$84</f>
        <v>13828.912872951118</v>
      </c>
      <c r="D63" s="18">
        <f>Table15[[#This Row],[Adjusted %]]*$D$84</f>
        <v>13828.912876119652</v>
      </c>
      <c r="E63" s="18">
        <f>Table15[[#This Row],[Adjusted %]]*$E$84</f>
        <v>10254.193308121057</v>
      </c>
      <c r="F63" s="18">
        <f>Table15[[#This Row],[Adjusted %]]*$F$84</f>
        <v>10254.193308121057</v>
      </c>
      <c r="G63" s="18">
        <f>Table15[[#This Row],[Adjusted %]]*$G$84</f>
        <v>10254.193308121057</v>
      </c>
      <c r="H63" s="18">
        <f>Table15[[#This Row],[Adjusted %]]*$H$84</f>
        <v>13038.384154130588</v>
      </c>
      <c r="I63" s="18">
        <f>Table15[[#This Row],[Adjusted %]]*$I$84</f>
        <v>12708.484159143134</v>
      </c>
      <c r="J63" s="18">
        <f>Table15[[#This Row],[Adjusted %]]*$J$84</f>
        <v>13820.162907729828</v>
      </c>
      <c r="K63" s="18">
        <f>Table15[[#This Row],[Adjusted %]]*$K$84</f>
        <v>13814.927196277778</v>
      </c>
      <c r="L63" s="18">
        <f>Table15[[#This Row],[Adjusted %]]*$L$84</f>
        <v>13814.927207908171</v>
      </c>
      <c r="M63" s="18">
        <f>Table15[[#This Row],[Adjusted %]]*$M$84</f>
        <v>6682.2873973324895</v>
      </c>
      <c r="N63" s="18">
        <f>Table15[[#This Row],[Adjusted %]]*$N$84</f>
        <v>6682.2873973324895</v>
      </c>
      <c r="O63" s="18">
        <f>Table15[[#This Row],[Adjusted %]]*$O$84</f>
        <v>6682.2873973324895</v>
      </c>
      <c r="P63" s="18">
        <f>Table15[[#This Row],[Adjusted %]]*$P$84</f>
        <v>6682.2873973324895</v>
      </c>
      <c r="Q63" s="18">
        <f>Table15[[#This Row],[Adjusted %]]*$Q$84</f>
        <v>6682.2873973324895</v>
      </c>
      <c r="R63" s="18">
        <f>SUM(Table15[[#This Row],[Payment 1]:[Payment 15]])</f>
        <v>159028.72828528588</v>
      </c>
    </row>
    <row r="64" spans="1:18" x14ac:dyDescent="0.3">
      <c r="A64" t="s">
        <v>184</v>
      </c>
      <c r="B64">
        <v>2.2518659627010083E-2</v>
      </c>
      <c r="C64" s="18">
        <f>Table15[[#This Row],[Adjusted %]]*$C$84</f>
        <v>73711.256223716526</v>
      </c>
      <c r="D64" s="18">
        <f>Table15[[#This Row],[Adjusted %]]*$D$84</f>
        <v>73711.256240605537</v>
      </c>
      <c r="E64" s="18">
        <f>Table15[[#This Row],[Adjusted %]]*$E$84</f>
        <v>54657.186522654745</v>
      </c>
      <c r="F64" s="18">
        <f>Table15[[#This Row],[Adjusted %]]*$F$84</f>
        <v>54657.186522654745</v>
      </c>
      <c r="G64" s="18">
        <f>Table15[[#This Row],[Adjusted %]]*$G$84</f>
        <v>54657.186522654745</v>
      </c>
      <c r="H64" s="18">
        <f>Table15[[#This Row],[Adjusted %]]*$H$84</f>
        <v>69497.558047979066</v>
      </c>
      <c r="I64" s="18">
        <f>Table15[[#This Row],[Adjusted %]]*$I$84</f>
        <v>67739.115914303693</v>
      </c>
      <c r="J64" s="18">
        <f>Table15[[#This Row],[Adjusted %]]*$J$84</f>
        <v>73664.616915601669</v>
      </c>
      <c r="K64" s="18">
        <f>Table15[[#This Row],[Adjusted %]]*$K$84</f>
        <v>73636.709380721586</v>
      </c>
      <c r="L64" s="18">
        <f>Table15[[#This Row],[Adjusted %]]*$L$84</f>
        <v>73636.709442714229</v>
      </c>
      <c r="M64" s="18">
        <f>Table15[[#This Row],[Adjusted %]]*$M$84</f>
        <v>35618.114238662762</v>
      </c>
      <c r="N64" s="18">
        <f>Table15[[#This Row],[Adjusted %]]*$N$84</f>
        <v>35618.114238662762</v>
      </c>
      <c r="O64" s="18">
        <f>Table15[[#This Row],[Adjusted %]]*$O$84</f>
        <v>35618.114238662762</v>
      </c>
      <c r="P64" s="18">
        <f>Table15[[#This Row],[Adjusted %]]*$P$84</f>
        <v>35618.114238662762</v>
      </c>
      <c r="Q64" s="18">
        <f>Table15[[#This Row],[Adjusted %]]*$Q$84</f>
        <v>35618.114238662762</v>
      </c>
      <c r="R64" s="18">
        <f>SUM(Table15[[#This Row],[Payment 1]:[Payment 15]])</f>
        <v>847659.3529269204</v>
      </c>
    </row>
    <row r="65" spans="1:18" x14ac:dyDescent="0.3">
      <c r="A65" t="s">
        <v>185</v>
      </c>
      <c r="B65">
        <v>8.4494173061554472E-3</v>
      </c>
      <c r="C65" s="18">
        <f>Table15[[#This Row],[Adjusted %]]*$C$84</f>
        <v>27657.825745902242</v>
      </c>
      <c r="D65" s="18">
        <f>Table15[[#This Row],[Adjusted %]]*$D$84</f>
        <v>27657.825752239311</v>
      </c>
      <c r="E65" s="18">
        <f>Table15[[#This Row],[Adjusted %]]*$E$84</f>
        <v>20508.386616242118</v>
      </c>
      <c r="F65" s="18">
        <f>Table15[[#This Row],[Adjusted %]]*$F$84</f>
        <v>20508.386616242118</v>
      </c>
      <c r="G65" s="18">
        <f>Table15[[#This Row],[Adjusted %]]*$G$84</f>
        <v>20508.386616242118</v>
      </c>
      <c r="H65" s="18">
        <f>Table15[[#This Row],[Adjusted %]]*$H$84</f>
        <v>26076.768308261184</v>
      </c>
      <c r="I65" s="18">
        <f>Table15[[#This Row],[Adjusted %]]*$I$84</f>
        <v>25416.968318286272</v>
      </c>
      <c r="J65" s="18">
        <f>Table15[[#This Row],[Adjusted %]]*$J$84</f>
        <v>27640.325815459659</v>
      </c>
      <c r="K65" s="18">
        <f>Table15[[#This Row],[Adjusted %]]*$K$84</f>
        <v>27629.854392555564</v>
      </c>
      <c r="L65" s="18">
        <f>Table15[[#This Row],[Adjusted %]]*$L$84</f>
        <v>27629.85441581635</v>
      </c>
      <c r="M65" s="18">
        <f>Table15[[#This Row],[Adjusted %]]*$M$84</f>
        <v>13364.574794664981</v>
      </c>
      <c r="N65" s="18">
        <f>Table15[[#This Row],[Adjusted %]]*$N$84</f>
        <v>13364.574794664981</v>
      </c>
      <c r="O65" s="18">
        <f>Table15[[#This Row],[Adjusted %]]*$O$84</f>
        <v>13364.574794664981</v>
      </c>
      <c r="P65" s="18">
        <f>Table15[[#This Row],[Adjusted %]]*$P$84</f>
        <v>13364.574794664981</v>
      </c>
      <c r="Q65" s="18">
        <f>Table15[[#This Row],[Adjusted %]]*$Q$84</f>
        <v>13364.574794664981</v>
      </c>
      <c r="R65" s="18">
        <f>SUM(Table15[[#This Row],[Payment 1]:[Payment 15]])</f>
        <v>318057.45657057181</v>
      </c>
    </row>
    <row r="66" spans="1:18" x14ac:dyDescent="0.3">
      <c r="A66" t="s">
        <v>187</v>
      </c>
      <c r="B66">
        <v>8.4494173061554472E-3</v>
      </c>
      <c r="C66" s="18">
        <f>Table15[[#This Row],[Adjusted %]]*$C$84</f>
        <v>27657.825745902242</v>
      </c>
      <c r="D66" s="18">
        <f>Table15[[#This Row],[Adjusted %]]*$D$84</f>
        <v>27657.825752239311</v>
      </c>
      <c r="E66" s="18">
        <f>Table15[[#This Row],[Adjusted %]]*$E$84</f>
        <v>20508.386616242118</v>
      </c>
      <c r="F66" s="18">
        <f>Table15[[#This Row],[Adjusted %]]*$F$84</f>
        <v>20508.386616242118</v>
      </c>
      <c r="G66" s="18">
        <f>Table15[[#This Row],[Adjusted %]]*$G$84</f>
        <v>20508.386616242118</v>
      </c>
      <c r="H66" s="18">
        <f>Table15[[#This Row],[Adjusted %]]*$H$84</f>
        <v>26076.768308261184</v>
      </c>
      <c r="I66" s="18">
        <f>Table15[[#This Row],[Adjusted %]]*$I$84</f>
        <v>25416.968318286272</v>
      </c>
      <c r="J66" s="18">
        <f>Table15[[#This Row],[Adjusted %]]*$J$84</f>
        <v>27640.325815459659</v>
      </c>
      <c r="K66" s="18">
        <f>Table15[[#This Row],[Adjusted %]]*$K$84</f>
        <v>27629.854392555564</v>
      </c>
      <c r="L66" s="18">
        <f>Table15[[#This Row],[Adjusted %]]*$L$84</f>
        <v>27629.85441581635</v>
      </c>
      <c r="M66" s="18">
        <f>Table15[[#This Row],[Adjusted %]]*$M$84</f>
        <v>13364.574794664981</v>
      </c>
      <c r="N66" s="18">
        <f>Table15[[#This Row],[Adjusted %]]*$N$84</f>
        <v>13364.574794664981</v>
      </c>
      <c r="O66" s="18">
        <f>Table15[[#This Row],[Adjusted %]]*$O$84</f>
        <v>13364.574794664981</v>
      </c>
      <c r="P66" s="18">
        <f>Table15[[#This Row],[Adjusted %]]*$P$84</f>
        <v>13364.574794664981</v>
      </c>
      <c r="Q66" s="18">
        <f>Table15[[#This Row],[Adjusted %]]*$Q$84</f>
        <v>13364.574794664981</v>
      </c>
      <c r="R66" s="18">
        <f>SUM(Table15[[#This Row],[Payment 1]:[Payment 15]])</f>
        <v>318057.45657057181</v>
      </c>
    </row>
    <row r="67" spans="1:18" x14ac:dyDescent="0.3">
      <c r="A67" t="s">
        <v>188</v>
      </c>
      <c r="B67">
        <v>2.1800540103258569E-2</v>
      </c>
      <c r="C67" s="18">
        <f>Table15[[#This Row],[Adjusted %]]*$C$84</f>
        <v>71360.606003353954</v>
      </c>
      <c r="D67" s="18">
        <f>Table15[[#This Row],[Adjusted %]]*$D$84</f>
        <v>71360.60601970437</v>
      </c>
      <c r="E67" s="18">
        <f>Table15[[#This Row],[Adjusted %]]*$E$84</f>
        <v>52914.17013511774</v>
      </c>
      <c r="F67" s="18">
        <f>Table15[[#This Row],[Adjusted %]]*$F$84</f>
        <v>52914.17013511774</v>
      </c>
      <c r="G67" s="18">
        <f>Table15[[#This Row],[Adjusted %]]*$G$84</f>
        <v>52914.17013511774</v>
      </c>
      <c r="H67" s="18">
        <f>Table15[[#This Row],[Adjusted %]]*$H$84</f>
        <v>67281.282562938824</v>
      </c>
      <c r="I67" s="18">
        <f>Table15[[#This Row],[Adjusted %]]*$I$84</f>
        <v>65578.917107382644</v>
      </c>
      <c r="J67" s="18">
        <f>Table15[[#This Row],[Adjusted %]]*$J$84</f>
        <v>71315.454021673533</v>
      </c>
      <c r="K67" s="18">
        <f>Table15[[#This Row],[Adjusted %]]*$K$84</f>
        <v>71288.436457421776</v>
      </c>
      <c r="L67" s="18">
        <f>Table15[[#This Row],[Adjusted %]]*$L$84</f>
        <v>71288.436517437469</v>
      </c>
      <c r="M67" s="18">
        <f>Table15[[#This Row],[Adjusted %]]*$M$84</f>
        <v>34482.253416675121</v>
      </c>
      <c r="N67" s="18">
        <f>Table15[[#This Row],[Adjusted %]]*$N$84</f>
        <v>34482.253416675121</v>
      </c>
      <c r="O67" s="18">
        <f>Table15[[#This Row],[Adjusted %]]*$O$84</f>
        <v>34482.253416675121</v>
      </c>
      <c r="P67" s="18">
        <f>Table15[[#This Row],[Adjusted %]]*$P$84</f>
        <v>34482.253416675121</v>
      </c>
      <c r="Q67" s="18">
        <f>Table15[[#This Row],[Adjusted %]]*$Q$84</f>
        <v>34482.253416675121</v>
      </c>
      <c r="R67" s="18">
        <f>SUM(Table15[[#This Row],[Payment 1]:[Payment 15]])</f>
        <v>820627.51617864147</v>
      </c>
    </row>
    <row r="68" spans="1:18" x14ac:dyDescent="0.3">
      <c r="A68" t="s">
        <v>189</v>
      </c>
      <c r="B68">
        <v>1.689883461231089E-3</v>
      </c>
      <c r="C68" s="18">
        <f>Table15[[#This Row],[Adjusted %]]*$C$84</f>
        <v>5531.5651491804474</v>
      </c>
      <c r="D68" s="18">
        <f>Table15[[#This Row],[Adjusted %]]*$D$84</f>
        <v>5531.565150447861</v>
      </c>
      <c r="E68" s="18">
        <f>Table15[[#This Row],[Adjusted %]]*$E$84</f>
        <v>4101.677323248422</v>
      </c>
      <c r="F68" s="18">
        <f>Table15[[#This Row],[Adjusted %]]*$F$84</f>
        <v>4101.677323248422</v>
      </c>
      <c r="G68" s="18">
        <f>Table15[[#This Row],[Adjusted %]]*$G$84</f>
        <v>4101.677323248422</v>
      </c>
      <c r="H68" s="18">
        <f>Table15[[#This Row],[Adjusted %]]*$H$84</f>
        <v>5215.3536616522351</v>
      </c>
      <c r="I68" s="18">
        <f>Table15[[#This Row],[Adjusted %]]*$I$84</f>
        <v>5083.3936636572535</v>
      </c>
      <c r="J68" s="18">
        <f>Table15[[#This Row],[Adjusted %]]*$J$84</f>
        <v>5528.065163091931</v>
      </c>
      <c r="K68" s="18">
        <f>Table15[[#This Row],[Adjusted %]]*$K$84</f>
        <v>5525.9708785111116</v>
      </c>
      <c r="L68" s="18">
        <f>Table15[[#This Row],[Adjusted %]]*$L$84</f>
        <v>5525.9708831632679</v>
      </c>
      <c r="M68" s="18">
        <f>Table15[[#This Row],[Adjusted %]]*$M$84</f>
        <v>2672.9149589329954</v>
      </c>
      <c r="N68" s="18">
        <f>Table15[[#This Row],[Adjusted %]]*$N$84</f>
        <v>2672.9149589329954</v>
      </c>
      <c r="O68" s="18">
        <f>Table15[[#This Row],[Adjusted %]]*$O$84</f>
        <v>2672.9149589329954</v>
      </c>
      <c r="P68" s="18">
        <f>Table15[[#This Row],[Adjusted %]]*$P$84</f>
        <v>2672.9149589329954</v>
      </c>
      <c r="Q68" s="18">
        <f>Table15[[#This Row],[Adjusted %]]*$Q$84</f>
        <v>2672.9149589329954</v>
      </c>
      <c r="R68" s="18">
        <f>SUM(Table15[[#This Row],[Payment 1]:[Payment 15]])</f>
        <v>63611.491314114362</v>
      </c>
    </row>
    <row r="69" spans="1:18" x14ac:dyDescent="0.3">
      <c r="A69" t="s">
        <v>190</v>
      </c>
      <c r="B69">
        <v>1.6898834612310891E-2</v>
      </c>
      <c r="C69" s="18">
        <f>Table15[[#This Row],[Adjusted %]]*$C$84</f>
        <v>55315.65149180447</v>
      </c>
      <c r="D69" s="18">
        <f>Table15[[#This Row],[Adjusted %]]*$D$84</f>
        <v>55315.651504478607</v>
      </c>
      <c r="E69" s="18">
        <f>Table15[[#This Row],[Adjusted %]]*$E$84</f>
        <v>41016.773232484229</v>
      </c>
      <c r="F69" s="18">
        <f>Table15[[#This Row],[Adjusted %]]*$F$84</f>
        <v>41016.773232484229</v>
      </c>
      <c r="G69" s="18">
        <f>Table15[[#This Row],[Adjusted %]]*$G$84</f>
        <v>41016.773232484229</v>
      </c>
      <c r="H69" s="18">
        <f>Table15[[#This Row],[Adjusted %]]*$H$84</f>
        <v>52153.536616522353</v>
      </c>
      <c r="I69" s="18">
        <f>Table15[[#This Row],[Adjusted %]]*$I$84</f>
        <v>50833.936636572536</v>
      </c>
      <c r="J69" s="18">
        <f>Table15[[#This Row],[Adjusted %]]*$J$84</f>
        <v>55280.65163091931</v>
      </c>
      <c r="K69" s="18">
        <f>Table15[[#This Row],[Adjusted %]]*$K$84</f>
        <v>55259.708785111114</v>
      </c>
      <c r="L69" s="18">
        <f>Table15[[#This Row],[Adjusted %]]*$L$84</f>
        <v>55259.708831632684</v>
      </c>
      <c r="M69" s="18">
        <f>Table15[[#This Row],[Adjusted %]]*$M$84</f>
        <v>26729.149589329958</v>
      </c>
      <c r="N69" s="18">
        <f>Table15[[#This Row],[Adjusted %]]*$N$84</f>
        <v>26729.149589329958</v>
      </c>
      <c r="O69" s="18">
        <f>Table15[[#This Row],[Adjusted %]]*$O$84</f>
        <v>26729.149589329958</v>
      </c>
      <c r="P69" s="18">
        <f>Table15[[#This Row],[Adjusted %]]*$P$84</f>
        <v>26729.149589329958</v>
      </c>
      <c r="Q69" s="18">
        <f>Table15[[#This Row],[Adjusted %]]*$Q$84</f>
        <v>26729.149589329958</v>
      </c>
      <c r="R69" s="18">
        <f>SUM(Table15[[#This Row],[Payment 1]:[Payment 15]])</f>
        <v>636114.91314114351</v>
      </c>
    </row>
    <row r="70" spans="1:18" x14ac:dyDescent="0.3">
      <c r="A70" t="s">
        <v>192</v>
      </c>
      <c r="B70">
        <v>1.689883461231089E-3</v>
      </c>
      <c r="C70" s="18">
        <f>Table15[[#This Row],[Adjusted %]]*$C$84</f>
        <v>5531.5651491804474</v>
      </c>
      <c r="D70" s="18">
        <f>Table15[[#This Row],[Adjusted %]]*$D$84</f>
        <v>5531.565150447861</v>
      </c>
      <c r="E70" s="18">
        <f>Table15[[#This Row],[Adjusted %]]*$E$84</f>
        <v>4101.677323248422</v>
      </c>
      <c r="F70" s="18">
        <f>Table15[[#This Row],[Adjusted %]]*$F$84</f>
        <v>4101.677323248422</v>
      </c>
      <c r="G70" s="18">
        <f>Table15[[#This Row],[Adjusted %]]*$G$84</f>
        <v>4101.677323248422</v>
      </c>
      <c r="H70" s="18">
        <f>Table15[[#This Row],[Adjusted %]]*$H$84</f>
        <v>5215.3536616522351</v>
      </c>
      <c r="I70" s="18">
        <f>Table15[[#This Row],[Adjusted %]]*$I$84</f>
        <v>5083.3936636572535</v>
      </c>
      <c r="J70" s="18">
        <f>Table15[[#This Row],[Adjusted %]]*$J$84</f>
        <v>5528.065163091931</v>
      </c>
      <c r="K70" s="18">
        <f>Table15[[#This Row],[Adjusted %]]*$K$84</f>
        <v>5525.9708785111116</v>
      </c>
      <c r="L70" s="18">
        <f>Table15[[#This Row],[Adjusted %]]*$L$84</f>
        <v>5525.9708831632679</v>
      </c>
      <c r="M70" s="18">
        <f>Table15[[#This Row],[Adjusted %]]*$M$84</f>
        <v>2672.9149589329954</v>
      </c>
      <c r="N70" s="18">
        <f>Table15[[#This Row],[Adjusted %]]*$N$84</f>
        <v>2672.9149589329954</v>
      </c>
      <c r="O70" s="18">
        <f>Table15[[#This Row],[Adjusted %]]*$O$84</f>
        <v>2672.9149589329954</v>
      </c>
      <c r="P70" s="18">
        <f>Table15[[#This Row],[Adjusted %]]*$P$84</f>
        <v>2672.9149589329954</v>
      </c>
      <c r="Q70" s="18">
        <f>Table15[[#This Row],[Adjusted %]]*$Q$84</f>
        <v>2672.9149589329954</v>
      </c>
      <c r="R70" s="18">
        <f>SUM(Table15[[#This Row],[Payment 1]:[Payment 15]])</f>
        <v>63611.491314114362</v>
      </c>
    </row>
    <row r="71" spans="1:18" x14ac:dyDescent="0.3">
      <c r="A71" t="s">
        <v>193</v>
      </c>
      <c r="B71">
        <v>4.2247086530777227E-3</v>
      </c>
      <c r="C71" s="18">
        <f>Table15[[#This Row],[Adjusted %]]*$C$84</f>
        <v>13828.912872951118</v>
      </c>
      <c r="D71" s="18">
        <f>Table15[[#This Row],[Adjusted %]]*$D$84</f>
        <v>13828.912876119652</v>
      </c>
      <c r="E71" s="18">
        <f>Table15[[#This Row],[Adjusted %]]*$E$84</f>
        <v>10254.193308121057</v>
      </c>
      <c r="F71" s="18">
        <f>Table15[[#This Row],[Adjusted %]]*$F$84</f>
        <v>10254.193308121057</v>
      </c>
      <c r="G71" s="18">
        <f>Table15[[#This Row],[Adjusted %]]*$G$84</f>
        <v>10254.193308121057</v>
      </c>
      <c r="H71" s="18">
        <f>Table15[[#This Row],[Adjusted %]]*$H$84</f>
        <v>13038.384154130588</v>
      </c>
      <c r="I71" s="18">
        <f>Table15[[#This Row],[Adjusted %]]*$I$84</f>
        <v>12708.484159143134</v>
      </c>
      <c r="J71" s="18">
        <f>Table15[[#This Row],[Adjusted %]]*$J$84</f>
        <v>13820.162907729828</v>
      </c>
      <c r="K71" s="18">
        <f>Table15[[#This Row],[Adjusted %]]*$K$84</f>
        <v>13814.927196277778</v>
      </c>
      <c r="L71" s="18">
        <f>Table15[[#This Row],[Adjusted %]]*$L$84</f>
        <v>13814.927207908171</v>
      </c>
      <c r="M71" s="18">
        <f>Table15[[#This Row],[Adjusted %]]*$M$84</f>
        <v>6682.2873973324895</v>
      </c>
      <c r="N71" s="18">
        <f>Table15[[#This Row],[Adjusted %]]*$N$84</f>
        <v>6682.2873973324895</v>
      </c>
      <c r="O71" s="18">
        <f>Table15[[#This Row],[Adjusted %]]*$O$84</f>
        <v>6682.2873973324895</v>
      </c>
      <c r="P71" s="18">
        <f>Table15[[#This Row],[Adjusted %]]*$P$84</f>
        <v>6682.2873973324895</v>
      </c>
      <c r="Q71" s="18">
        <f>Table15[[#This Row],[Adjusted %]]*$Q$84</f>
        <v>6682.2873973324895</v>
      </c>
      <c r="R71" s="18">
        <f>SUM(Table15[[#This Row],[Payment 1]:[Payment 15]])</f>
        <v>159028.72828528588</v>
      </c>
    </row>
    <row r="72" spans="1:18" x14ac:dyDescent="0.3">
      <c r="A72" t="s">
        <v>196</v>
      </c>
      <c r="B72">
        <v>4.2247086530777227E-3</v>
      </c>
      <c r="C72" s="18">
        <f>Table15[[#This Row],[Adjusted %]]*$C$84</f>
        <v>13828.912872951118</v>
      </c>
      <c r="D72" s="18">
        <f>Table15[[#This Row],[Adjusted %]]*$D$84</f>
        <v>13828.912876119652</v>
      </c>
      <c r="E72" s="18">
        <f>Table15[[#This Row],[Adjusted %]]*$E$84</f>
        <v>10254.193308121057</v>
      </c>
      <c r="F72" s="18">
        <f>Table15[[#This Row],[Adjusted %]]*$F$84</f>
        <v>10254.193308121057</v>
      </c>
      <c r="G72" s="18">
        <f>Table15[[#This Row],[Adjusted %]]*$G$84</f>
        <v>10254.193308121057</v>
      </c>
      <c r="H72" s="18">
        <f>Table15[[#This Row],[Adjusted %]]*$H$84</f>
        <v>13038.384154130588</v>
      </c>
      <c r="I72" s="18">
        <f>Table15[[#This Row],[Adjusted %]]*$I$84</f>
        <v>12708.484159143134</v>
      </c>
      <c r="J72" s="18">
        <f>Table15[[#This Row],[Adjusted %]]*$J$84</f>
        <v>13820.162907729828</v>
      </c>
      <c r="K72" s="18">
        <f>Table15[[#This Row],[Adjusted %]]*$K$84</f>
        <v>13814.927196277778</v>
      </c>
      <c r="L72" s="18">
        <f>Table15[[#This Row],[Adjusted %]]*$L$84</f>
        <v>13814.927207908171</v>
      </c>
      <c r="M72" s="18">
        <f>Table15[[#This Row],[Adjusted %]]*$M$84</f>
        <v>6682.2873973324895</v>
      </c>
      <c r="N72" s="18">
        <f>Table15[[#This Row],[Adjusted %]]*$N$84</f>
        <v>6682.2873973324895</v>
      </c>
      <c r="O72" s="18">
        <f>Table15[[#This Row],[Adjusted %]]*$O$84</f>
        <v>6682.2873973324895</v>
      </c>
      <c r="P72" s="18">
        <f>Table15[[#This Row],[Adjusted %]]*$P$84</f>
        <v>6682.2873973324895</v>
      </c>
      <c r="Q72" s="18">
        <f>Table15[[#This Row],[Adjusted %]]*$Q$84</f>
        <v>6682.2873973324895</v>
      </c>
      <c r="R72" s="18">
        <f>SUM(Table15[[#This Row],[Payment 1]:[Payment 15]])</f>
        <v>159028.72828528588</v>
      </c>
    </row>
    <row r="73" spans="1:18" x14ac:dyDescent="0.3">
      <c r="A73" t="s">
        <v>197</v>
      </c>
      <c r="B73">
        <v>4.2247086530777227E-3</v>
      </c>
      <c r="C73" s="18">
        <f>Table15[[#This Row],[Adjusted %]]*$C$84</f>
        <v>13828.912872951118</v>
      </c>
      <c r="D73" s="18">
        <f>Table15[[#This Row],[Adjusted %]]*$D$84</f>
        <v>13828.912876119652</v>
      </c>
      <c r="E73" s="18">
        <f>Table15[[#This Row],[Adjusted %]]*$E$84</f>
        <v>10254.193308121057</v>
      </c>
      <c r="F73" s="18">
        <f>Table15[[#This Row],[Adjusted %]]*$F$84</f>
        <v>10254.193308121057</v>
      </c>
      <c r="G73" s="18">
        <f>Table15[[#This Row],[Adjusted %]]*$G$84</f>
        <v>10254.193308121057</v>
      </c>
      <c r="H73" s="18">
        <f>Table15[[#This Row],[Adjusted %]]*$H$84</f>
        <v>13038.384154130588</v>
      </c>
      <c r="I73" s="18">
        <f>Table15[[#This Row],[Adjusted %]]*$I$84</f>
        <v>12708.484159143134</v>
      </c>
      <c r="J73" s="18">
        <f>Table15[[#This Row],[Adjusted %]]*$J$84</f>
        <v>13820.162907729828</v>
      </c>
      <c r="K73" s="18">
        <f>Table15[[#This Row],[Adjusted %]]*$K$84</f>
        <v>13814.927196277778</v>
      </c>
      <c r="L73" s="18">
        <f>Table15[[#This Row],[Adjusted %]]*$L$84</f>
        <v>13814.927207908171</v>
      </c>
      <c r="M73" s="18">
        <f>Table15[[#This Row],[Adjusted %]]*$M$84</f>
        <v>6682.2873973324895</v>
      </c>
      <c r="N73" s="18">
        <f>Table15[[#This Row],[Adjusted %]]*$N$84</f>
        <v>6682.2873973324895</v>
      </c>
      <c r="O73" s="18">
        <f>Table15[[#This Row],[Adjusted %]]*$O$84</f>
        <v>6682.2873973324895</v>
      </c>
      <c r="P73" s="18">
        <f>Table15[[#This Row],[Adjusted %]]*$P$84</f>
        <v>6682.2873973324895</v>
      </c>
      <c r="Q73" s="18">
        <f>Table15[[#This Row],[Adjusted %]]*$Q$84</f>
        <v>6682.2873973324895</v>
      </c>
      <c r="R73" s="18">
        <f>SUM(Table15[[#This Row],[Payment 1]:[Payment 15]])</f>
        <v>159028.72828528588</v>
      </c>
    </row>
    <row r="74" spans="1:18" x14ac:dyDescent="0.3">
      <c r="A74" t="s">
        <v>198</v>
      </c>
      <c r="B74">
        <v>1.5063888194173956E-2</v>
      </c>
      <c r="C74" s="18">
        <f>Table15[[#This Row],[Adjusted %]]*$C$84</f>
        <v>49309.245789848348</v>
      </c>
      <c r="D74" s="18">
        <f>Table15[[#This Row],[Adjusted %]]*$D$84</f>
        <v>49309.245801146273</v>
      </c>
      <c r="E74" s="18">
        <f>Table15[[#This Row],[Adjusted %]]*$E$84</f>
        <v>36562.9997709905</v>
      </c>
      <c r="F74" s="18">
        <f>Table15[[#This Row],[Adjusted %]]*$F$84</f>
        <v>36562.9997709905</v>
      </c>
      <c r="G74" s="18">
        <f>Table15[[#This Row],[Adjusted %]]*$G$84</f>
        <v>36562.9997709905</v>
      </c>
      <c r="H74" s="18">
        <f>Table15[[#This Row],[Adjusted %]]*$H$84</f>
        <v>46490.486625019155</v>
      </c>
      <c r="I74" s="18">
        <f>Table15[[#This Row],[Adjusted %]]*$I$84</f>
        <v>45314.174351715003</v>
      </c>
      <c r="J74" s="18">
        <f>Table15[[#This Row],[Adjusted %]]*$J$84</f>
        <v>49278.046360817803</v>
      </c>
      <c r="K74" s="18">
        <f>Table15[[#This Row],[Adjusted %]]*$K$84</f>
        <v>49259.377577143656</v>
      </c>
      <c r="L74" s="18">
        <f>Table15[[#This Row],[Adjusted %]]*$L$84</f>
        <v>49259.377618613711</v>
      </c>
      <c r="M74" s="18">
        <f>Table15[[#This Row],[Adjusted %]]*$M$84</f>
        <v>23826.78629481871</v>
      </c>
      <c r="N74" s="18">
        <f>Table15[[#This Row],[Adjusted %]]*$N$84</f>
        <v>23826.78629481871</v>
      </c>
      <c r="O74" s="18">
        <f>Table15[[#This Row],[Adjusted %]]*$O$84</f>
        <v>23826.78629481871</v>
      </c>
      <c r="P74" s="18">
        <f>Table15[[#This Row],[Adjusted %]]*$P$84</f>
        <v>23826.78629481871</v>
      </c>
      <c r="Q74" s="18">
        <f>Table15[[#This Row],[Adjusted %]]*$Q$84</f>
        <v>23826.78629481871</v>
      </c>
      <c r="R74" s="18">
        <f>SUM(Table15[[#This Row],[Payment 1]:[Payment 15]])</f>
        <v>567042.88491136918</v>
      </c>
    </row>
    <row r="75" spans="1:18" x14ac:dyDescent="0.3">
      <c r="A75" t="s">
        <v>199</v>
      </c>
      <c r="B75">
        <v>4.2247086530777227E-3</v>
      </c>
      <c r="C75" s="18">
        <f>Table15[[#This Row],[Adjusted %]]*$C$84</f>
        <v>13828.912872951118</v>
      </c>
      <c r="D75" s="18">
        <f>Table15[[#This Row],[Adjusted %]]*$D$84</f>
        <v>13828.912876119652</v>
      </c>
      <c r="E75" s="18">
        <f>Table15[[#This Row],[Adjusted %]]*$E$84</f>
        <v>10254.193308121057</v>
      </c>
      <c r="F75" s="18">
        <f>Table15[[#This Row],[Adjusted %]]*$F$84</f>
        <v>10254.193308121057</v>
      </c>
      <c r="G75" s="18">
        <f>Table15[[#This Row],[Adjusted %]]*$G$84</f>
        <v>10254.193308121057</v>
      </c>
      <c r="H75" s="18">
        <f>Table15[[#This Row],[Adjusted %]]*$H$84</f>
        <v>13038.384154130588</v>
      </c>
      <c r="I75" s="18">
        <f>Table15[[#This Row],[Adjusted %]]*$I$84</f>
        <v>12708.484159143134</v>
      </c>
      <c r="J75" s="18">
        <f>Table15[[#This Row],[Adjusted %]]*$J$84</f>
        <v>13820.162907729828</v>
      </c>
      <c r="K75" s="18">
        <f>Table15[[#This Row],[Adjusted %]]*$K$84</f>
        <v>13814.927196277778</v>
      </c>
      <c r="L75" s="18">
        <f>Table15[[#This Row],[Adjusted %]]*$L$84</f>
        <v>13814.927207908171</v>
      </c>
      <c r="M75" s="18">
        <f>Table15[[#This Row],[Adjusted %]]*$M$84</f>
        <v>6682.2873973324895</v>
      </c>
      <c r="N75" s="18">
        <f>Table15[[#This Row],[Adjusted %]]*$N$84</f>
        <v>6682.2873973324895</v>
      </c>
      <c r="O75" s="18">
        <f>Table15[[#This Row],[Adjusted %]]*$O$84</f>
        <v>6682.2873973324895</v>
      </c>
      <c r="P75" s="18">
        <f>Table15[[#This Row],[Adjusted %]]*$P$84</f>
        <v>6682.2873973324895</v>
      </c>
      <c r="Q75" s="18">
        <f>Table15[[#This Row],[Adjusted %]]*$Q$84</f>
        <v>6682.2873973324895</v>
      </c>
      <c r="R75" s="18">
        <f>SUM(Table15[[#This Row],[Payment 1]:[Payment 15]])</f>
        <v>159028.72828528588</v>
      </c>
    </row>
    <row r="76" spans="1:18" x14ac:dyDescent="0.3">
      <c r="A76" t="s">
        <v>200</v>
      </c>
      <c r="B76">
        <v>1.689883461231089E-3</v>
      </c>
      <c r="C76" s="18">
        <f>Table15[[#This Row],[Adjusted %]]*$C$84</f>
        <v>5531.5651491804474</v>
      </c>
      <c r="D76" s="18">
        <f>Table15[[#This Row],[Adjusted %]]*$D$84</f>
        <v>5531.565150447861</v>
      </c>
      <c r="E76" s="18">
        <f>Table15[[#This Row],[Adjusted %]]*$E$84</f>
        <v>4101.677323248422</v>
      </c>
      <c r="F76" s="18">
        <f>Table15[[#This Row],[Adjusted %]]*$F$84</f>
        <v>4101.677323248422</v>
      </c>
      <c r="G76" s="18">
        <f>Table15[[#This Row],[Adjusted %]]*$G$84</f>
        <v>4101.677323248422</v>
      </c>
      <c r="H76" s="18">
        <f>Table15[[#This Row],[Adjusted %]]*$H$84</f>
        <v>5215.3536616522351</v>
      </c>
      <c r="I76" s="18">
        <f>Table15[[#This Row],[Adjusted %]]*$I$84</f>
        <v>5083.3936636572535</v>
      </c>
      <c r="J76" s="18">
        <f>Table15[[#This Row],[Adjusted %]]*$J$84</f>
        <v>5528.065163091931</v>
      </c>
      <c r="K76" s="18">
        <f>Table15[[#This Row],[Adjusted %]]*$K$84</f>
        <v>5525.9708785111116</v>
      </c>
      <c r="L76" s="18">
        <f>Table15[[#This Row],[Adjusted %]]*$L$84</f>
        <v>5525.9708831632679</v>
      </c>
      <c r="M76" s="18">
        <f>Table15[[#This Row],[Adjusted %]]*$M$84</f>
        <v>2672.9149589329954</v>
      </c>
      <c r="N76" s="18">
        <f>Table15[[#This Row],[Adjusted %]]*$N$84</f>
        <v>2672.9149589329954</v>
      </c>
      <c r="O76" s="18">
        <f>Table15[[#This Row],[Adjusted %]]*$O$84</f>
        <v>2672.9149589329954</v>
      </c>
      <c r="P76" s="18">
        <f>Table15[[#This Row],[Adjusted %]]*$P$84</f>
        <v>2672.9149589329954</v>
      </c>
      <c r="Q76" s="18">
        <f>Table15[[#This Row],[Adjusted %]]*$Q$84</f>
        <v>2672.9149589329954</v>
      </c>
      <c r="R76" s="18">
        <f>SUM(Table15[[#This Row],[Payment 1]:[Payment 15]])</f>
        <v>63611.491314114362</v>
      </c>
    </row>
    <row r="77" spans="1:18" x14ac:dyDescent="0.3">
      <c r="A77" t="s">
        <v>201</v>
      </c>
      <c r="B77">
        <v>2.5520082630489365E-2</v>
      </c>
      <c r="C77" s="18">
        <f>Table15[[#This Row],[Adjusted %]]*$C$84</f>
        <v>83535.937786017545</v>
      </c>
      <c r="D77" s="18">
        <f>Table15[[#This Row],[Adjusted %]]*$D$84</f>
        <v>83535.93780515762</v>
      </c>
      <c r="E77" s="18">
        <f>Table15[[#This Row],[Adjusted %]]*$E$84</f>
        <v>61942.226558420654</v>
      </c>
      <c r="F77" s="18">
        <f>Table15[[#This Row],[Adjusted %]]*$F$84</f>
        <v>61942.226558420654</v>
      </c>
      <c r="G77" s="18">
        <f>Table15[[#This Row],[Adjusted %]]*$G$84</f>
        <v>61942.226558420654</v>
      </c>
      <c r="H77" s="18">
        <f>Table15[[#This Row],[Adjusted %]]*$H$84</f>
        <v>78760.612460003002</v>
      </c>
      <c r="I77" s="18">
        <f>Table15[[#This Row],[Adjusted %]]*$I$84</f>
        <v>76767.794534974135</v>
      </c>
      <c r="J77" s="18">
        <f>Table15[[#This Row],[Adjusted %]]*$J$84</f>
        <v>83483.082109141789</v>
      </c>
      <c r="K77" s="18">
        <f>Table15[[#This Row],[Adjusted %]]*$K$84</f>
        <v>83451.454889407163</v>
      </c>
      <c r="L77" s="18">
        <f>Table15[[#This Row],[Adjusted %]]*$L$84</f>
        <v>83451.454959662558</v>
      </c>
      <c r="M77" s="18">
        <f>Table15[[#This Row],[Adjusted %]]*$M$84</f>
        <v>40365.51169424878</v>
      </c>
      <c r="N77" s="18">
        <f>Table15[[#This Row],[Adjusted %]]*$N$84</f>
        <v>40365.51169424878</v>
      </c>
      <c r="O77" s="18">
        <f>Table15[[#This Row],[Adjusted %]]*$O$84</f>
        <v>40365.51169424878</v>
      </c>
      <c r="P77" s="18">
        <f>Table15[[#This Row],[Adjusted %]]*$P$84</f>
        <v>40365.51169424878</v>
      </c>
      <c r="Q77" s="18">
        <f>Table15[[#This Row],[Adjusted %]]*$Q$84</f>
        <v>40365.51169424878</v>
      </c>
      <c r="R77" s="18">
        <f>SUM(Table15[[#This Row],[Payment 1]:[Payment 15]])</f>
        <v>960640.51269086951</v>
      </c>
    </row>
    <row r="78" spans="1:18" x14ac:dyDescent="0.3">
      <c r="A78" t="s">
        <v>202</v>
      </c>
      <c r="B78">
        <v>1.689883461231089E-3</v>
      </c>
      <c r="C78" s="18">
        <f>Table15[[#This Row],[Adjusted %]]*$C$84</f>
        <v>5531.5651491804474</v>
      </c>
      <c r="D78" s="18">
        <f>Table15[[#This Row],[Adjusted %]]*$D$84</f>
        <v>5531.565150447861</v>
      </c>
      <c r="E78" s="18">
        <f>Table15[[#This Row],[Adjusted %]]*$E$84</f>
        <v>4101.677323248422</v>
      </c>
      <c r="F78" s="18">
        <f>Table15[[#This Row],[Adjusted %]]*$F$84</f>
        <v>4101.677323248422</v>
      </c>
      <c r="G78" s="18">
        <f>Table15[[#This Row],[Adjusted %]]*$G$84</f>
        <v>4101.677323248422</v>
      </c>
      <c r="H78" s="18">
        <f>Table15[[#This Row],[Adjusted %]]*$H$84</f>
        <v>5215.3536616522351</v>
      </c>
      <c r="I78" s="18">
        <f>Table15[[#This Row],[Adjusted %]]*$I$84</f>
        <v>5083.3936636572535</v>
      </c>
      <c r="J78" s="18">
        <f>Table15[[#This Row],[Adjusted %]]*$J$84</f>
        <v>5528.065163091931</v>
      </c>
      <c r="K78" s="18">
        <f>Table15[[#This Row],[Adjusted %]]*$K$84</f>
        <v>5525.9708785111116</v>
      </c>
      <c r="L78" s="18">
        <f>Table15[[#This Row],[Adjusted %]]*$L$84</f>
        <v>5525.9708831632679</v>
      </c>
      <c r="M78" s="18">
        <f>Table15[[#This Row],[Adjusted %]]*$M$84</f>
        <v>2672.9149589329954</v>
      </c>
      <c r="N78" s="18">
        <f>Table15[[#This Row],[Adjusted %]]*$N$84</f>
        <v>2672.9149589329954</v>
      </c>
      <c r="O78" s="18">
        <f>Table15[[#This Row],[Adjusted %]]*$O$84</f>
        <v>2672.9149589329954</v>
      </c>
      <c r="P78" s="18">
        <f>Table15[[#This Row],[Adjusted %]]*$P$84</f>
        <v>2672.9149589329954</v>
      </c>
      <c r="Q78" s="18">
        <f>Table15[[#This Row],[Adjusted %]]*$Q$84</f>
        <v>2672.9149589329954</v>
      </c>
      <c r="R78" s="18">
        <f>SUM(Table15[[#This Row],[Payment 1]:[Payment 15]])</f>
        <v>63611.491314114362</v>
      </c>
    </row>
    <row r="79" spans="1:18" x14ac:dyDescent="0.3">
      <c r="A79" t="s">
        <v>203</v>
      </c>
      <c r="B79">
        <v>4.2247086530777227E-3</v>
      </c>
      <c r="C79" s="18">
        <f>Table15[[#This Row],[Adjusted %]]*$C$84</f>
        <v>13828.912872951118</v>
      </c>
      <c r="D79" s="18">
        <f>Table15[[#This Row],[Adjusted %]]*$D$84</f>
        <v>13828.912876119652</v>
      </c>
      <c r="E79" s="18">
        <f>Table15[[#This Row],[Adjusted %]]*$E$84</f>
        <v>10254.193308121057</v>
      </c>
      <c r="F79" s="18">
        <f>Table15[[#This Row],[Adjusted %]]*$F$84</f>
        <v>10254.193308121057</v>
      </c>
      <c r="G79" s="18">
        <f>Table15[[#This Row],[Adjusted %]]*$G$84</f>
        <v>10254.193308121057</v>
      </c>
      <c r="H79" s="18">
        <f>Table15[[#This Row],[Adjusted %]]*$H$84</f>
        <v>13038.384154130588</v>
      </c>
      <c r="I79" s="18">
        <f>Table15[[#This Row],[Adjusted %]]*$I$84</f>
        <v>12708.484159143134</v>
      </c>
      <c r="J79" s="18">
        <f>Table15[[#This Row],[Adjusted %]]*$J$84</f>
        <v>13820.162907729828</v>
      </c>
      <c r="K79" s="18">
        <f>Table15[[#This Row],[Adjusted %]]*$K$84</f>
        <v>13814.927196277778</v>
      </c>
      <c r="L79" s="18">
        <f>Table15[[#This Row],[Adjusted %]]*$L$84</f>
        <v>13814.927207908171</v>
      </c>
      <c r="M79" s="18">
        <f>Table15[[#This Row],[Adjusted %]]*$M$84</f>
        <v>6682.2873973324895</v>
      </c>
      <c r="N79" s="18">
        <f>Table15[[#This Row],[Adjusted %]]*$N$84</f>
        <v>6682.2873973324895</v>
      </c>
      <c r="O79" s="18">
        <f>Table15[[#This Row],[Adjusted %]]*$O$84</f>
        <v>6682.2873973324895</v>
      </c>
      <c r="P79" s="18">
        <f>Table15[[#This Row],[Adjusted %]]*$P$84</f>
        <v>6682.2873973324895</v>
      </c>
      <c r="Q79" s="18">
        <f>Table15[[#This Row],[Adjusted %]]*$Q$84</f>
        <v>6682.2873973324895</v>
      </c>
      <c r="R79" s="18">
        <f>SUM(Table15[[#This Row],[Payment 1]:[Payment 15]])</f>
        <v>159028.72828528588</v>
      </c>
    </row>
    <row r="80" spans="1:18" x14ac:dyDescent="0.3">
      <c r="A80" t="s">
        <v>204</v>
      </c>
      <c r="B80">
        <v>1.689883461231089E-3</v>
      </c>
      <c r="C80" s="18">
        <f>Table15[[#This Row],[Adjusted %]]*$C$84</f>
        <v>5531.5651491804474</v>
      </c>
      <c r="D80" s="18">
        <f>Table15[[#This Row],[Adjusted %]]*$D$84</f>
        <v>5531.565150447861</v>
      </c>
      <c r="E80" s="18">
        <f>Table15[[#This Row],[Adjusted %]]*$E$84</f>
        <v>4101.677323248422</v>
      </c>
      <c r="F80" s="18">
        <f>Table15[[#This Row],[Adjusted %]]*$F$84</f>
        <v>4101.677323248422</v>
      </c>
      <c r="G80" s="18">
        <f>Table15[[#This Row],[Adjusted %]]*$G$84</f>
        <v>4101.677323248422</v>
      </c>
      <c r="H80" s="18">
        <f>Table15[[#This Row],[Adjusted %]]*$H$84</f>
        <v>5215.3536616522351</v>
      </c>
      <c r="I80" s="18">
        <f>Table15[[#This Row],[Adjusted %]]*$I$84</f>
        <v>5083.3936636572535</v>
      </c>
      <c r="J80" s="18">
        <f>Table15[[#This Row],[Adjusted %]]*$J$84</f>
        <v>5528.065163091931</v>
      </c>
      <c r="K80" s="18">
        <f>Table15[[#This Row],[Adjusted %]]*$K$84</f>
        <v>5525.9708785111116</v>
      </c>
      <c r="L80" s="18">
        <f>Table15[[#This Row],[Adjusted %]]*$L$84</f>
        <v>5525.9708831632679</v>
      </c>
      <c r="M80" s="18">
        <f>Table15[[#This Row],[Adjusted %]]*$M$84</f>
        <v>2672.9149589329954</v>
      </c>
      <c r="N80" s="18">
        <f>Table15[[#This Row],[Adjusted %]]*$N$84</f>
        <v>2672.9149589329954</v>
      </c>
      <c r="O80" s="18">
        <f>Table15[[#This Row],[Adjusted %]]*$O$84</f>
        <v>2672.9149589329954</v>
      </c>
      <c r="P80" s="18">
        <f>Table15[[#This Row],[Adjusted %]]*$P$84</f>
        <v>2672.9149589329954</v>
      </c>
      <c r="Q80" s="18">
        <f>Table15[[#This Row],[Adjusted %]]*$Q$84</f>
        <v>2672.9149589329954</v>
      </c>
      <c r="R80" s="18">
        <f>SUM(Table15[[#This Row],[Payment 1]:[Payment 15]])</f>
        <v>63611.491314114362</v>
      </c>
    </row>
    <row r="81" spans="1:18" x14ac:dyDescent="0.3">
      <c r="A81" t="s">
        <v>205</v>
      </c>
      <c r="B81">
        <v>1.689883461231089E-3</v>
      </c>
      <c r="C81" s="18">
        <f>Table15[[#This Row],[Adjusted %]]*$C$84</f>
        <v>5531.5651491804474</v>
      </c>
      <c r="D81" s="18">
        <f>Table15[[#This Row],[Adjusted %]]*$D$84</f>
        <v>5531.565150447861</v>
      </c>
      <c r="E81" s="18">
        <f>Table15[[#This Row],[Adjusted %]]*$E$84</f>
        <v>4101.677323248422</v>
      </c>
      <c r="F81" s="18">
        <f>Table15[[#This Row],[Adjusted %]]*$F$84</f>
        <v>4101.677323248422</v>
      </c>
      <c r="G81" s="18">
        <f>Table15[[#This Row],[Adjusted %]]*$G$84</f>
        <v>4101.677323248422</v>
      </c>
      <c r="H81" s="18">
        <f>Table15[[#This Row],[Adjusted %]]*$H$84</f>
        <v>5215.3536616522351</v>
      </c>
      <c r="I81" s="18">
        <f>Table15[[#This Row],[Adjusted %]]*$I$84</f>
        <v>5083.3936636572535</v>
      </c>
      <c r="J81" s="18">
        <f>Table15[[#This Row],[Adjusted %]]*$J$84</f>
        <v>5528.065163091931</v>
      </c>
      <c r="K81" s="18">
        <f>Table15[[#This Row],[Adjusted %]]*$K$84</f>
        <v>5525.9708785111116</v>
      </c>
      <c r="L81" s="18">
        <f>Table15[[#This Row],[Adjusted %]]*$L$84</f>
        <v>5525.9708831632679</v>
      </c>
      <c r="M81" s="18">
        <f>Table15[[#This Row],[Adjusted %]]*$M$84</f>
        <v>2672.9149589329954</v>
      </c>
      <c r="N81" s="18">
        <f>Table15[[#This Row],[Adjusted %]]*$N$84</f>
        <v>2672.9149589329954</v>
      </c>
      <c r="O81" s="18">
        <f>Table15[[#This Row],[Adjusted %]]*$O$84</f>
        <v>2672.9149589329954</v>
      </c>
      <c r="P81" s="18">
        <f>Table15[[#This Row],[Adjusted %]]*$P$84</f>
        <v>2672.9149589329954</v>
      </c>
      <c r="Q81" s="18">
        <f>Table15[[#This Row],[Adjusted %]]*$Q$84</f>
        <v>2672.9149589329954</v>
      </c>
      <c r="R81" s="18">
        <f>SUM(Table15[[#This Row],[Payment 1]:[Payment 15]])</f>
        <v>63611.491314114362</v>
      </c>
    </row>
    <row r="82" spans="1:18" x14ac:dyDescent="0.3">
      <c r="A82" t="s">
        <v>206</v>
      </c>
      <c r="B82">
        <v>4.2247086530777227E-3</v>
      </c>
      <c r="C82" s="18">
        <f>Table15[[#This Row],[Adjusted %]]*$C$84</f>
        <v>13828.912872951118</v>
      </c>
      <c r="D82" s="18">
        <f>Table15[[#This Row],[Adjusted %]]*$D$84</f>
        <v>13828.912876119652</v>
      </c>
      <c r="E82" s="18">
        <f>Table15[[#This Row],[Adjusted %]]*$E$84</f>
        <v>10254.193308121057</v>
      </c>
      <c r="F82" s="18">
        <f>Table15[[#This Row],[Adjusted %]]*$F$84</f>
        <v>10254.193308121057</v>
      </c>
      <c r="G82" s="18">
        <f>Table15[[#This Row],[Adjusted %]]*$G$84</f>
        <v>10254.193308121057</v>
      </c>
      <c r="H82" s="18">
        <f>Table15[[#This Row],[Adjusted %]]*$H$84</f>
        <v>13038.384154130588</v>
      </c>
      <c r="I82" s="18">
        <f>Table15[[#This Row],[Adjusted %]]*$I$84</f>
        <v>12708.484159143134</v>
      </c>
      <c r="J82" s="18">
        <f>Table15[[#This Row],[Adjusted %]]*$J$84</f>
        <v>13820.162907729828</v>
      </c>
      <c r="K82" s="18">
        <f>Table15[[#This Row],[Adjusted %]]*$K$84</f>
        <v>13814.927196277778</v>
      </c>
      <c r="L82" s="18">
        <f>Table15[[#This Row],[Adjusted %]]*$L$84</f>
        <v>13814.927207908171</v>
      </c>
      <c r="M82" s="18">
        <f>Table15[[#This Row],[Adjusted %]]*$M$84</f>
        <v>6682.2873973324895</v>
      </c>
      <c r="N82" s="18">
        <f>Table15[[#This Row],[Adjusted %]]*$N$84</f>
        <v>6682.2873973324895</v>
      </c>
      <c r="O82" s="18">
        <f>Table15[[#This Row],[Adjusted %]]*$O$84</f>
        <v>6682.2873973324895</v>
      </c>
      <c r="P82" s="18">
        <f>Table15[[#This Row],[Adjusted %]]*$P$84</f>
        <v>6682.2873973324895</v>
      </c>
      <c r="Q82" s="18">
        <f>Table15[[#This Row],[Adjusted %]]*$Q$84</f>
        <v>6682.2873973324895</v>
      </c>
      <c r="R82" s="18">
        <f>SUM(Table15[[#This Row],[Payment 1]:[Payment 15]])</f>
        <v>159028.72828528588</v>
      </c>
    </row>
    <row r="84" spans="1:18" s="16" customFormat="1" x14ac:dyDescent="0.3">
      <c r="A84" s="16" t="s">
        <v>6</v>
      </c>
      <c r="C84" s="34">
        <f>'Pharmacies Breakdown'!F2</f>
        <v>3273341.1954636639</v>
      </c>
      <c r="D84" s="34">
        <f>'Pharmacies Breakdown'!F3</f>
        <v>3273341.1962136645</v>
      </c>
      <c r="E84" s="34">
        <f>'Pharmacies Breakdown'!F4</f>
        <v>2427195.3761002719</v>
      </c>
      <c r="F84" s="34">
        <f>'Pharmacies Breakdown'!F5</f>
        <v>2427195.3761002719</v>
      </c>
      <c r="G84" s="34">
        <f>'Pharmacies Breakdown'!F6</f>
        <v>2427195.3761002719</v>
      </c>
      <c r="H84" s="34">
        <f>'Pharmacies Breakdown'!F7</f>
        <v>3086220.9029803881</v>
      </c>
      <c r="I84" s="34">
        <f>'Pharmacies Breakdown'!F8</f>
        <v>3008132.6791339647</v>
      </c>
      <c r="J84" s="34">
        <f>'Pharmacies Breakdown'!F9</f>
        <v>3271270.0549567519</v>
      </c>
      <c r="K84" s="34">
        <f>'Pharmacies Breakdown'!F10</f>
        <v>3270030.7478513415</v>
      </c>
      <c r="L84" s="34">
        <f>'Pharmacies Breakdown'!F11</f>
        <v>3270030.7506042868</v>
      </c>
      <c r="M84" s="34">
        <f>'Pharmacies Breakdown'!F12</f>
        <v>1581715.5562820663</v>
      </c>
      <c r="N84" s="34">
        <f>'Pharmacies Breakdown'!F13</f>
        <v>1581715.5562820663</v>
      </c>
      <c r="O84" s="34">
        <f>'Pharmacies Breakdown'!F14</f>
        <v>1581715.5562820663</v>
      </c>
      <c r="P84" s="34">
        <f>'Pharmacies Breakdown'!F15</f>
        <v>1581715.5562820663</v>
      </c>
      <c r="Q84" s="34">
        <f>'Pharmacies Breakdown'!F16</f>
        <v>1581715.5562820663</v>
      </c>
      <c r="R84" s="34">
        <f>SUM(C84:Q84)</f>
        <v>37642531.436915211</v>
      </c>
    </row>
    <row r="86" spans="1:18" x14ac:dyDescent="0.3">
      <c r="A86" t="s">
        <v>231</v>
      </c>
    </row>
    <row r="87" spans="1:18" x14ac:dyDescent="0.3">
      <c r="C87" s="7"/>
      <c r="D87" s="7"/>
      <c r="E87" s="7"/>
      <c r="F87" s="7"/>
      <c r="G87" s="7"/>
      <c r="H87" s="7"/>
      <c r="I87" s="7"/>
      <c r="J87" s="7"/>
      <c r="K87" s="7"/>
      <c r="L87" s="7"/>
      <c r="M87" s="7"/>
      <c r="N87" s="7"/>
      <c r="O87" s="7"/>
      <c r="P87" s="7"/>
      <c r="Q87" s="7"/>
      <c r="R87" s="7"/>
    </row>
    <row r="90" spans="1:18" x14ac:dyDescent="0.3">
      <c r="C90" s="18"/>
      <c r="D90" s="18"/>
      <c r="E90" s="18"/>
      <c r="F90" s="18"/>
      <c r="G90" s="18"/>
      <c r="H90" s="18"/>
      <c r="I90" s="18"/>
      <c r="J90" s="18"/>
      <c r="K90" s="18"/>
      <c r="L90" s="18"/>
      <c r="M90" s="18"/>
      <c r="N90" s="18"/>
      <c r="O90" s="18"/>
      <c r="P90" s="18"/>
      <c r="Q90" s="18"/>
      <c r="R90" s="18"/>
    </row>
    <row r="91" spans="1:18" x14ac:dyDescent="0.3">
      <c r="C91" s="18"/>
      <c r="D91" s="18"/>
      <c r="E91" s="18"/>
      <c r="F91" s="18"/>
      <c r="G91" s="18"/>
      <c r="H91" s="18"/>
      <c r="I91" s="18"/>
      <c r="J91" s="18"/>
      <c r="K91" s="18"/>
      <c r="L91" s="18"/>
      <c r="M91" s="18"/>
      <c r="N91" s="18"/>
      <c r="O91" s="18"/>
      <c r="P91" s="18"/>
      <c r="Q91" s="18"/>
      <c r="R91" s="18"/>
    </row>
  </sheetData>
  <pageMargins left="0.7" right="0.7" top="0.75" bottom="0.75" header="0.3" footer="0.3"/>
  <pageSetup orientation="portrait" horizontalDpi="200" verticalDpi="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3"/>
  <sheetViews>
    <sheetView topLeftCell="A30" workbookViewId="0">
      <selection activeCell="F30" sqref="F30"/>
    </sheetView>
  </sheetViews>
  <sheetFormatPr defaultRowHeight="14.4" x14ac:dyDescent="0.3"/>
  <cols>
    <col min="1" max="1" width="21" customWidth="1"/>
    <col min="2" max="2" width="21.109375" customWidth="1"/>
    <col min="3" max="9" width="16.6640625" customWidth="1"/>
  </cols>
  <sheetData>
    <row r="1" spans="1:9" x14ac:dyDescent="0.3">
      <c r="A1" t="s">
        <v>117</v>
      </c>
      <c r="B1" t="s">
        <v>223</v>
      </c>
      <c r="C1" t="s">
        <v>93</v>
      </c>
      <c r="D1" t="s">
        <v>94</v>
      </c>
      <c r="E1" t="s">
        <v>224</v>
      </c>
      <c r="F1" t="s">
        <v>96</v>
      </c>
      <c r="G1" t="s">
        <v>97</v>
      </c>
      <c r="H1" t="s">
        <v>98</v>
      </c>
      <c r="I1" t="s">
        <v>6</v>
      </c>
    </row>
    <row r="2" spans="1:9" x14ac:dyDescent="0.3">
      <c r="A2" t="s">
        <v>119</v>
      </c>
      <c r="B2">
        <v>8.3142266294694706E-3</v>
      </c>
      <c r="C2" s="18">
        <f>Table11[[#This Row],[Adjusted Walmart %]]*$C$85</f>
        <v>139338.76703998621</v>
      </c>
      <c r="D2" s="36">
        <f>Table11[[#This Row],[Adjusted Walmart %]]*$D$85</f>
        <v>0</v>
      </c>
      <c r="E2" s="18">
        <f>Table11[[#This Row],[Adjusted Walmart %]]*$E$85</f>
        <v>727.43173307809639</v>
      </c>
      <c r="F2" s="18">
        <f>Table11[[#This Row],[Adjusted Walmart %]]*$F$85</f>
        <v>727.43173307809639</v>
      </c>
      <c r="G2" s="18">
        <f>Table11[[#This Row],[Adjusted Walmart %]]*$G$85</f>
        <v>727.43173307809639</v>
      </c>
      <c r="H2" s="18">
        <f>Table11[[#This Row],[Adjusted Walmart %]]*$H$85</f>
        <v>1150.9995776552159</v>
      </c>
      <c r="I2" s="18">
        <f>SUM(Table11[[#This Row],[Payment 1]:[Payment 6]])</f>
        <v>142672.06181687571</v>
      </c>
    </row>
    <row r="3" spans="1:9" x14ac:dyDescent="0.3">
      <c r="A3" t="s">
        <v>121</v>
      </c>
      <c r="B3">
        <v>9.6106003945796964E-2</v>
      </c>
      <c r="C3" s="18">
        <f>Table11[[#This Row],[Adjusted Walmart %]]*$C$85</f>
        <v>1610647.9522079006</v>
      </c>
      <c r="D3" s="36">
        <f>Table11[[#This Row],[Adjusted Walmart %]]*$D$85</f>
        <v>0</v>
      </c>
      <c r="E3" s="18">
        <f>Table11[[#This Row],[Adjusted Walmart %]]*$E$85</f>
        <v>8408.5459929256758</v>
      </c>
      <c r="F3" s="18">
        <f>Table11[[#This Row],[Adjusted Walmart %]]*$F$85</f>
        <v>8408.5459929256758</v>
      </c>
      <c r="G3" s="18">
        <f>Table11[[#This Row],[Adjusted Walmart %]]*$G$85</f>
        <v>8408.5459929256758</v>
      </c>
      <c r="H3" s="18">
        <f>Table11[[#This Row],[Adjusted Walmart %]]*$H$85</f>
        <v>13304.661381211512</v>
      </c>
      <c r="I3" s="18">
        <f>SUM(Table11[[#This Row],[Payment 1]:[Payment 6]])</f>
        <v>1649178.2515678895</v>
      </c>
    </row>
    <row r="4" spans="1:9" x14ac:dyDescent="0.3">
      <c r="A4" t="s">
        <v>123</v>
      </c>
      <c r="B4">
        <v>5.038084315155518E-3</v>
      </c>
      <c r="C4" s="18">
        <f>Table11[[#This Row],[Adjusted Walmart %]]*$C$85</f>
        <v>84433.644643393331</v>
      </c>
      <c r="D4" s="36">
        <f>Table11[[#This Row],[Adjusted Walmart %]]*$D$85</f>
        <v>0</v>
      </c>
      <c r="E4" s="18">
        <f>Table11[[#This Row],[Adjusted Walmart %]]*$E$85</f>
        <v>440.79414335149141</v>
      </c>
      <c r="F4" s="18">
        <f>Table11[[#This Row],[Adjusted Walmart %]]*$F$85</f>
        <v>440.79414335149141</v>
      </c>
      <c r="G4" s="18">
        <f>Table11[[#This Row],[Adjusted Walmart %]]*$G$85</f>
        <v>440.79414335149141</v>
      </c>
      <c r="H4" s="18">
        <f>Table11[[#This Row],[Adjusted Walmart %]]*$H$85</f>
        <v>697.4590875814738</v>
      </c>
      <c r="I4" s="18">
        <f>SUM(Table11[[#This Row],[Payment 1]:[Payment 6]])</f>
        <v>86453.486161029286</v>
      </c>
    </row>
    <row r="5" spans="1:9" x14ac:dyDescent="0.3">
      <c r="A5" t="s">
        <v>124</v>
      </c>
      <c r="B5">
        <v>1.2927199625886778E-2</v>
      </c>
      <c r="C5" s="18">
        <f>Table11[[#This Row],[Adjusted Walmart %]]*$C$85</f>
        <v>216647.93821788963</v>
      </c>
      <c r="D5" s="36">
        <f>Table11[[#This Row],[Adjusted Walmart %]]*$D$85</f>
        <v>0</v>
      </c>
      <c r="E5" s="18">
        <f>Table11[[#This Row],[Adjusted Walmart %]]*$E$85</f>
        <v>1131.0318622269003</v>
      </c>
      <c r="F5" s="18">
        <f>Table11[[#This Row],[Adjusted Walmart %]]*$F$85</f>
        <v>1131.0318622269003</v>
      </c>
      <c r="G5" s="18">
        <f>Table11[[#This Row],[Adjusted Walmart %]]*$G$85</f>
        <v>1131.0318622269003</v>
      </c>
      <c r="H5" s="18">
        <f>Table11[[#This Row],[Adjusted Walmart %]]*$H$85</f>
        <v>1789.6073769412978</v>
      </c>
      <c r="I5" s="18">
        <f>SUM(Table11[[#This Row],[Payment 1]:[Payment 6]])</f>
        <v>221830.64118151163</v>
      </c>
    </row>
    <row r="6" spans="1:9" x14ac:dyDescent="0.3">
      <c r="A6" t="s">
        <v>125</v>
      </c>
      <c r="B6">
        <v>3.6562576262569647E-3</v>
      </c>
      <c r="C6" s="18">
        <f>Table11[[#This Row],[Adjusted Walmart %]]*$C$85</f>
        <v>61275.504304565802</v>
      </c>
      <c r="D6" s="36">
        <f>Table11[[#This Row],[Adjusted Walmart %]]*$D$85</f>
        <v>0</v>
      </c>
      <c r="E6" s="18">
        <f>Table11[[#This Row],[Adjusted Walmart %]]*$E$85</f>
        <v>319.89479481121919</v>
      </c>
      <c r="F6" s="18">
        <f>Table11[[#This Row],[Adjusted Walmart %]]*$F$85</f>
        <v>319.89479481121919</v>
      </c>
      <c r="G6" s="18">
        <f>Table11[[#This Row],[Adjusted Walmart %]]*$G$85</f>
        <v>319.89479481121919</v>
      </c>
      <c r="H6" s="18">
        <f>Table11[[#This Row],[Adjusted Walmart %]]*$H$85</f>
        <v>506.1626500177519</v>
      </c>
      <c r="I6" s="18">
        <f>SUM(Table11[[#This Row],[Payment 1]:[Payment 6]])</f>
        <v>62741.351339017208</v>
      </c>
    </row>
    <row r="7" spans="1:9" x14ac:dyDescent="0.3">
      <c r="A7" t="s">
        <v>126</v>
      </c>
      <c r="B7">
        <v>4.7805624179029158E-3</v>
      </c>
      <c r="C7" s="18">
        <f>Table11[[#This Row],[Adjusted Walmart %]]*$C$85</f>
        <v>80117.815252624699</v>
      </c>
      <c r="D7" s="36">
        <f>Table11[[#This Row],[Adjusted Walmart %]]*$D$85</f>
        <v>0</v>
      </c>
      <c r="E7" s="18">
        <f>Table11[[#This Row],[Adjusted Walmart %]]*$E$85</f>
        <v>418.26293168593048</v>
      </c>
      <c r="F7" s="18">
        <f>Table11[[#This Row],[Adjusted Walmart %]]*$F$85</f>
        <v>418.26293168593048</v>
      </c>
      <c r="G7" s="18">
        <f>Table11[[#This Row],[Adjusted Walmart %]]*$G$85</f>
        <v>418.26293168593048</v>
      </c>
      <c r="H7" s="18">
        <f>Table11[[#This Row],[Adjusted Walmart %]]*$H$85</f>
        <v>661.80843621191525</v>
      </c>
      <c r="I7" s="18">
        <f>SUM(Table11[[#This Row],[Payment 1]:[Payment 6]])</f>
        <v>82034.412483894383</v>
      </c>
    </row>
    <row r="8" spans="1:9" x14ac:dyDescent="0.3">
      <c r="A8" t="s">
        <v>127</v>
      </c>
      <c r="B8">
        <v>4.6084200574595157E-3</v>
      </c>
      <c r="C8" s="18">
        <f>Table11[[#This Row],[Adjusted Walmart %]]*$C$85</f>
        <v>77232.868121821404</v>
      </c>
      <c r="D8" s="36">
        <f>Table11[[#This Row],[Adjusted Walmart %]]*$D$85</f>
        <v>0</v>
      </c>
      <c r="E8" s="18">
        <f>Table11[[#This Row],[Adjusted Walmart %]]*$E$85</f>
        <v>403.20178154243393</v>
      </c>
      <c r="F8" s="18">
        <f>Table11[[#This Row],[Adjusted Walmart %]]*$F$85</f>
        <v>403.20178154243393</v>
      </c>
      <c r="G8" s="18">
        <f>Table11[[#This Row],[Adjusted Walmart %]]*$G$85</f>
        <v>403.20178154243393</v>
      </c>
      <c r="H8" s="18">
        <f>Table11[[#This Row],[Adjusted Walmart %]]*$H$85</f>
        <v>637.97750244055999</v>
      </c>
      <c r="I8" s="18">
        <f>SUM(Table11[[#This Row],[Payment 1]:[Payment 6]])</f>
        <v>79080.450968889258</v>
      </c>
    </row>
    <row r="9" spans="1:9" x14ac:dyDescent="0.3">
      <c r="A9" t="s">
        <v>128</v>
      </c>
      <c r="B9">
        <v>4.231515024777757E-3</v>
      </c>
      <c r="C9" s="18">
        <f>Table11[[#This Row],[Adjusted Walmart %]]*$C$85</f>
        <v>70916.287532245493</v>
      </c>
      <c r="D9" s="36">
        <f>Table11[[#This Row],[Adjusted Walmart %]]*$D$85</f>
        <v>0</v>
      </c>
      <c r="E9" s="18">
        <f>Table11[[#This Row],[Adjusted Walmart %]]*$E$85</f>
        <v>370.22545153024095</v>
      </c>
      <c r="F9" s="18">
        <f>Table11[[#This Row],[Adjusted Walmart %]]*$F$85</f>
        <v>370.22545153024095</v>
      </c>
      <c r="G9" s="18">
        <f>Table11[[#This Row],[Adjusted Walmart %]]*$G$85</f>
        <v>370.22545153024095</v>
      </c>
      <c r="H9" s="18">
        <f>Table11[[#This Row],[Adjusted Walmart %]]*$H$85</f>
        <v>585.79976507949516</v>
      </c>
      <c r="I9" s="18">
        <f>SUM(Table11[[#This Row],[Payment 1]:[Payment 6]])</f>
        <v>72612.763651915695</v>
      </c>
    </row>
    <row r="10" spans="1:9" x14ac:dyDescent="0.3">
      <c r="A10" t="s">
        <v>129</v>
      </c>
      <c r="B10">
        <v>4.9685972069801063E-2</v>
      </c>
      <c r="C10" s="18">
        <f>Table11[[#This Row],[Adjusted Walmart %]]*$C$85</f>
        <v>832691.04823896755</v>
      </c>
      <c r="D10" s="36">
        <f>Table11[[#This Row],[Adjusted Walmart %]]*$D$85</f>
        <v>0</v>
      </c>
      <c r="E10" s="18">
        <f>Table11[[#This Row],[Adjusted Walmart %]]*$E$85</f>
        <v>4347.1454872660324</v>
      </c>
      <c r="F10" s="18">
        <f>Table11[[#This Row],[Adjusted Walmart %]]*$F$85</f>
        <v>4347.1454872660324</v>
      </c>
      <c r="G10" s="18">
        <f>Table11[[#This Row],[Adjusted Walmart %]]*$G$85</f>
        <v>4347.1454872660324</v>
      </c>
      <c r="H10" s="18">
        <f>Table11[[#This Row],[Adjusted Walmart %]]*$H$85</f>
        <v>6878.3947583323288</v>
      </c>
      <c r="I10" s="18">
        <f>SUM(Table11[[#This Row],[Payment 1]:[Payment 6]])</f>
        <v>852610.87945909787</v>
      </c>
    </row>
    <row r="11" spans="1:9" x14ac:dyDescent="0.3">
      <c r="A11" t="s">
        <v>130</v>
      </c>
      <c r="B11">
        <v>1.0257225505848823E-2</v>
      </c>
      <c r="C11" s="18">
        <f>Table11[[#This Row],[Adjusted Walmart %]]*$C$85</f>
        <v>171901.63546543507</v>
      </c>
      <c r="D11" s="36">
        <f>Table11[[#This Row],[Adjusted Walmart %]]*$D$85</f>
        <v>0</v>
      </c>
      <c r="E11" s="18">
        <f>Table11[[#This Row],[Adjusted Walmart %]]*$E$85</f>
        <v>897.42938926462443</v>
      </c>
      <c r="F11" s="18">
        <f>Table11[[#This Row],[Adjusted Walmart %]]*$F$85</f>
        <v>897.42938926462443</v>
      </c>
      <c r="G11" s="18">
        <f>Table11[[#This Row],[Adjusted Walmart %]]*$G$85</f>
        <v>897.42938926462443</v>
      </c>
      <c r="H11" s="18">
        <f>Table11[[#This Row],[Adjusted Walmart %]]*$H$85</f>
        <v>1419.9832108617475</v>
      </c>
      <c r="I11" s="18">
        <f>SUM(Table11[[#This Row],[Payment 1]:[Payment 6]])</f>
        <v>176013.90684409073</v>
      </c>
    </row>
    <row r="12" spans="1:9" x14ac:dyDescent="0.3">
      <c r="A12" t="s">
        <v>131</v>
      </c>
      <c r="B12">
        <v>4.9759132572989523E-3</v>
      </c>
      <c r="C12" s="18">
        <f>Table11[[#This Row],[Adjusted Walmart %]]*$C$85</f>
        <v>83391.715076955923</v>
      </c>
      <c r="D12" s="36">
        <f>Table11[[#This Row],[Adjusted Walmart %]]*$D$85</f>
        <v>0</v>
      </c>
      <c r="E12" s="18">
        <f>Table11[[#This Row],[Adjusted Walmart %]]*$E$85</f>
        <v>435.35464760770196</v>
      </c>
      <c r="F12" s="18">
        <f>Table11[[#This Row],[Adjusted Walmart %]]*$F$85</f>
        <v>435.35464760770196</v>
      </c>
      <c r="G12" s="18">
        <f>Table11[[#This Row],[Adjusted Walmart %]]*$G$85</f>
        <v>435.35464760770196</v>
      </c>
      <c r="H12" s="18">
        <f>Table11[[#This Row],[Adjusted Walmart %]]*$H$85</f>
        <v>688.8522905185157</v>
      </c>
      <c r="I12" s="18">
        <f>SUM(Table11[[#This Row],[Payment 1]:[Payment 6]])</f>
        <v>85386.63131029754</v>
      </c>
    </row>
    <row r="13" spans="1:9" x14ac:dyDescent="0.3">
      <c r="A13" t="s">
        <v>132</v>
      </c>
      <c r="B13">
        <v>0</v>
      </c>
      <c r="C13" s="18">
        <f>Table11[[#This Row],[Adjusted Walmart %]]*$C$85</f>
        <v>0</v>
      </c>
      <c r="D13" s="36">
        <f>Table11[[#This Row],[Adjusted Walmart %]]*$D$85</f>
        <v>0</v>
      </c>
      <c r="E13" s="18">
        <f>Table11[[#This Row],[Adjusted Walmart %]]*$E$85</f>
        <v>0</v>
      </c>
      <c r="F13" s="18">
        <f>Table11[[#This Row],[Adjusted Walmart %]]*$F$85</f>
        <v>0</v>
      </c>
      <c r="G13" s="18">
        <f>Table11[[#This Row],[Adjusted Walmart %]]*$G$85</f>
        <v>0</v>
      </c>
      <c r="H13" s="18">
        <f>Table11[[#This Row],[Adjusted Walmart %]]*$H$85</f>
        <v>0</v>
      </c>
      <c r="I13" s="18">
        <f>SUM(Table11[[#This Row],[Payment 1]:[Payment 6]])</f>
        <v>0</v>
      </c>
    </row>
    <row r="14" spans="1:9" x14ac:dyDescent="0.3">
      <c r="A14" t="s">
        <v>133</v>
      </c>
      <c r="B14">
        <v>2.8619435916395655E-3</v>
      </c>
      <c r="C14" s="18">
        <f>Table11[[#This Row],[Adjusted Walmart %]]*$C$85</f>
        <v>47963.533972430683</v>
      </c>
      <c r="D14" s="36">
        <f>Table11[[#This Row],[Adjusted Walmart %]]*$D$85</f>
        <v>0</v>
      </c>
      <c r="E14" s="18">
        <f>Table11[[#This Row],[Adjusted Walmart %]]*$E$85</f>
        <v>250.39834486337122</v>
      </c>
      <c r="F14" s="18">
        <f>Table11[[#This Row],[Adjusted Walmart %]]*$F$85</f>
        <v>250.39834486337122</v>
      </c>
      <c r="G14" s="18">
        <f>Table11[[#This Row],[Adjusted Walmart %]]*$G$85</f>
        <v>250.39834486337122</v>
      </c>
      <c r="H14" s="18">
        <f>Table11[[#This Row],[Adjusted Walmart %]]*$H$85</f>
        <v>396.19991275849878</v>
      </c>
      <c r="I14" s="18">
        <f>SUM(Table11[[#This Row],[Payment 1]:[Payment 6]])</f>
        <v>49110.928919779304</v>
      </c>
    </row>
    <row r="15" spans="1:9" x14ac:dyDescent="0.3">
      <c r="A15" t="s">
        <v>135</v>
      </c>
      <c r="B15">
        <v>2.8780050886630794E-3</v>
      </c>
      <c r="C15" s="18">
        <f>Table11[[#This Row],[Adjusted Walmart %]]*$C$85</f>
        <v>48232.709843117249</v>
      </c>
      <c r="D15" s="36">
        <f>Table11[[#This Row],[Adjusted Walmart %]]*$D$85</f>
        <v>0</v>
      </c>
      <c r="E15" s="18">
        <f>Table11[[#This Row],[Adjusted Walmart %]]*$E$85</f>
        <v>251.80360396158142</v>
      </c>
      <c r="F15" s="18">
        <f>Table11[[#This Row],[Adjusted Walmart %]]*$F$85</f>
        <v>251.80360396158142</v>
      </c>
      <c r="G15" s="18">
        <f>Table11[[#This Row],[Adjusted Walmart %]]*$G$85</f>
        <v>251.80360396158142</v>
      </c>
      <c r="H15" s="18">
        <f>Table11[[#This Row],[Adjusted Walmart %]]*$H$85</f>
        <v>398.42342398984403</v>
      </c>
      <c r="I15" s="18">
        <f>SUM(Table11[[#This Row],[Payment 1]:[Payment 6]])</f>
        <v>49386.544078991843</v>
      </c>
    </row>
    <row r="16" spans="1:9" x14ac:dyDescent="0.3">
      <c r="A16" t="s">
        <v>136</v>
      </c>
      <c r="B16">
        <v>2.0785566573673711E-3</v>
      </c>
      <c r="C16" s="18">
        <f>Table11[[#This Row],[Adjusted Walmart %]]*$C$85</f>
        <v>34834.691759996611</v>
      </c>
      <c r="D16" s="36">
        <f>Table11[[#This Row],[Adjusted Walmart %]]*$D$85</f>
        <v>0</v>
      </c>
      <c r="E16" s="18">
        <f>Table11[[#This Row],[Adjusted Walmart %]]*$E$85</f>
        <v>181.85793326952441</v>
      </c>
      <c r="F16" s="18">
        <f>Table11[[#This Row],[Adjusted Walmart %]]*$F$85</f>
        <v>181.85793326952441</v>
      </c>
      <c r="G16" s="18">
        <f>Table11[[#This Row],[Adjusted Walmart %]]*$G$85</f>
        <v>181.85793326952441</v>
      </c>
      <c r="H16" s="18">
        <f>Table11[[#This Row],[Adjusted Walmart %]]*$H$85</f>
        <v>287.74989441380444</v>
      </c>
      <c r="I16" s="18">
        <f>SUM(Table11[[#This Row],[Payment 1]:[Payment 6]])</f>
        <v>35668.015454218985</v>
      </c>
    </row>
    <row r="17" spans="1:9" x14ac:dyDescent="0.3">
      <c r="A17" t="s">
        <v>137</v>
      </c>
      <c r="B17">
        <v>4.9742225734017396E-3</v>
      </c>
      <c r="C17" s="18">
        <f>Table11[[#This Row],[Adjusted Walmart %]]*$C$85</f>
        <v>83363.380774778372</v>
      </c>
      <c r="D17" s="36">
        <f>Table11[[#This Row],[Adjusted Walmart %]]*$D$85</f>
        <v>0</v>
      </c>
      <c r="E17" s="18">
        <f>Table11[[#This Row],[Adjusted Walmart %]]*$E$85</f>
        <v>435.20672559736397</v>
      </c>
      <c r="F17" s="18">
        <f>Table11[[#This Row],[Adjusted Walmart %]]*$F$85</f>
        <v>435.20672559736397</v>
      </c>
      <c r="G17" s="18">
        <f>Table11[[#This Row],[Adjusted Walmart %]]*$G$85</f>
        <v>435.20672559736397</v>
      </c>
      <c r="H17" s="18">
        <f>Table11[[#This Row],[Adjusted Walmart %]]*$H$85</f>
        <v>688.61823670468982</v>
      </c>
      <c r="I17" s="18">
        <f>SUM(Table11[[#This Row],[Payment 1]:[Payment 6]])</f>
        <v>85357.619188275159</v>
      </c>
    </row>
    <row r="18" spans="1:9" x14ac:dyDescent="0.3">
      <c r="A18" t="s">
        <v>139</v>
      </c>
      <c r="B18">
        <v>2.2009707220245513E-2</v>
      </c>
      <c r="C18" s="18">
        <f>Table11[[#This Row],[Adjusted Walmart %]]*$C$85</f>
        <v>368862.38536124484</v>
      </c>
      <c r="D18" s="36">
        <f>Table11[[#This Row],[Adjusted Walmart %]]*$D$85</f>
        <v>0</v>
      </c>
      <c r="E18" s="18">
        <f>Table11[[#This Row],[Adjusted Walmart %]]*$E$85</f>
        <v>1925.6823492176466</v>
      </c>
      <c r="F18" s="18">
        <f>Table11[[#This Row],[Adjusted Walmart %]]*$F$85</f>
        <v>1925.6823492176466</v>
      </c>
      <c r="G18" s="18">
        <f>Table11[[#This Row],[Adjusted Walmart %]]*$G$85</f>
        <v>1925.6823492176466</v>
      </c>
      <c r="H18" s="18">
        <f>Table11[[#This Row],[Adjusted Walmart %]]*$H$85</f>
        <v>3046.9657424329853</v>
      </c>
      <c r="I18" s="18">
        <f>SUM(Table11[[#This Row],[Payment 1]:[Payment 6]])</f>
        <v>377686.39815133077</v>
      </c>
    </row>
    <row r="19" spans="1:9" x14ac:dyDescent="0.3">
      <c r="A19" t="s">
        <v>140</v>
      </c>
      <c r="B19">
        <v>4.432896329221693E-2</v>
      </c>
      <c r="C19" s="18">
        <f>Table11[[#This Row],[Adjusted Walmart %]]*$C$85</f>
        <v>742912.52386663074</v>
      </c>
      <c r="D19" s="36">
        <f>Table11[[#This Row],[Adjusted Walmart %]]*$D$85</f>
        <v>0</v>
      </c>
      <c r="E19" s="18">
        <f>Table11[[#This Row],[Adjusted Walmart %]]*$E$85</f>
        <v>3878.4478737826171</v>
      </c>
      <c r="F19" s="18">
        <f>Table11[[#This Row],[Adjusted Walmart %]]*$F$85</f>
        <v>3878.4478737826171</v>
      </c>
      <c r="G19" s="18">
        <f>Table11[[#This Row],[Adjusted Walmart %]]*$G$85</f>
        <v>3878.4478737826171</v>
      </c>
      <c r="H19" s="18">
        <f>Table11[[#This Row],[Adjusted Walmart %]]*$H$85</f>
        <v>6136.7846104155333</v>
      </c>
      <c r="I19" s="18">
        <f>SUM(Table11[[#This Row],[Payment 1]:[Payment 6]])</f>
        <v>760684.65209839412</v>
      </c>
    </row>
    <row r="20" spans="1:9" x14ac:dyDescent="0.3">
      <c r="A20" t="s">
        <v>141</v>
      </c>
      <c r="B20">
        <v>0</v>
      </c>
      <c r="C20" s="18">
        <f>Table11[[#This Row],[Adjusted Walmart %]]*$C$85</f>
        <v>0</v>
      </c>
      <c r="D20" s="36">
        <f>Table11[[#This Row],[Adjusted Walmart %]]*$D$85</f>
        <v>0</v>
      </c>
      <c r="E20" s="18">
        <f>Table11[[#This Row],[Adjusted Walmart %]]*$E$85</f>
        <v>0</v>
      </c>
      <c r="F20" s="18">
        <f>Table11[[#This Row],[Adjusted Walmart %]]*$F$85</f>
        <v>0</v>
      </c>
      <c r="G20" s="18">
        <f>Table11[[#This Row],[Adjusted Walmart %]]*$G$85</f>
        <v>0</v>
      </c>
      <c r="H20" s="18">
        <f>Table11[[#This Row],[Adjusted Walmart %]]*$H$85</f>
        <v>0</v>
      </c>
      <c r="I20" s="18">
        <f>SUM(Table11[[#This Row],[Payment 1]:[Payment 6]])</f>
        <v>0</v>
      </c>
    </row>
    <row r="21" spans="1:9" x14ac:dyDescent="0.3">
      <c r="A21" t="s">
        <v>219</v>
      </c>
      <c r="B21">
        <v>7.8789999835413467E-3</v>
      </c>
      <c r="C21" s="18">
        <f>Table11[[#This Row],[Adjusted Walmart %]]*$C$85</f>
        <v>132044.7700238809</v>
      </c>
      <c r="D21" s="36">
        <f>Table11[[#This Row],[Adjusted Walmart %]]*$D$85</f>
        <v>0</v>
      </c>
      <c r="E21" s="18">
        <f>Table11[[#This Row],[Adjusted Walmart %]]*$E$85</f>
        <v>689.3527045119165</v>
      </c>
      <c r="F21" s="18">
        <f>Table11[[#This Row],[Adjusted Walmart %]]*$F$85</f>
        <v>689.3527045119165</v>
      </c>
      <c r="G21" s="18">
        <f>Table11[[#This Row],[Adjusted Walmart %]]*$G$85</f>
        <v>689.3527045119165</v>
      </c>
      <c r="H21" s="18">
        <f>Table11[[#This Row],[Adjusted Walmart %]]*$H$85</f>
        <v>1090.7479501770831</v>
      </c>
      <c r="I21" s="18">
        <f>SUM(Table11[[#This Row],[Payment 1]:[Payment 6]])</f>
        <v>135203.57608759377</v>
      </c>
    </row>
    <row r="22" spans="1:9" x14ac:dyDescent="0.3">
      <c r="A22" t="s">
        <v>142</v>
      </c>
      <c r="B22">
        <v>2.0086801200497714E-2</v>
      </c>
      <c r="C22" s="18">
        <f>Table11[[#This Row],[Adjusted Walmart %]]*$C$85</f>
        <v>336636.25467390724</v>
      </c>
      <c r="D22" s="36">
        <f>Table11[[#This Row],[Adjusted Walmart %]]*$D$85</f>
        <v>0</v>
      </c>
      <c r="E22" s="18">
        <f>Table11[[#This Row],[Adjusted Walmart %]]*$E$85</f>
        <v>1757.442665500882</v>
      </c>
      <c r="F22" s="18">
        <f>Table11[[#This Row],[Adjusted Walmart %]]*$F$85</f>
        <v>1757.442665500882</v>
      </c>
      <c r="G22" s="18">
        <f>Table11[[#This Row],[Adjusted Walmart %]]*$G$85</f>
        <v>1757.442665500882</v>
      </c>
      <c r="H22" s="18">
        <f>Table11[[#This Row],[Adjusted Walmart %]]*$H$85</f>
        <v>2780.7637112355728</v>
      </c>
      <c r="I22" s="18">
        <f>SUM(Table11[[#This Row],[Payment 1]:[Payment 6]])</f>
        <v>344689.34638164536</v>
      </c>
    </row>
    <row r="23" spans="1:9" x14ac:dyDescent="0.3">
      <c r="A23" t="s">
        <v>143</v>
      </c>
      <c r="B23">
        <v>3.0283107281507925E-2</v>
      </c>
      <c r="C23" s="18">
        <f>Table11[[#This Row],[Adjusted Walmart %]]*$C$85</f>
        <v>507516.93678744423</v>
      </c>
      <c r="D23" s="36">
        <f>Table11[[#This Row],[Adjusted Walmart %]]*$D$85</f>
        <v>0</v>
      </c>
      <c r="E23" s="18">
        <f>Table11[[#This Row],[Adjusted Walmart %]]*$E$85</f>
        <v>2649.5420674120946</v>
      </c>
      <c r="F23" s="18">
        <f>Table11[[#This Row],[Adjusted Walmart %]]*$F$85</f>
        <v>2649.5420674120946</v>
      </c>
      <c r="G23" s="18">
        <f>Table11[[#This Row],[Adjusted Walmart %]]*$G$85</f>
        <v>2649.5420674120946</v>
      </c>
      <c r="H23" s="18">
        <f>Table11[[#This Row],[Adjusted Walmart %]]*$H$85</f>
        <v>4192.3133978039468</v>
      </c>
      <c r="I23" s="18">
        <f>SUM(Table11[[#This Row],[Payment 1]:[Payment 6]])</f>
        <v>519657.87638748449</v>
      </c>
    </row>
    <row r="24" spans="1:9" x14ac:dyDescent="0.3">
      <c r="A24" t="s">
        <v>220</v>
      </c>
      <c r="B24">
        <v>9.0756393532736204E-3</v>
      </c>
      <c r="C24" s="18">
        <f>Table11[[#This Row],[Adjusted Walmart %]]*$C$85</f>
        <v>152099.34175987419</v>
      </c>
      <c r="D24" s="36">
        <f>Table11[[#This Row],[Adjusted Walmart %]]*$D$85</f>
        <v>0</v>
      </c>
      <c r="E24" s="18">
        <f>Table11[[#This Row],[Adjusted Walmart %]]*$E$85</f>
        <v>794.04956801915694</v>
      </c>
      <c r="F24" s="18">
        <f>Table11[[#This Row],[Adjusted Walmart %]]*$F$85</f>
        <v>794.04956801915694</v>
      </c>
      <c r="G24" s="18">
        <f>Table11[[#This Row],[Adjusted Walmart %]]*$G$85</f>
        <v>794.04956801915694</v>
      </c>
      <c r="H24" s="18">
        <f>Table11[[#This Row],[Adjusted Walmart %]]*$H$85</f>
        <v>1256.4075443341089</v>
      </c>
      <c r="I24" s="18">
        <f>SUM(Table11[[#This Row],[Payment 1]:[Payment 6]])</f>
        <v>155737.89800826579</v>
      </c>
    </row>
    <row r="25" spans="1:9" x14ac:dyDescent="0.3">
      <c r="A25" t="s">
        <v>144</v>
      </c>
      <c r="B25">
        <v>2.5031299338372209E-2</v>
      </c>
      <c r="C25" s="18">
        <f>Table11[[#This Row],[Adjusted Walmart %]]*$C$85</f>
        <v>419501.48133503116</v>
      </c>
      <c r="D25" s="36">
        <f>Table11[[#This Row],[Adjusted Walmart %]]*$D$85</f>
        <v>0</v>
      </c>
      <c r="E25" s="18">
        <f>Table11[[#This Row],[Adjusted Walmart %]]*$E$85</f>
        <v>2190.0487285695494</v>
      </c>
      <c r="F25" s="18">
        <f>Table11[[#This Row],[Adjusted Walmart %]]*$F$85</f>
        <v>2190.0487285695494</v>
      </c>
      <c r="G25" s="18">
        <f>Table11[[#This Row],[Adjusted Walmart %]]*$G$85</f>
        <v>2190.0487285695494</v>
      </c>
      <c r="H25" s="18">
        <f>Table11[[#This Row],[Adjusted Walmart %]]*$H$85</f>
        <v>3465.2669755847301</v>
      </c>
      <c r="I25" s="18">
        <f>SUM(Table11[[#This Row],[Payment 1]:[Payment 6]])</f>
        <v>429536.89449632447</v>
      </c>
    </row>
    <row r="26" spans="1:9" x14ac:dyDescent="0.3">
      <c r="A26" t="s">
        <v>145</v>
      </c>
      <c r="B26">
        <v>3.7734327894305385E-3</v>
      </c>
      <c r="C26" s="18">
        <f>Table11[[#This Row],[Adjusted Walmart %]]*$C$85</f>
        <v>63239.251925594603</v>
      </c>
      <c r="D26" s="36">
        <f>Table11[[#This Row],[Adjusted Walmart %]]*$D$85</f>
        <v>0</v>
      </c>
      <c r="E26" s="18">
        <f>Table11[[#This Row],[Adjusted Walmart %]]*$E$85</f>
        <v>330.14673234187808</v>
      </c>
      <c r="F26" s="18">
        <f>Table11[[#This Row],[Adjusted Walmart %]]*$F$85</f>
        <v>330.14673234187808</v>
      </c>
      <c r="G26" s="18">
        <f>Table11[[#This Row],[Adjusted Walmart %]]*$G$85</f>
        <v>330.14673234187808</v>
      </c>
      <c r="H26" s="18">
        <f>Table11[[#This Row],[Adjusted Walmart %]]*$H$85</f>
        <v>522.38407016119947</v>
      </c>
      <c r="I26" s="18">
        <f>SUM(Table11[[#This Row],[Payment 1]:[Payment 6]])</f>
        <v>64752.076192781431</v>
      </c>
    </row>
    <row r="27" spans="1:9" x14ac:dyDescent="0.3">
      <c r="A27" t="s">
        <v>146</v>
      </c>
      <c r="B27">
        <v>1.3414698298524062E-2</v>
      </c>
      <c r="C27" s="18">
        <f>Table11[[#This Row],[Adjusted Walmart %]]*$C$85</f>
        <v>224817.96617191998</v>
      </c>
      <c r="D27" s="36">
        <f>Table11[[#This Row],[Adjusted Walmart %]]*$D$85</f>
        <v>0</v>
      </c>
      <c r="E27" s="18">
        <f>Table11[[#This Row],[Adjusted Walmart %]]*$E$85</f>
        <v>1173.6842964356174</v>
      </c>
      <c r="F27" s="18">
        <f>Table11[[#This Row],[Adjusted Walmart %]]*$F$85</f>
        <v>1173.6842964356174</v>
      </c>
      <c r="G27" s="18">
        <f>Table11[[#This Row],[Adjusted Walmart %]]*$G$85</f>
        <v>1173.6842964356174</v>
      </c>
      <c r="H27" s="18">
        <f>Table11[[#This Row],[Adjusted Walmart %]]*$H$85</f>
        <v>1857.0954057525591</v>
      </c>
      <c r="I27" s="18">
        <f>SUM(Table11[[#This Row],[Payment 1]:[Payment 6]])</f>
        <v>230196.1144669794</v>
      </c>
    </row>
    <row r="28" spans="1:9" x14ac:dyDescent="0.3">
      <c r="A28" t="s">
        <v>147</v>
      </c>
      <c r="B28">
        <v>2.7018063552632973E-2</v>
      </c>
      <c r="C28" s="18">
        <f>Table11[[#This Row],[Adjusted Walmart %]]*$C$85</f>
        <v>452797.81644250063</v>
      </c>
      <c r="D28" s="36">
        <f>Table11[[#This Row],[Adjusted Walmart %]]*$D$85</f>
        <v>0</v>
      </c>
      <c r="E28" s="18">
        <f>Table11[[#This Row],[Adjusted Walmart %]]*$E$85</f>
        <v>2363.8755196837906</v>
      </c>
      <c r="F28" s="18">
        <f>Table11[[#This Row],[Adjusted Walmart %]]*$F$85</f>
        <v>2363.8755196837906</v>
      </c>
      <c r="G28" s="18">
        <f>Table11[[#This Row],[Adjusted Walmart %]]*$G$85</f>
        <v>2363.8755196837906</v>
      </c>
      <c r="H28" s="18">
        <f>Table11[[#This Row],[Adjusted Walmart %]]*$H$85</f>
        <v>3740.3093665882761</v>
      </c>
      <c r="I28" s="18">
        <f>SUM(Table11[[#This Row],[Payment 1]:[Payment 6]])</f>
        <v>463629.75236814033</v>
      </c>
    </row>
    <row r="29" spans="1:9" x14ac:dyDescent="0.3">
      <c r="A29" t="s">
        <v>148</v>
      </c>
      <c r="B29">
        <v>2.3919111011044846E-3</v>
      </c>
      <c r="C29" s="18">
        <f>Table11[[#This Row],[Adjusted Walmart %]]*$C$85</f>
        <v>40086.223114947927</v>
      </c>
      <c r="D29" s="36">
        <f>Table11[[#This Row],[Adjusted Walmart %]]*$D$85</f>
        <v>0</v>
      </c>
      <c r="E29" s="18">
        <f>Table11[[#This Row],[Adjusted Walmart %]]*$E$85</f>
        <v>209.27406903703795</v>
      </c>
      <c r="F29" s="18">
        <f>Table11[[#This Row],[Adjusted Walmart %]]*$F$85</f>
        <v>209.27406903703795</v>
      </c>
      <c r="G29" s="18">
        <f>Table11[[#This Row],[Adjusted Walmart %]]*$G$85</f>
        <v>209.27406903703795</v>
      </c>
      <c r="H29" s="18">
        <f>Table11[[#This Row],[Adjusted Walmart %]]*$H$85</f>
        <v>331.12985607126257</v>
      </c>
      <c r="I29" s="18">
        <f>SUM(Table11[[#This Row],[Payment 1]:[Payment 6]])</f>
        <v>41045.17517813031</v>
      </c>
    </row>
    <row r="30" spans="1:9" x14ac:dyDescent="0.3">
      <c r="A30" t="s">
        <v>221</v>
      </c>
      <c r="B30">
        <v>4.0314212679214327E-3</v>
      </c>
      <c r="C30" s="18">
        <f>Table11[[#This Row],[Adjusted Walmart %]]*$C$85</f>
        <v>67562.900787417486</v>
      </c>
      <c r="D30" s="36">
        <f>Table11[[#This Row],[Adjusted Walmart %]]*$D$85</f>
        <v>0</v>
      </c>
      <c r="E30" s="18">
        <f>Table11[[#This Row],[Adjusted Walmart %]]*$E$85</f>
        <v>352.71876632488579</v>
      </c>
      <c r="F30" s="18">
        <f>Table11[[#This Row],[Adjusted Walmart %]]*$F$85</f>
        <v>352.71876632488579</v>
      </c>
      <c r="G30" s="18">
        <f>Table11[[#This Row],[Adjusted Walmart %]]*$G$85</f>
        <v>352.71876632488579</v>
      </c>
      <c r="H30" s="18">
        <f>Table11[[#This Row],[Adjusted Walmart %]]*$H$85</f>
        <v>558.09931380519902</v>
      </c>
      <c r="I30" s="18">
        <f>SUM(Table11[[#This Row],[Payment 1]:[Payment 6]])</f>
        <v>69179.15640019736</v>
      </c>
    </row>
    <row r="31" spans="1:9" x14ac:dyDescent="0.3">
      <c r="A31" t="s">
        <v>149</v>
      </c>
      <c r="B31">
        <v>1.7543825442649562E-2</v>
      </c>
      <c r="C31" s="18">
        <f>Table11[[#This Row],[Adjusted Walmart %]]*$C$85</f>
        <v>294018.32729444321</v>
      </c>
      <c r="D31" s="36">
        <f>Table11[[#This Row],[Adjusted Walmart %]]*$D$85</f>
        <v>0</v>
      </c>
      <c r="E31" s="18">
        <f>Table11[[#This Row],[Adjusted Walmart %]]*$E$85</f>
        <v>1534.9515854345325</v>
      </c>
      <c r="F31" s="18">
        <f>Table11[[#This Row],[Adjusted Walmart %]]*$F$85</f>
        <v>1534.9515854345325</v>
      </c>
      <c r="G31" s="18">
        <f>Table11[[#This Row],[Adjusted Walmart %]]*$G$85</f>
        <v>1534.9515854345325</v>
      </c>
      <c r="H31" s="18">
        <f>Table11[[#This Row],[Adjusted Walmart %]]*$H$85</f>
        <v>2428.7208630293235</v>
      </c>
      <c r="I31" s="18">
        <f>SUM(Table11[[#This Row],[Payment 1]:[Payment 6]])</f>
        <v>301051.90291377617</v>
      </c>
    </row>
    <row r="32" spans="1:9" x14ac:dyDescent="0.3">
      <c r="A32" t="s">
        <v>150</v>
      </c>
      <c r="B32">
        <v>1.4658270212818405E-2</v>
      </c>
      <c r="C32" s="18">
        <f>Table11[[#This Row],[Adjusted Walmart %]]*$C$85</f>
        <v>245659.08405162176</v>
      </c>
      <c r="D32" s="36">
        <f>Table11[[#This Row],[Adjusted Walmart %]]*$D$85</f>
        <v>0</v>
      </c>
      <c r="E32" s="18">
        <f>Table11[[#This Row],[Adjusted Walmart %]]*$E$85</f>
        <v>1282.4874014190693</v>
      </c>
      <c r="F32" s="18">
        <f>Table11[[#This Row],[Adjusted Walmart %]]*$F$85</f>
        <v>1282.4874014190693</v>
      </c>
      <c r="G32" s="18">
        <f>Table11[[#This Row],[Adjusted Walmart %]]*$G$85</f>
        <v>1282.4874014190693</v>
      </c>
      <c r="H32" s="18">
        <f>Table11[[#This Row],[Adjusted Walmart %]]*$H$85</f>
        <v>2029.2522174352364</v>
      </c>
      <c r="I32" s="18">
        <f>SUM(Table11[[#This Row],[Payment 1]:[Payment 6]])</f>
        <v>251535.79847331418</v>
      </c>
    </row>
    <row r="33" spans="1:9" x14ac:dyDescent="0.3">
      <c r="A33" t="s">
        <v>151</v>
      </c>
      <c r="B33">
        <v>7.512003410280689E-2</v>
      </c>
      <c r="C33" s="18">
        <f>Table11[[#This Row],[Adjusted Walmart %]]*$C$85</f>
        <v>1258942.4607198534</v>
      </c>
      <c r="D33" s="36">
        <f>Table11[[#This Row],[Adjusted Walmart %]]*$D$85</f>
        <v>0</v>
      </c>
      <c r="E33" s="18">
        <f>Table11[[#This Row],[Adjusted Walmart %]]*$E$85</f>
        <v>6572.4328950337249</v>
      </c>
      <c r="F33" s="18">
        <f>Table11[[#This Row],[Adjusted Walmart %]]*$F$85</f>
        <v>6572.4328950337249</v>
      </c>
      <c r="G33" s="18">
        <f>Table11[[#This Row],[Adjusted Walmart %]]*$G$85</f>
        <v>6572.4328950337249</v>
      </c>
      <c r="H33" s="18">
        <f>Table11[[#This Row],[Adjusted Walmart %]]*$H$85</f>
        <v>10399.419137711591</v>
      </c>
      <c r="I33" s="18">
        <f>SUM(Table11[[#This Row],[Payment 1]:[Payment 6]])</f>
        <v>1289059.1785426659</v>
      </c>
    </row>
    <row r="34" spans="1:9" x14ac:dyDescent="0.3">
      <c r="A34" t="s">
        <v>152</v>
      </c>
      <c r="B34">
        <v>1.6612013025965131E-2</v>
      </c>
      <c r="C34" s="18">
        <f>Table11[[#This Row],[Adjusted Walmart %]]*$C$85</f>
        <v>278402.01094420638</v>
      </c>
      <c r="D34" s="36">
        <f>Table11[[#This Row],[Adjusted Walmart %]]*$D$85</f>
        <v>0</v>
      </c>
      <c r="E34" s="18">
        <f>Table11[[#This Row],[Adjusted Walmart %]]*$E$85</f>
        <v>1453.4250705365741</v>
      </c>
      <c r="F34" s="18">
        <f>Table11[[#This Row],[Adjusted Walmart %]]*$F$85</f>
        <v>1453.4250705365741</v>
      </c>
      <c r="G34" s="18">
        <f>Table11[[#This Row],[Adjusted Walmart %]]*$G$85</f>
        <v>1453.4250705365741</v>
      </c>
      <c r="H34" s="18">
        <f>Table11[[#This Row],[Adjusted Walmart %]]*$H$85</f>
        <v>2299.7232128743262</v>
      </c>
      <c r="I34" s="18">
        <f>SUM(Table11[[#This Row],[Payment 1]:[Payment 6]])</f>
        <v>285062.00936869037</v>
      </c>
    </row>
    <row r="35" spans="1:9" x14ac:dyDescent="0.3">
      <c r="A35" t="s">
        <v>153</v>
      </c>
      <c r="B35">
        <v>2.2979072922531909E-3</v>
      </c>
      <c r="C35" s="18">
        <f>Table11[[#This Row],[Adjusted Walmart %]]*$C$85</f>
        <v>38510.806012895991</v>
      </c>
      <c r="D35" s="36">
        <f>Table11[[#This Row],[Adjusted Walmart %]]*$D$85</f>
        <v>0</v>
      </c>
      <c r="E35" s="18">
        <f>Table11[[#This Row],[Adjusted Walmart %]]*$E$85</f>
        <v>201.04944916123813</v>
      </c>
      <c r="F35" s="18">
        <f>Table11[[#This Row],[Adjusted Walmart %]]*$F$85</f>
        <v>201.04944916123813</v>
      </c>
      <c r="G35" s="18">
        <f>Table11[[#This Row],[Adjusted Walmart %]]*$G$85</f>
        <v>201.04944916123813</v>
      </c>
      <c r="H35" s="18">
        <f>Table11[[#This Row],[Adjusted Walmart %]]*$H$85</f>
        <v>318.11621702727552</v>
      </c>
      <c r="I35" s="18">
        <f>SUM(Table11[[#This Row],[Payment 1]:[Payment 6]])</f>
        <v>39432.070577406987</v>
      </c>
    </row>
    <row r="36" spans="1:9" x14ac:dyDescent="0.3">
      <c r="A36" t="s">
        <v>154</v>
      </c>
      <c r="B36">
        <v>8.3142266294694849E-4</v>
      </c>
      <c r="C36" s="18">
        <f>Table11[[#This Row],[Adjusted Walmart %]]*$C$85</f>
        <v>13933.876703998645</v>
      </c>
      <c r="D36" s="36">
        <f>Table11[[#This Row],[Adjusted Walmart %]]*$D$85</f>
        <v>0</v>
      </c>
      <c r="E36" s="18">
        <f>Table11[[#This Row],[Adjusted Walmart %]]*$E$85</f>
        <v>72.743173307809769</v>
      </c>
      <c r="F36" s="18">
        <f>Table11[[#This Row],[Adjusted Walmart %]]*$F$85</f>
        <v>72.743173307809769</v>
      </c>
      <c r="G36" s="18">
        <f>Table11[[#This Row],[Adjusted Walmart %]]*$G$85</f>
        <v>72.743173307809769</v>
      </c>
      <c r="H36" s="18">
        <f>Table11[[#This Row],[Adjusted Walmart %]]*$H$85</f>
        <v>115.09995776552178</v>
      </c>
      <c r="I36" s="18">
        <f>SUM(Table11[[#This Row],[Payment 1]:[Payment 6]])</f>
        <v>14267.206181687598</v>
      </c>
    </row>
    <row r="37" spans="1:9" x14ac:dyDescent="0.3">
      <c r="A37" t="s">
        <v>155</v>
      </c>
      <c r="B37">
        <v>2.0816622333690263E-2</v>
      </c>
      <c r="C37" s="18">
        <f>Table11[[#This Row],[Adjusted Walmart %]]*$C$85</f>
        <v>348867.38348369102</v>
      </c>
      <c r="D37" s="36">
        <f>Table11[[#This Row],[Adjusted Walmart %]]*$D$85</f>
        <v>0</v>
      </c>
      <c r="E37" s="18">
        <f>Table11[[#This Row],[Adjusted Walmart %]]*$E$85</f>
        <v>1821.29647601328</v>
      </c>
      <c r="F37" s="18">
        <f>Table11[[#This Row],[Adjusted Walmart %]]*$F$85</f>
        <v>1821.29647601328</v>
      </c>
      <c r="G37" s="18">
        <f>Table11[[#This Row],[Adjusted Walmart %]]*$G$85</f>
        <v>1821.29647601328</v>
      </c>
      <c r="H37" s="18">
        <f>Table11[[#This Row],[Adjusted Walmart %]]*$H$85</f>
        <v>2881.7982215399998</v>
      </c>
      <c r="I37" s="18">
        <f>SUM(Table11[[#This Row],[Payment 1]:[Payment 6]])</f>
        <v>357213.0711332708</v>
      </c>
    </row>
    <row r="38" spans="1:9" x14ac:dyDescent="0.3">
      <c r="A38" t="s">
        <v>156</v>
      </c>
      <c r="B38">
        <v>8.3142266294694849E-4</v>
      </c>
      <c r="C38" s="18">
        <f>Table11[[#This Row],[Adjusted Walmart %]]*$C$85</f>
        <v>13933.876703998645</v>
      </c>
      <c r="D38" s="36">
        <f>Table11[[#This Row],[Adjusted Walmart %]]*$D$85</f>
        <v>0</v>
      </c>
      <c r="E38" s="18">
        <f>Table11[[#This Row],[Adjusted Walmart %]]*$E$85</f>
        <v>72.743173307809769</v>
      </c>
      <c r="F38" s="18">
        <f>Table11[[#This Row],[Adjusted Walmart %]]*$F$85</f>
        <v>72.743173307809769</v>
      </c>
      <c r="G38" s="18">
        <f>Table11[[#This Row],[Adjusted Walmart %]]*$G$85</f>
        <v>72.743173307809769</v>
      </c>
      <c r="H38" s="18">
        <f>Table11[[#This Row],[Adjusted Walmart %]]*$H$85</f>
        <v>115.09995776552178</v>
      </c>
      <c r="I38" s="18">
        <f>SUM(Table11[[#This Row],[Payment 1]:[Payment 6]])</f>
        <v>14267.206181687598</v>
      </c>
    </row>
    <row r="39" spans="1:9" x14ac:dyDescent="0.3">
      <c r="A39" t="s">
        <v>157</v>
      </c>
      <c r="B39">
        <v>2.0785566573673711E-3</v>
      </c>
      <c r="C39" s="18">
        <f>Table11[[#This Row],[Adjusted Walmart %]]*$C$85</f>
        <v>34834.691759996611</v>
      </c>
      <c r="D39" s="36">
        <f>Table11[[#This Row],[Adjusted Walmart %]]*$D$85</f>
        <v>0</v>
      </c>
      <c r="E39" s="18">
        <f>Table11[[#This Row],[Adjusted Walmart %]]*$E$85</f>
        <v>181.85793326952441</v>
      </c>
      <c r="F39" s="18">
        <f>Table11[[#This Row],[Adjusted Walmart %]]*$F$85</f>
        <v>181.85793326952441</v>
      </c>
      <c r="G39" s="18">
        <f>Table11[[#This Row],[Adjusted Walmart %]]*$G$85</f>
        <v>181.85793326952441</v>
      </c>
      <c r="H39" s="18">
        <f>Table11[[#This Row],[Adjusted Walmart %]]*$H$85</f>
        <v>287.74989441380444</v>
      </c>
      <c r="I39" s="18">
        <f>SUM(Table11[[#This Row],[Payment 1]:[Payment 6]])</f>
        <v>35668.015454218985</v>
      </c>
    </row>
    <row r="40" spans="1:9" x14ac:dyDescent="0.3">
      <c r="A40" t="s">
        <v>158</v>
      </c>
      <c r="B40">
        <v>9.8984931225676691E-3</v>
      </c>
      <c r="C40" s="18">
        <f>Table11[[#This Row],[Adjusted Walmart %]]*$C$85</f>
        <v>165889.61171249326</v>
      </c>
      <c r="D40" s="36">
        <f>Table11[[#This Row],[Adjusted Walmart %]]*$D$85</f>
        <v>0</v>
      </c>
      <c r="E40" s="18">
        <f>Table11[[#This Row],[Adjusted Walmart %]]*$E$85</f>
        <v>866.04302816201675</v>
      </c>
      <c r="F40" s="18">
        <f>Table11[[#This Row],[Adjusted Walmart %]]*$F$85</f>
        <v>866.04302816201675</v>
      </c>
      <c r="G40" s="18">
        <f>Table11[[#This Row],[Adjusted Walmart %]]*$G$85</f>
        <v>866.04302816201675</v>
      </c>
      <c r="H40" s="18">
        <f>Table11[[#This Row],[Adjusted Walmart %]]*$H$85</f>
        <v>1370.3212470917986</v>
      </c>
      <c r="I40" s="18">
        <f>SUM(Table11[[#This Row],[Payment 1]:[Payment 6]])</f>
        <v>169858.06204407109</v>
      </c>
    </row>
    <row r="41" spans="1:9" x14ac:dyDescent="0.3">
      <c r="A41" t="s">
        <v>159</v>
      </c>
      <c r="B41">
        <v>8.3142266294694849E-4</v>
      </c>
      <c r="C41" s="18">
        <f>Table11[[#This Row],[Adjusted Walmart %]]*$C$85</f>
        <v>13933.876703998645</v>
      </c>
      <c r="D41" s="36">
        <f>Table11[[#This Row],[Adjusted Walmart %]]*$D$85</f>
        <v>0</v>
      </c>
      <c r="E41" s="18">
        <f>Table11[[#This Row],[Adjusted Walmart %]]*$E$85</f>
        <v>72.743173307809769</v>
      </c>
      <c r="F41" s="18">
        <f>Table11[[#This Row],[Adjusted Walmart %]]*$F$85</f>
        <v>72.743173307809769</v>
      </c>
      <c r="G41" s="18">
        <f>Table11[[#This Row],[Adjusted Walmart %]]*$G$85</f>
        <v>72.743173307809769</v>
      </c>
      <c r="H41" s="18">
        <f>Table11[[#This Row],[Adjusted Walmart %]]*$H$85</f>
        <v>115.09995776552178</v>
      </c>
      <c r="I41" s="18">
        <f>SUM(Table11[[#This Row],[Payment 1]:[Payment 6]])</f>
        <v>14267.206181687598</v>
      </c>
    </row>
    <row r="42" spans="1:9" x14ac:dyDescent="0.3">
      <c r="A42" t="s">
        <v>160</v>
      </c>
      <c r="B42">
        <v>1.1983260066366123E-2</v>
      </c>
      <c r="C42" s="18">
        <f>Table11[[#This Row],[Adjusted Walmart %]]*$C$85</f>
        <v>200828.38214304295</v>
      </c>
      <c r="D42" s="36">
        <f>Table11[[#This Row],[Adjusted Walmart %]]*$D$85</f>
        <v>0</v>
      </c>
      <c r="E42" s="18">
        <f>Table11[[#This Row],[Adjusted Walmart %]]*$E$85</f>
        <v>1048.4443143641472</v>
      </c>
      <c r="F42" s="18">
        <f>Table11[[#This Row],[Adjusted Walmart %]]*$F$85</f>
        <v>1048.4443143641472</v>
      </c>
      <c r="G42" s="18">
        <f>Table11[[#This Row],[Adjusted Walmart %]]*$G$85</f>
        <v>1048.4443143641472</v>
      </c>
      <c r="H42" s="18">
        <f>Table11[[#This Row],[Adjusted Walmart %]]*$H$85</f>
        <v>1658.9308771584608</v>
      </c>
      <c r="I42" s="18">
        <f>SUM(Table11[[#This Row],[Payment 1]:[Payment 6]])</f>
        <v>205632.64596329382</v>
      </c>
    </row>
    <row r="43" spans="1:9" x14ac:dyDescent="0.3">
      <c r="A43" t="s">
        <v>161</v>
      </c>
      <c r="B43">
        <v>2.7630385836526663E-3</v>
      </c>
      <c r="C43" s="18">
        <f>Table11[[#This Row],[Adjusted Walmart %]]*$C$85</f>
        <v>46305.977295045057</v>
      </c>
      <c r="D43" s="36">
        <f>Table11[[#This Row],[Adjusted Walmart %]]*$D$85</f>
        <v>0</v>
      </c>
      <c r="E43" s="18">
        <f>Table11[[#This Row],[Adjusted Walmart %]]*$E$85</f>
        <v>241.7449072586034</v>
      </c>
      <c r="F43" s="18">
        <f>Table11[[#This Row],[Adjusted Walmart %]]*$F$85</f>
        <v>241.7449072586034</v>
      </c>
      <c r="G43" s="18">
        <f>Table11[[#This Row],[Adjusted Walmart %]]*$G$85</f>
        <v>241.7449072586034</v>
      </c>
      <c r="H43" s="18">
        <f>Table11[[#This Row],[Adjusted Walmart %]]*$H$85</f>
        <v>382.50776464968897</v>
      </c>
      <c r="I43" s="18">
        <f>SUM(Table11[[#This Row],[Payment 1]:[Payment 6]])</f>
        <v>47413.719781470551</v>
      </c>
    </row>
    <row r="44" spans="1:9" x14ac:dyDescent="0.3">
      <c r="A44" t="s">
        <v>162</v>
      </c>
      <c r="B44">
        <v>2.0785566573673711E-3</v>
      </c>
      <c r="C44" s="18">
        <f>Table11[[#This Row],[Adjusted Walmart %]]*$C$85</f>
        <v>34834.691759996611</v>
      </c>
      <c r="D44" s="36">
        <f>Table11[[#This Row],[Adjusted Walmart %]]*$D$85</f>
        <v>0</v>
      </c>
      <c r="E44" s="18">
        <f>Table11[[#This Row],[Adjusted Walmart %]]*$E$85</f>
        <v>181.85793326952441</v>
      </c>
      <c r="F44" s="18">
        <f>Table11[[#This Row],[Adjusted Walmart %]]*$F$85</f>
        <v>181.85793326952441</v>
      </c>
      <c r="G44" s="18">
        <f>Table11[[#This Row],[Adjusted Walmart %]]*$G$85</f>
        <v>181.85793326952441</v>
      </c>
      <c r="H44" s="18">
        <f>Table11[[#This Row],[Adjusted Walmart %]]*$H$85</f>
        <v>287.74989441380444</v>
      </c>
      <c r="I44" s="18">
        <f>SUM(Table11[[#This Row],[Payment 1]:[Payment 6]])</f>
        <v>35668.015454218985</v>
      </c>
    </row>
    <row r="45" spans="1:9" x14ac:dyDescent="0.3">
      <c r="A45" t="s">
        <v>163</v>
      </c>
      <c r="B45">
        <v>2.3026346187346287E-3</v>
      </c>
      <c r="C45" s="18">
        <f>Table11[[#This Row],[Adjusted Walmart %]]*$C$85</f>
        <v>38590.03164297255</v>
      </c>
      <c r="D45" s="36">
        <f>Table11[[#This Row],[Adjusted Walmart %]]*$D$85</f>
        <v>0</v>
      </c>
      <c r="E45" s="18">
        <f>Table11[[#This Row],[Adjusted Walmart %]]*$E$85</f>
        <v>201.463054352493</v>
      </c>
      <c r="F45" s="18">
        <f>Table11[[#This Row],[Adjusted Walmart %]]*$F$85</f>
        <v>201.463054352493</v>
      </c>
      <c r="G45" s="18">
        <f>Table11[[#This Row],[Adjusted Walmart %]]*$G$85</f>
        <v>201.463054352493</v>
      </c>
      <c r="H45" s="18">
        <f>Table11[[#This Row],[Adjusted Walmart %]]*$H$85</f>
        <v>318.77065562103326</v>
      </c>
      <c r="I45" s="18">
        <f>SUM(Table11[[#This Row],[Payment 1]:[Payment 6]])</f>
        <v>39513.191461651055</v>
      </c>
    </row>
    <row r="46" spans="1:9" x14ac:dyDescent="0.3">
      <c r="A46" t="s">
        <v>164</v>
      </c>
      <c r="B46">
        <v>3.3884379270849793E-3</v>
      </c>
      <c r="C46" s="18">
        <f>Table11[[#This Row],[Adjusted Walmart %]]*$C$85</f>
        <v>56787.093255079446</v>
      </c>
      <c r="D46" s="36">
        <f>Table11[[#This Row],[Adjusted Walmart %]]*$D$85</f>
        <v>0</v>
      </c>
      <c r="E46" s="18">
        <f>Table11[[#This Row],[Adjusted Walmart %]]*$E$85</f>
        <v>296.46260362814542</v>
      </c>
      <c r="F46" s="18">
        <f>Table11[[#This Row],[Adjusted Walmart %]]*$F$85</f>
        <v>296.46260362814542</v>
      </c>
      <c r="G46" s="18">
        <f>Table11[[#This Row],[Adjusted Walmart %]]*$G$85</f>
        <v>296.46260362814542</v>
      </c>
      <c r="H46" s="18">
        <f>Table11[[#This Row],[Adjusted Walmart %]]*$H$85</f>
        <v>469.08639814579971</v>
      </c>
      <c r="I46" s="18">
        <f>SUM(Table11[[#This Row],[Payment 1]:[Payment 6]])</f>
        <v>58145.567464109692</v>
      </c>
    </row>
    <row r="47" spans="1:9" x14ac:dyDescent="0.3">
      <c r="A47" t="s">
        <v>165</v>
      </c>
      <c r="B47">
        <v>6.3973941685139309E-3</v>
      </c>
      <c r="C47" s="18">
        <f>Table11[[#This Row],[Adjusted Walmart %]]*$C$85</f>
        <v>107214.4235941292</v>
      </c>
      <c r="D47" s="36">
        <f>Table11[[#This Row],[Adjusted Walmart %]]*$D$85</f>
        <v>0</v>
      </c>
      <c r="E47" s="18">
        <f>Table11[[#This Row],[Adjusted Walmart %]]*$E$85</f>
        <v>559.72343966317237</v>
      </c>
      <c r="F47" s="18">
        <f>Table11[[#This Row],[Adjusted Walmart %]]*$F$85</f>
        <v>559.72343966317237</v>
      </c>
      <c r="G47" s="18">
        <f>Table11[[#This Row],[Adjusted Walmart %]]*$G$85</f>
        <v>559.72343966317237</v>
      </c>
      <c r="H47" s="18">
        <f>Table11[[#This Row],[Adjusted Walmart %]]*$H$85</f>
        <v>885.63835389742474</v>
      </c>
      <c r="I47" s="18">
        <f>SUM(Table11[[#This Row],[Payment 1]:[Payment 6]])</f>
        <v>109779.23226701612</v>
      </c>
    </row>
    <row r="48" spans="1:9" x14ac:dyDescent="0.3">
      <c r="A48" t="s">
        <v>166</v>
      </c>
      <c r="B48">
        <v>2.0785566573673711E-3</v>
      </c>
      <c r="C48" s="18">
        <f>Table11[[#This Row],[Adjusted Walmart %]]*$C$85</f>
        <v>34834.691759996611</v>
      </c>
      <c r="D48" s="36">
        <f>Table11[[#This Row],[Adjusted Walmart %]]*$D$85</f>
        <v>0</v>
      </c>
      <c r="E48" s="18">
        <f>Table11[[#This Row],[Adjusted Walmart %]]*$E$85</f>
        <v>181.85793326952441</v>
      </c>
      <c r="F48" s="18">
        <f>Table11[[#This Row],[Adjusted Walmart %]]*$F$85</f>
        <v>181.85793326952441</v>
      </c>
      <c r="G48" s="18">
        <f>Table11[[#This Row],[Adjusted Walmart %]]*$G$85</f>
        <v>181.85793326952441</v>
      </c>
      <c r="H48" s="18">
        <f>Table11[[#This Row],[Adjusted Walmart %]]*$H$85</f>
        <v>287.74989441380444</v>
      </c>
      <c r="I48" s="18">
        <f>SUM(Table11[[#This Row],[Payment 1]:[Payment 6]])</f>
        <v>35668.015454218985</v>
      </c>
    </row>
    <row r="49" spans="1:9" x14ac:dyDescent="0.3">
      <c r="A49" t="s">
        <v>167</v>
      </c>
      <c r="B49">
        <v>1.6591449576021471E-2</v>
      </c>
      <c r="C49" s="18">
        <f>Table11[[#This Row],[Adjusted Walmart %]]*$C$85</f>
        <v>278057.38649638556</v>
      </c>
      <c r="D49" s="36">
        <f>Table11[[#This Row],[Adjusted Walmart %]]*$D$85</f>
        <v>0</v>
      </c>
      <c r="E49" s="18">
        <f>Table11[[#This Row],[Adjusted Walmart %]]*$E$85</f>
        <v>1451.6259247233531</v>
      </c>
      <c r="F49" s="18">
        <f>Table11[[#This Row],[Adjusted Walmart %]]*$F$85</f>
        <v>1451.6259247233531</v>
      </c>
      <c r="G49" s="18">
        <f>Table11[[#This Row],[Adjusted Walmart %]]*$G$85</f>
        <v>1451.6259247233531</v>
      </c>
      <c r="H49" s="18">
        <f>Table11[[#This Row],[Adjusted Walmart %]]*$H$85</f>
        <v>2296.8764631698623</v>
      </c>
      <c r="I49" s="18">
        <f>SUM(Table11[[#This Row],[Payment 1]:[Payment 6]])</f>
        <v>284709.14073372545</v>
      </c>
    </row>
    <row r="50" spans="1:9" x14ac:dyDescent="0.3">
      <c r="A50" t="s">
        <v>168</v>
      </c>
      <c r="B50">
        <v>6.6144165015015015E-3</v>
      </c>
      <c r="C50" s="18">
        <f>Table11[[#This Row],[Adjusted Walmart %]]*$C$85</f>
        <v>110851.51765546332</v>
      </c>
      <c r="D50" s="36">
        <f>Table11[[#This Row],[Adjusted Walmart %]]*$D$85</f>
        <v>0</v>
      </c>
      <c r="E50" s="18">
        <f>Table11[[#This Row],[Adjusted Walmart %]]*$E$85</f>
        <v>578.71124680836613</v>
      </c>
      <c r="F50" s="18">
        <f>Table11[[#This Row],[Adjusted Walmart %]]*$F$85</f>
        <v>578.71124680836613</v>
      </c>
      <c r="G50" s="18">
        <f>Table11[[#This Row],[Adjusted Walmart %]]*$G$85</f>
        <v>578.71124680836613</v>
      </c>
      <c r="H50" s="18">
        <f>Table11[[#This Row],[Adjusted Walmart %]]*$H$85</f>
        <v>915.68235254488309</v>
      </c>
      <c r="I50" s="18">
        <f>SUM(Table11[[#This Row],[Payment 1]:[Payment 6]])</f>
        <v>113503.3337484333</v>
      </c>
    </row>
    <row r="51" spans="1:9" x14ac:dyDescent="0.3">
      <c r="A51" t="s">
        <v>169</v>
      </c>
      <c r="B51">
        <v>2.8784431294909929E-2</v>
      </c>
      <c r="C51" s="18">
        <f>Table11[[#This Row],[Adjusted Walmart %]]*$C$85</f>
        <v>482400.51003226871</v>
      </c>
      <c r="D51" s="36">
        <f>Table11[[#This Row],[Adjusted Walmart %]]*$D$85</f>
        <v>0</v>
      </c>
      <c r="E51" s="18">
        <f>Table11[[#This Row],[Adjusted Walmart %]]*$E$85</f>
        <v>2518.4192920971436</v>
      </c>
      <c r="F51" s="18">
        <f>Table11[[#This Row],[Adjusted Walmart %]]*$F$85</f>
        <v>2518.4192920971436</v>
      </c>
      <c r="G51" s="18">
        <f>Table11[[#This Row],[Adjusted Walmart %]]*$G$85</f>
        <v>2518.4192920971436</v>
      </c>
      <c r="H51" s="18">
        <f>Table11[[#This Row],[Adjusted Walmart %]]*$H$85</f>
        <v>3984.8406520524427</v>
      </c>
      <c r="I51" s="18">
        <f>SUM(Table11[[#This Row],[Payment 1]:[Payment 6]])</f>
        <v>493940.6085606126</v>
      </c>
    </row>
    <row r="52" spans="1:9" x14ac:dyDescent="0.3">
      <c r="A52" t="s">
        <v>170</v>
      </c>
      <c r="B52">
        <v>8.3142266294694849E-4</v>
      </c>
      <c r="C52" s="18">
        <f>Table11[[#This Row],[Adjusted Walmart %]]*$C$85</f>
        <v>13933.876703998645</v>
      </c>
      <c r="D52" s="36">
        <f>Table11[[#This Row],[Adjusted Walmart %]]*$D$85</f>
        <v>0</v>
      </c>
      <c r="E52" s="18">
        <f>Table11[[#This Row],[Adjusted Walmart %]]*$E$85</f>
        <v>72.743173307809769</v>
      </c>
      <c r="F52" s="18">
        <f>Table11[[#This Row],[Adjusted Walmart %]]*$F$85</f>
        <v>72.743173307809769</v>
      </c>
      <c r="G52" s="18">
        <f>Table11[[#This Row],[Adjusted Walmart %]]*$G$85</f>
        <v>72.743173307809769</v>
      </c>
      <c r="H52" s="18">
        <f>Table11[[#This Row],[Adjusted Walmart %]]*$H$85</f>
        <v>115.09995776552178</v>
      </c>
      <c r="I52" s="18">
        <f>SUM(Table11[[#This Row],[Payment 1]:[Payment 6]])</f>
        <v>14267.206181687598</v>
      </c>
    </row>
    <row r="53" spans="1:9" x14ac:dyDescent="0.3">
      <c r="A53" t="s">
        <v>171</v>
      </c>
      <c r="B53">
        <v>2.549858714067849E-3</v>
      </c>
      <c r="C53" s="18">
        <f>Table11[[#This Row],[Adjusted Walmart %]]*$C$85</f>
        <v>42733.279375023492</v>
      </c>
      <c r="D53" s="36">
        <f>Table11[[#This Row],[Adjusted Walmart %]]*$D$85</f>
        <v>0</v>
      </c>
      <c r="E53" s="18">
        <f>Table11[[#This Row],[Adjusted Walmart %]]*$E$85</f>
        <v>223.09328650054121</v>
      </c>
      <c r="F53" s="18">
        <f>Table11[[#This Row],[Adjusted Walmart %]]*$F$85</f>
        <v>223.09328650054121</v>
      </c>
      <c r="G53" s="18">
        <f>Table11[[#This Row],[Adjusted Walmart %]]*$G$85</f>
        <v>223.09328650054121</v>
      </c>
      <c r="H53" s="18">
        <f>Table11[[#This Row],[Adjusted Walmart %]]*$H$85</f>
        <v>352.99570648819815</v>
      </c>
      <c r="I53" s="18">
        <f>SUM(Table11[[#This Row],[Payment 1]:[Payment 6]])</f>
        <v>43755.554941013303</v>
      </c>
    </row>
    <row r="54" spans="1:9" x14ac:dyDescent="0.3">
      <c r="A54" t="s">
        <v>172</v>
      </c>
      <c r="B54">
        <v>2.0785566573673711E-3</v>
      </c>
      <c r="C54" s="18">
        <f>Table11[[#This Row],[Adjusted Walmart %]]*$C$85</f>
        <v>34834.691759996611</v>
      </c>
      <c r="D54" s="36">
        <f>Table11[[#This Row],[Adjusted Walmart %]]*$D$85</f>
        <v>0</v>
      </c>
      <c r="E54" s="18">
        <f>Table11[[#This Row],[Adjusted Walmart %]]*$E$85</f>
        <v>181.85793326952441</v>
      </c>
      <c r="F54" s="18">
        <f>Table11[[#This Row],[Adjusted Walmart %]]*$F$85</f>
        <v>181.85793326952441</v>
      </c>
      <c r="G54" s="18">
        <f>Table11[[#This Row],[Adjusted Walmart %]]*$G$85</f>
        <v>181.85793326952441</v>
      </c>
      <c r="H54" s="18">
        <f>Table11[[#This Row],[Adjusted Walmart %]]*$H$85</f>
        <v>287.74989441380444</v>
      </c>
      <c r="I54" s="18">
        <f>SUM(Table11[[#This Row],[Payment 1]:[Payment 6]])</f>
        <v>35668.015454218985</v>
      </c>
    </row>
    <row r="55" spans="1:9" x14ac:dyDescent="0.3">
      <c r="A55" t="s">
        <v>173</v>
      </c>
      <c r="B55">
        <v>2.5021660583128616E-2</v>
      </c>
      <c r="C55" s="18">
        <f>Table11[[#This Row],[Adjusted Walmart %]]*$C$85</f>
        <v>419339.94469051849</v>
      </c>
      <c r="D55" s="36">
        <f>Table11[[#This Row],[Adjusted Walmart %]]*$D$85</f>
        <v>0</v>
      </c>
      <c r="E55" s="18">
        <f>Table11[[#This Row],[Adjusted Walmart %]]*$E$85</f>
        <v>2189.2054106346363</v>
      </c>
      <c r="F55" s="18">
        <f>Table11[[#This Row],[Adjusted Walmart %]]*$F$85</f>
        <v>2189.2054106346363</v>
      </c>
      <c r="G55" s="18">
        <f>Table11[[#This Row],[Adjusted Walmart %]]*$G$85</f>
        <v>2189.2054106346363</v>
      </c>
      <c r="H55" s="18">
        <f>Table11[[#This Row],[Adjusted Walmart %]]*$H$85</f>
        <v>3463.9326117636656</v>
      </c>
      <c r="I55" s="18">
        <f>SUM(Table11[[#This Row],[Payment 1]:[Payment 6]])</f>
        <v>429371.49353418604</v>
      </c>
    </row>
    <row r="56" spans="1:9" x14ac:dyDescent="0.3">
      <c r="A56" t="s">
        <v>174</v>
      </c>
      <c r="B56">
        <v>8.7752642206744922E-3</v>
      </c>
      <c r="C56" s="18">
        <f>Table11[[#This Row],[Adjusted Walmart %]]*$C$85</f>
        <v>147065.33168400193</v>
      </c>
      <c r="D56" s="36">
        <f>Table11[[#This Row],[Adjusted Walmart %]]*$D$85</f>
        <v>0</v>
      </c>
      <c r="E56" s="18">
        <f>Table11[[#This Row],[Adjusted Walmart %]]*$E$85</f>
        <v>767.76902347570251</v>
      </c>
      <c r="F56" s="18">
        <f>Table11[[#This Row],[Adjusted Walmart %]]*$F$85</f>
        <v>767.76902347570251</v>
      </c>
      <c r="G56" s="18">
        <f>Table11[[#This Row],[Adjusted Walmart %]]*$G$85</f>
        <v>767.76902347570251</v>
      </c>
      <c r="H56" s="18">
        <f>Table11[[#This Row],[Adjusted Walmart %]]*$H$85</f>
        <v>1214.8244042337064</v>
      </c>
      <c r="I56" s="18">
        <f>SUM(Table11[[#This Row],[Payment 1]:[Payment 6]])</f>
        <v>150583.46315866275</v>
      </c>
    </row>
    <row r="57" spans="1:9" x14ac:dyDescent="0.3">
      <c r="A57" t="s">
        <v>176</v>
      </c>
      <c r="B57">
        <v>8.5035252088316981E-3</v>
      </c>
      <c r="C57" s="18">
        <f>Table11[[#This Row],[Adjusted Walmart %]]*$C$85</f>
        <v>142511.23657037676</v>
      </c>
      <c r="D57" s="36">
        <f>Table11[[#This Row],[Adjusted Walmart %]]*$D$85</f>
        <v>0</v>
      </c>
      <c r="E57" s="18">
        <f>Table11[[#This Row],[Adjusted Walmart %]]*$E$85</f>
        <v>743.9939221777546</v>
      </c>
      <c r="F57" s="18">
        <f>Table11[[#This Row],[Adjusted Walmart %]]*$F$85</f>
        <v>743.9939221777546</v>
      </c>
      <c r="G57" s="18">
        <f>Table11[[#This Row],[Adjusted Walmart %]]*$G$85</f>
        <v>743.9939221777546</v>
      </c>
      <c r="H57" s="18">
        <f>Table11[[#This Row],[Adjusted Walmart %]]*$H$85</f>
        <v>1177.2055730660675</v>
      </c>
      <c r="I57" s="18">
        <f>SUM(Table11[[#This Row],[Payment 1]:[Payment 6]])</f>
        <v>145920.42390997612</v>
      </c>
    </row>
    <row r="58" spans="1:9" x14ac:dyDescent="0.3">
      <c r="A58" t="s">
        <v>177</v>
      </c>
      <c r="B58">
        <v>3.5381403012562929E-3</v>
      </c>
      <c r="C58" s="18">
        <f>Table11[[#This Row],[Adjusted Walmart %]]*$C$85</f>
        <v>59295.966920617298</v>
      </c>
      <c r="D58" s="36">
        <f>Table11[[#This Row],[Adjusted Walmart %]]*$D$85</f>
        <v>0</v>
      </c>
      <c r="E58" s="18">
        <f>Table11[[#This Row],[Adjusted Walmart %]]*$E$85</f>
        <v>309.56042527079325</v>
      </c>
      <c r="F58" s="18">
        <f>Table11[[#This Row],[Adjusted Walmart %]]*$F$85</f>
        <v>309.56042527079325</v>
      </c>
      <c r="G58" s="18">
        <f>Table11[[#This Row],[Adjusted Walmart %]]*$G$85</f>
        <v>309.56042527079325</v>
      </c>
      <c r="H58" s="18">
        <f>Table11[[#This Row],[Adjusted Walmart %]]*$H$85</f>
        <v>489.81079947910325</v>
      </c>
      <c r="I58" s="18">
        <f>SUM(Table11[[#This Row],[Payment 1]:[Payment 6]])</f>
        <v>60714.458995908783</v>
      </c>
    </row>
    <row r="59" spans="1:9" x14ac:dyDescent="0.3">
      <c r="A59" t="s">
        <v>178</v>
      </c>
      <c r="B59">
        <v>1.2935806743908949E-2</v>
      </c>
      <c r="C59" s="18">
        <f>Table11[[#This Row],[Adjusted Walmart %]]*$C$85</f>
        <v>216792.18557442981</v>
      </c>
      <c r="D59" s="36">
        <f>Table11[[#This Row],[Adjusted Walmart %]]*$D$85</f>
        <v>0</v>
      </c>
      <c r="E59" s="18">
        <f>Table11[[#This Row],[Adjusted Walmart %]]*$E$85</f>
        <v>1131.7849197340752</v>
      </c>
      <c r="F59" s="18">
        <f>Table11[[#This Row],[Adjusted Walmart %]]*$F$85</f>
        <v>1131.7849197340752</v>
      </c>
      <c r="G59" s="18">
        <f>Table11[[#This Row],[Adjusted Walmart %]]*$G$85</f>
        <v>1131.7849197340752</v>
      </c>
      <c r="H59" s="18">
        <f>Table11[[#This Row],[Adjusted Walmart %]]*$H$85</f>
        <v>1790.7989236298656</v>
      </c>
      <c r="I59" s="18">
        <f>SUM(Table11[[#This Row],[Payment 1]:[Payment 6]])</f>
        <v>221978.33925726192</v>
      </c>
    </row>
    <row r="60" spans="1:9" x14ac:dyDescent="0.3">
      <c r="A60" t="s">
        <v>179</v>
      </c>
      <c r="B60">
        <v>8.3142266294694849E-4</v>
      </c>
      <c r="C60" s="18">
        <f>Table11[[#This Row],[Adjusted Walmart %]]*$C$85</f>
        <v>13933.876703998645</v>
      </c>
      <c r="D60" s="36">
        <f>Table11[[#This Row],[Adjusted Walmart %]]*$D$85</f>
        <v>0</v>
      </c>
      <c r="E60" s="18">
        <f>Table11[[#This Row],[Adjusted Walmart %]]*$E$85</f>
        <v>72.743173307809769</v>
      </c>
      <c r="F60" s="18">
        <f>Table11[[#This Row],[Adjusted Walmart %]]*$F$85</f>
        <v>72.743173307809769</v>
      </c>
      <c r="G60" s="18">
        <f>Table11[[#This Row],[Adjusted Walmart %]]*$G$85</f>
        <v>72.743173307809769</v>
      </c>
      <c r="H60" s="18">
        <f>Table11[[#This Row],[Adjusted Walmart %]]*$H$85</f>
        <v>115.09995776552178</v>
      </c>
      <c r="I60" s="18">
        <f>SUM(Table11[[#This Row],[Payment 1]:[Payment 6]])</f>
        <v>14267.206181687598</v>
      </c>
    </row>
    <row r="61" spans="1:9" x14ac:dyDescent="0.3">
      <c r="A61" t="s">
        <v>180</v>
      </c>
      <c r="B61">
        <v>2.0785566573673715E-3</v>
      </c>
      <c r="C61" s="18">
        <f>Table11[[#This Row],[Adjusted Walmart %]]*$C$85</f>
        <v>34834.691759996618</v>
      </c>
      <c r="D61" s="36">
        <f>Table11[[#This Row],[Adjusted Walmart %]]*$D$85</f>
        <v>0</v>
      </c>
      <c r="E61" s="18">
        <f>Table11[[#This Row],[Adjusted Walmart %]]*$E$85</f>
        <v>181.85793326952447</v>
      </c>
      <c r="F61" s="18">
        <f>Table11[[#This Row],[Adjusted Walmart %]]*$F$85</f>
        <v>181.85793326952447</v>
      </c>
      <c r="G61" s="18">
        <f>Table11[[#This Row],[Adjusted Walmart %]]*$G$85</f>
        <v>181.85793326952447</v>
      </c>
      <c r="H61" s="18">
        <f>Table11[[#This Row],[Adjusted Walmart %]]*$H$85</f>
        <v>287.7498944138045</v>
      </c>
      <c r="I61" s="18">
        <f>SUM(Table11[[#This Row],[Payment 1]:[Payment 6]])</f>
        <v>35668.015454218992</v>
      </c>
    </row>
    <row r="62" spans="1:9" x14ac:dyDescent="0.3">
      <c r="A62" t="s">
        <v>182</v>
      </c>
      <c r="B62">
        <v>2.0785566573673711E-3</v>
      </c>
      <c r="C62" s="18">
        <f>Table11[[#This Row],[Adjusted Walmart %]]*$C$85</f>
        <v>34834.691759996611</v>
      </c>
      <c r="D62" s="36">
        <f>Table11[[#This Row],[Adjusted Walmart %]]*$D$85</f>
        <v>0</v>
      </c>
      <c r="E62" s="18">
        <f>Table11[[#This Row],[Adjusted Walmart %]]*$E$85</f>
        <v>181.85793326952441</v>
      </c>
      <c r="F62" s="18">
        <f>Table11[[#This Row],[Adjusted Walmart %]]*$F$85</f>
        <v>181.85793326952441</v>
      </c>
      <c r="G62" s="18">
        <f>Table11[[#This Row],[Adjusted Walmart %]]*$G$85</f>
        <v>181.85793326952441</v>
      </c>
      <c r="H62" s="18">
        <f>Table11[[#This Row],[Adjusted Walmart %]]*$H$85</f>
        <v>287.74989441380444</v>
      </c>
      <c r="I62" s="18">
        <f>SUM(Table11[[#This Row],[Payment 1]:[Payment 6]])</f>
        <v>35668.015454218985</v>
      </c>
    </row>
    <row r="63" spans="1:9" x14ac:dyDescent="0.3">
      <c r="A63" t="s">
        <v>183</v>
      </c>
      <c r="B63">
        <v>2.7472076344333182E-3</v>
      </c>
      <c r="C63" s="18">
        <f>Table11[[#This Row],[Adjusted Walmart %]]*$C$85</f>
        <v>46040.665192837259</v>
      </c>
      <c r="D63" s="36">
        <f>Table11[[#This Row],[Adjusted Walmart %]]*$D$85</f>
        <v>0</v>
      </c>
      <c r="E63" s="18">
        <f>Table11[[#This Row],[Adjusted Walmart %]]*$E$85</f>
        <v>240.35981934362115</v>
      </c>
      <c r="F63" s="18">
        <f>Table11[[#This Row],[Adjusted Walmart %]]*$F$85</f>
        <v>240.35981934362115</v>
      </c>
      <c r="G63" s="18">
        <f>Table11[[#This Row],[Adjusted Walmart %]]*$G$85</f>
        <v>240.35981934362115</v>
      </c>
      <c r="H63" s="18">
        <f>Table11[[#This Row],[Adjusted Walmart %]]*$H$85</f>
        <v>380.31616984750184</v>
      </c>
      <c r="I63" s="18">
        <f>SUM(Table11[[#This Row],[Payment 1]:[Payment 6]])</f>
        <v>47142.060820715618</v>
      </c>
    </row>
    <row r="64" spans="1:9" x14ac:dyDescent="0.3">
      <c r="A64" t="s">
        <v>184</v>
      </c>
      <c r="B64">
        <v>2.4050055287108123E-2</v>
      </c>
      <c r="C64" s="18">
        <f>Table11[[#This Row],[Adjusted Walmart %]]*$C$85</f>
        <v>403056.73639822117</v>
      </c>
      <c r="D64" s="36">
        <f>Table11[[#This Row],[Adjusted Walmart %]]*$D$85</f>
        <v>0</v>
      </c>
      <c r="E64" s="18">
        <f>Table11[[#This Row],[Adjusted Walmart %]]*$E$85</f>
        <v>2104.1973207845353</v>
      </c>
      <c r="F64" s="18">
        <f>Table11[[#This Row],[Adjusted Walmart %]]*$F$85</f>
        <v>2104.1973207845353</v>
      </c>
      <c r="G64" s="18">
        <f>Table11[[#This Row],[Adjusted Walmart %]]*$G$85</f>
        <v>2104.1973207845353</v>
      </c>
      <c r="H64" s="18">
        <f>Table11[[#This Row],[Adjusted Walmart %]]*$H$85</f>
        <v>3329.4261404818599</v>
      </c>
      <c r="I64" s="18">
        <f>SUM(Table11[[#This Row],[Payment 1]:[Payment 6]])</f>
        <v>412698.75450105668</v>
      </c>
    </row>
    <row r="65" spans="1:9" x14ac:dyDescent="0.3">
      <c r="A65" t="s">
        <v>185</v>
      </c>
      <c r="B65">
        <v>7.0430048694447318E-3</v>
      </c>
      <c r="C65" s="18">
        <f>Table11[[#This Row],[Adjusted Walmart %]]*$C$85</f>
        <v>118034.26325746771</v>
      </c>
      <c r="D65" s="36">
        <f>Table11[[#This Row],[Adjusted Walmart %]]*$D$85</f>
        <v>0</v>
      </c>
      <c r="E65" s="18">
        <f>Table11[[#This Row],[Adjusted Walmart %]]*$E$85</f>
        <v>616.20947642902672</v>
      </c>
      <c r="F65" s="18">
        <f>Table11[[#This Row],[Adjusted Walmart %]]*$F$85</f>
        <v>616.20947642902672</v>
      </c>
      <c r="G65" s="18">
        <f>Table11[[#This Row],[Adjusted Walmart %]]*$G$85</f>
        <v>616.20947642902672</v>
      </c>
      <c r="H65" s="18">
        <f>Table11[[#This Row],[Adjusted Walmart %]]*$H$85</f>
        <v>975.01499434972573</v>
      </c>
      <c r="I65" s="18">
        <f>SUM(Table11[[#This Row],[Payment 1]:[Payment 6]])</f>
        <v>120857.9066811045</v>
      </c>
    </row>
    <row r="66" spans="1:9" x14ac:dyDescent="0.3">
      <c r="A66" t="s">
        <v>222</v>
      </c>
      <c r="B66">
        <v>0.12325062555894739</v>
      </c>
      <c r="C66" s="18">
        <f>Table11[[#This Row],[Adjusted Walmart %]]*$C$85</f>
        <v>2065566.7649736153</v>
      </c>
      <c r="D66" s="36">
        <f>Table11[[#This Row],[Adjusted Walmart %]]*$D$85</f>
        <v>0</v>
      </c>
      <c r="E66" s="18">
        <f>Table11[[#This Row],[Adjusted Walmart %]]*$E$85</f>
        <v>10783.494382450528</v>
      </c>
      <c r="F66" s="18">
        <f>Table11[[#This Row],[Adjusted Walmart %]]*$F$85</f>
        <v>10783.494382450528</v>
      </c>
      <c r="G66" s="18">
        <f>Table11[[#This Row],[Adjusted Walmart %]]*$G$85</f>
        <v>10783.494382450528</v>
      </c>
      <c r="H66" s="18">
        <f>Table11[[#This Row],[Adjusted Walmart %]]*$H$85</f>
        <v>17062.491111472355</v>
      </c>
      <c r="I66" s="18">
        <f>SUM(Table11[[#This Row],[Payment 1]:[Payment 6]])</f>
        <v>2114979.7392324391</v>
      </c>
    </row>
    <row r="67" spans="1:9" x14ac:dyDescent="0.3">
      <c r="A67" t="s">
        <v>187</v>
      </c>
      <c r="B67">
        <v>4.4983719056046288E-3</v>
      </c>
      <c r="C67" s="18">
        <f>Table11[[#This Row],[Adjusted Walmart %]]*$C$85</f>
        <v>75388.562634629314</v>
      </c>
      <c r="D67" s="36">
        <f>Table11[[#This Row],[Adjusted Walmart %]]*$D$85</f>
        <v>0</v>
      </c>
      <c r="E67" s="18">
        <f>Table11[[#This Row],[Adjusted Walmart %]]*$E$85</f>
        <v>393.57340341498445</v>
      </c>
      <c r="F67" s="18">
        <f>Table11[[#This Row],[Adjusted Walmart %]]*$F$85</f>
        <v>393.57340341498445</v>
      </c>
      <c r="G67" s="18">
        <f>Table11[[#This Row],[Adjusted Walmart %]]*$G$85</f>
        <v>393.57340341498445</v>
      </c>
      <c r="H67" s="18">
        <f>Table11[[#This Row],[Adjusted Walmart %]]*$H$85</f>
        <v>622.74272692244369</v>
      </c>
      <c r="I67" s="18">
        <f>SUM(Table11[[#This Row],[Payment 1]:[Payment 6]])</f>
        <v>77192.025571796694</v>
      </c>
    </row>
    <row r="68" spans="1:9" x14ac:dyDescent="0.3">
      <c r="A68" t="s">
        <v>188</v>
      </c>
      <c r="B68">
        <v>2.3283099591918342E-2</v>
      </c>
      <c r="C68" s="18">
        <f>Table11[[#This Row],[Adjusted Walmart %]]*$C$85</f>
        <v>390203.2665922317</v>
      </c>
      <c r="D68" s="36">
        <f>Table11[[#This Row],[Adjusted Walmart %]]*$D$85</f>
        <v>0</v>
      </c>
      <c r="E68" s="18">
        <f>Table11[[#This Row],[Adjusted Walmart %]]*$E$85</f>
        <v>2037.0945179130651</v>
      </c>
      <c r="F68" s="18">
        <f>Table11[[#This Row],[Adjusted Walmart %]]*$F$85</f>
        <v>2037.0945179130651</v>
      </c>
      <c r="G68" s="18">
        <f>Table11[[#This Row],[Adjusted Walmart %]]*$G$85</f>
        <v>2037.0945179130651</v>
      </c>
      <c r="H68" s="18">
        <f>Table11[[#This Row],[Adjusted Walmart %]]*$H$85</f>
        <v>3223.2508194826978</v>
      </c>
      <c r="I68" s="18">
        <f>SUM(Table11[[#This Row],[Payment 1]:[Payment 6]])</f>
        <v>399537.80096545361</v>
      </c>
    </row>
    <row r="69" spans="1:9" x14ac:dyDescent="0.3">
      <c r="A69" t="s">
        <v>189</v>
      </c>
      <c r="B69">
        <v>8.3142266294694849E-4</v>
      </c>
      <c r="C69" s="18">
        <f>Table11[[#This Row],[Adjusted Walmart %]]*$C$85</f>
        <v>13933.876703998645</v>
      </c>
      <c r="D69" s="36">
        <f>Table11[[#This Row],[Adjusted Walmart %]]*$D$85</f>
        <v>0</v>
      </c>
      <c r="E69" s="18">
        <f>Table11[[#This Row],[Adjusted Walmart %]]*$E$85</f>
        <v>72.743173307809769</v>
      </c>
      <c r="F69" s="18">
        <f>Table11[[#This Row],[Adjusted Walmart %]]*$F$85</f>
        <v>72.743173307809769</v>
      </c>
      <c r="G69" s="18">
        <f>Table11[[#This Row],[Adjusted Walmart %]]*$G$85</f>
        <v>72.743173307809769</v>
      </c>
      <c r="H69" s="18">
        <f>Table11[[#This Row],[Adjusted Walmart %]]*$H$85</f>
        <v>115.09995776552178</v>
      </c>
      <c r="I69" s="18">
        <f>SUM(Table11[[#This Row],[Payment 1]:[Payment 6]])</f>
        <v>14267.206181687598</v>
      </c>
    </row>
    <row r="70" spans="1:9" x14ac:dyDescent="0.3">
      <c r="A70" t="s">
        <v>190</v>
      </c>
      <c r="B70">
        <v>1.0993210946012411E-2</v>
      </c>
      <c r="C70" s="18">
        <f>Table11[[#This Row],[Adjusted Walmart %]]*$C$85</f>
        <v>184236.07237244534</v>
      </c>
      <c r="D70" s="36">
        <f>Table11[[#This Row],[Adjusted Walmart %]]*$D$85</f>
        <v>0</v>
      </c>
      <c r="E70" s="18">
        <f>Table11[[#This Row],[Adjusted Walmart %]]*$E$85</f>
        <v>961.82252985581454</v>
      </c>
      <c r="F70" s="18">
        <f>Table11[[#This Row],[Adjusted Walmart %]]*$F$85</f>
        <v>961.82252985581454</v>
      </c>
      <c r="G70" s="18">
        <f>Table11[[#This Row],[Adjusted Walmart %]]*$G$85</f>
        <v>961.82252985581454</v>
      </c>
      <c r="H70" s="18">
        <f>Table11[[#This Row],[Adjusted Walmart %]]*$H$85</f>
        <v>1521.8710915440104</v>
      </c>
      <c r="I70" s="18">
        <f>SUM(Table11[[#This Row],[Payment 1]:[Payment 6]])</f>
        <v>188643.41105355683</v>
      </c>
    </row>
    <row r="71" spans="1:9" x14ac:dyDescent="0.3">
      <c r="A71" t="s">
        <v>192</v>
      </c>
      <c r="B71">
        <v>8.3142266294694849E-4</v>
      </c>
      <c r="C71" s="18">
        <f>Table11[[#This Row],[Adjusted Walmart %]]*$C$85</f>
        <v>13933.876703998645</v>
      </c>
      <c r="D71" s="36">
        <f>Table11[[#This Row],[Adjusted Walmart %]]*$D$85</f>
        <v>0</v>
      </c>
      <c r="E71" s="18">
        <f>Table11[[#This Row],[Adjusted Walmart %]]*$E$85</f>
        <v>72.743173307809769</v>
      </c>
      <c r="F71" s="18">
        <f>Table11[[#This Row],[Adjusted Walmart %]]*$F$85</f>
        <v>72.743173307809769</v>
      </c>
      <c r="G71" s="18">
        <f>Table11[[#This Row],[Adjusted Walmart %]]*$G$85</f>
        <v>72.743173307809769</v>
      </c>
      <c r="H71" s="18">
        <f>Table11[[#This Row],[Adjusted Walmart %]]*$H$85</f>
        <v>115.09995776552178</v>
      </c>
      <c r="I71" s="18">
        <f>SUM(Table11[[#This Row],[Payment 1]:[Payment 6]])</f>
        <v>14267.206181687598</v>
      </c>
    </row>
    <row r="72" spans="1:9" x14ac:dyDescent="0.3">
      <c r="A72" t="s">
        <v>193</v>
      </c>
      <c r="B72">
        <v>3.1542782073211238E-3</v>
      </c>
      <c r="C72" s="18">
        <f>Table11[[#This Row],[Adjusted Walmart %]]*$C$85</f>
        <v>52862.79240349125</v>
      </c>
      <c r="D72" s="36">
        <f>Table11[[#This Row],[Adjusted Walmart %]]*$D$85</f>
        <v>0</v>
      </c>
      <c r="E72" s="18">
        <f>Table11[[#This Row],[Adjusted Walmart %]]*$E$85</f>
        <v>275.9754051963447</v>
      </c>
      <c r="F72" s="18">
        <f>Table11[[#This Row],[Adjusted Walmart %]]*$F$85</f>
        <v>275.9754051963447</v>
      </c>
      <c r="G72" s="18">
        <f>Table11[[#This Row],[Adjusted Walmart %]]*$G$85</f>
        <v>275.9754051963447</v>
      </c>
      <c r="H72" s="18">
        <f>Table11[[#This Row],[Adjusted Walmart %]]*$H$85</f>
        <v>436.66994493092511</v>
      </c>
      <c r="I72" s="18">
        <f>SUM(Table11[[#This Row],[Payment 1]:[Payment 6]])</f>
        <v>54127.388564011213</v>
      </c>
    </row>
    <row r="73" spans="1:9" x14ac:dyDescent="0.3">
      <c r="A73" t="s">
        <v>196</v>
      </c>
      <c r="B73">
        <v>2.5823659544551517E-3</v>
      </c>
      <c r="C73" s="18">
        <f>Table11[[#This Row],[Adjusted Walmart %]]*$C$85</f>
        <v>43278.070730527863</v>
      </c>
      <c r="D73" s="36">
        <f>Table11[[#This Row],[Adjusted Walmart %]]*$D$85</f>
        <v>0</v>
      </c>
      <c r="E73" s="18">
        <f>Table11[[#This Row],[Adjusted Walmart %]]*$E$85</f>
        <v>225.93742333567471</v>
      </c>
      <c r="F73" s="18">
        <f>Table11[[#This Row],[Adjusted Walmart %]]*$F$85</f>
        <v>225.93742333567471</v>
      </c>
      <c r="G73" s="18">
        <f>Table11[[#This Row],[Adjusted Walmart %]]*$G$85</f>
        <v>225.93742333567471</v>
      </c>
      <c r="H73" s="18">
        <f>Table11[[#This Row],[Adjusted Walmart %]]*$H$85</f>
        <v>357.49592299948529</v>
      </c>
      <c r="I73" s="18">
        <f>SUM(Table11[[#This Row],[Payment 1]:[Payment 6]])</f>
        <v>44313.378923534365</v>
      </c>
    </row>
    <row r="74" spans="1:9" x14ac:dyDescent="0.3">
      <c r="A74" t="s">
        <v>197</v>
      </c>
      <c r="B74">
        <v>2.0785566573673715E-3</v>
      </c>
      <c r="C74" s="18">
        <f>Table11[[#This Row],[Adjusted Walmart %]]*$C$85</f>
        <v>34834.691759996618</v>
      </c>
      <c r="D74" s="36">
        <f>Table11[[#This Row],[Adjusted Walmart %]]*$D$85</f>
        <v>0</v>
      </c>
      <c r="E74" s="18">
        <f>Table11[[#This Row],[Adjusted Walmart %]]*$E$85</f>
        <v>181.85793326952447</v>
      </c>
      <c r="F74" s="18">
        <f>Table11[[#This Row],[Adjusted Walmart %]]*$F$85</f>
        <v>181.85793326952447</v>
      </c>
      <c r="G74" s="18">
        <f>Table11[[#This Row],[Adjusted Walmart %]]*$G$85</f>
        <v>181.85793326952447</v>
      </c>
      <c r="H74" s="18">
        <f>Table11[[#This Row],[Adjusted Walmart %]]*$H$85</f>
        <v>287.7498944138045</v>
      </c>
      <c r="I74" s="18">
        <f>SUM(Table11[[#This Row],[Payment 1]:[Payment 6]])</f>
        <v>35668.015454218992</v>
      </c>
    </row>
    <row r="75" spans="1:9" x14ac:dyDescent="0.3">
      <c r="A75" t="s">
        <v>198</v>
      </c>
      <c r="B75">
        <v>1.6088317418064806E-2</v>
      </c>
      <c r="C75" s="18">
        <f>Table11[[#This Row],[Adjusted Walmart %]]*$C$85</f>
        <v>269625.3557529173</v>
      </c>
      <c r="D75" s="36">
        <f>Table11[[#This Row],[Adjusted Walmart %]]*$D$85</f>
        <v>0</v>
      </c>
      <c r="E75" s="18">
        <f>Table11[[#This Row],[Adjusted Walmart %]]*$E$85</f>
        <v>1407.6056791923393</v>
      </c>
      <c r="F75" s="18">
        <f>Table11[[#This Row],[Adjusted Walmart %]]*$F$85</f>
        <v>1407.6056791923393</v>
      </c>
      <c r="G75" s="18">
        <f>Table11[[#This Row],[Adjusted Walmart %]]*$G$85</f>
        <v>1407.6056791923393</v>
      </c>
      <c r="H75" s="18">
        <f>Table11[[#This Row],[Adjusted Walmart %]]*$H$85</f>
        <v>2227.2241759372455</v>
      </c>
      <c r="I75" s="18">
        <f>SUM(Table11[[#This Row],[Payment 1]:[Payment 6]])</f>
        <v>276075.39696643158</v>
      </c>
    </row>
    <row r="76" spans="1:9" x14ac:dyDescent="0.3">
      <c r="A76" t="s">
        <v>199</v>
      </c>
      <c r="B76">
        <v>2.0785566573673715E-3</v>
      </c>
      <c r="C76" s="18">
        <f>Table11[[#This Row],[Adjusted Walmart %]]*$C$85</f>
        <v>34834.691759996618</v>
      </c>
      <c r="D76" s="36">
        <f>Table11[[#This Row],[Adjusted Walmart %]]*$D$85</f>
        <v>0</v>
      </c>
      <c r="E76" s="18">
        <f>Table11[[#This Row],[Adjusted Walmart %]]*$E$85</f>
        <v>181.85793326952447</v>
      </c>
      <c r="F76" s="18">
        <f>Table11[[#This Row],[Adjusted Walmart %]]*$F$85</f>
        <v>181.85793326952447</v>
      </c>
      <c r="G76" s="18">
        <f>Table11[[#This Row],[Adjusted Walmart %]]*$G$85</f>
        <v>181.85793326952447</v>
      </c>
      <c r="H76" s="18">
        <f>Table11[[#This Row],[Adjusted Walmart %]]*$H$85</f>
        <v>287.7498944138045</v>
      </c>
      <c r="I76" s="18">
        <f>SUM(Table11[[#This Row],[Payment 1]:[Payment 6]])</f>
        <v>35668.015454218992</v>
      </c>
    </row>
    <row r="77" spans="1:9" x14ac:dyDescent="0.3">
      <c r="A77" t="s">
        <v>200</v>
      </c>
      <c r="B77">
        <v>8.3142266294694849E-4</v>
      </c>
      <c r="C77" s="18">
        <f>Table11[[#This Row],[Adjusted Walmart %]]*$C$85</f>
        <v>13933.876703998645</v>
      </c>
      <c r="D77" s="36">
        <f>Table11[[#This Row],[Adjusted Walmart %]]*$D$85</f>
        <v>0</v>
      </c>
      <c r="E77" s="18">
        <f>Table11[[#This Row],[Adjusted Walmart %]]*$E$85</f>
        <v>72.743173307809769</v>
      </c>
      <c r="F77" s="18">
        <f>Table11[[#This Row],[Adjusted Walmart %]]*$F$85</f>
        <v>72.743173307809769</v>
      </c>
      <c r="G77" s="18">
        <f>Table11[[#This Row],[Adjusted Walmart %]]*$G$85</f>
        <v>72.743173307809769</v>
      </c>
      <c r="H77" s="18">
        <f>Table11[[#This Row],[Adjusted Walmart %]]*$H$85</f>
        <v>115.09995776552178</v>
      </c>
      <c r="I77" s="18">
        <f>SUM(Table11[[#This Row],[Payment 1]:[Payment 6]])</f>
        <v>14267.206181687598</v>
      </c>
    </row>
    <row r="78" spans="1:9" x14ac:dyDescent="0.3">
      <c r="A78" t="s">
        <v>201</v>
      </c>
      <c r="B78">
        <v>2.7255591956221993E-2</v>
      </c>
      <c r="C78" s="18">
        <f>Table11[[#This Row],[Adjusted Walmart %]]*$C$85</f>
        <v>456778.5733268222</v>
      </c>
      <c r="D78" s="36">
        <f>Table11[[#This Row],[Adjusted Walmart %]]*$D$85</f>
        <v>0</v>
      </c>
      <c r="E78" s="18">
        <f>Table11[[#This Row],[Adjusted Walmart %]]*$E$85</f>
        <v>2384.6574523852159</v>
      </c>
      <c r="F78" s="18">
        <f>Table11[[#This Row],[Adjusted Walmart %]]*$F$85</f>
        <v>2384.6574523852159</v>
      </c>
      <c r="G78" s="18">
        <f>Table11[[#This Row],[Adjusted Walmart %]]*$G$85</f>
        <v>2384.6574523852159</v>
      </c>
      <c r="H78" s="18">
        <f>Table11[[#This Row],[Adjusted Walmart %]]*$H$85</f>
        <v>3773.1921714955952</v>
      </c>
      <c r="I78" s="18">
        <f>SUM(Table11[[#This Row],[Payment 1]:[Payment 6]])</f>
        <v>467705.73785547348</v>
      </c>
    </row>
    <row r="79" spans="1:9" x14ac:dyDescent="0.3">
      <c r="A79" t="s">
        <v>202</v>
      </c>
      <c r="B79">
        <v>8.3142266294694849E-4</v>
      </c>
      <c r="C79" s="18">
        <f>Table11[[#This Row],[Adjusted Walmart %]]*$C$85</f>
        <v>13933.876703998645</v>
      </c>
      <c r="D79" s="36">
        <f>Table11[[#This Row],[Adjusted Walmart %]]*$D$85</f>
        <v>0</v>
      </c>
      <c r="E79" s="18">
        <f>Table11[[#This Row],[Adjusted Walmart %]]*$E$85</f>
        <v>72.743173307809769</v>
      </c>
      <c r="F79" s="18">
        <f>Table11[[#This Row],[Adjusted Walmart %]]*$F$85</f>
        <v>72.743173307809769</v>
      </c>
      <c r="G79" s="18">
        <f>Table11[[#This Row],[Adjusted Walmart %]]*$G$85</f>
        <v>72.743173307809769</v>
      </c>
      <c r="H79" s="18">
        <f>Table11[[#This Row],[Adjusted Walmart %]]*$H$85</f>
        <v>115.09995776552178</v>
      </c>
      <c r="I79" s="18">
        <f>SUM(Table11[[#This Row],[Payment 1]:[Payment 6]])</f>
        <v>14267.206181687598</v>
      </c>
    </row>
    <row r="80" spans="1:9" x14ac:dyDescent="0.3">
      <c r="A80" t="s">
        <v>203</v>
      </c>
      <c r="B80">
        <v>3.4065743543459804E-3</v>
      </c>
      <c r="C80" s="18">
        <f>Table11[[#This Row],[Adjusted Walmart %]]*$C$85</f>
        <v>57091.043042074794</v>
      </c>
      <c r="D80" s="36">
        <f>Table11[[#This Row],[Adjusted Walmart %]]*$D$85</f>
        <v>0</v>
      </c>
      <c r="E80" s="18">
        <f>Table11[[#This Row],[Adjusted Walmart %]]*$E$85</f>
        <v>298.04940337540665</v>
      </c>
      <c r="F80" s="18">
        <f>Table11[[#This Row],[Adjusted Walmart %]]*$F$85</f>
        <v>298.04940337540665</v>
      </c>
      <c r="G80" s="18">
        <f>Table11[[#This Row],[Adjusted Walmart %]]*$G$85</f>
        <v>298.04940337540665</v>
      </c>
      <c r="H80" s="18">
        <f>Table11[[#This Row],[Adjusted Walmart %]]*$H$85</f>
        <v>471.59715723956748</v>
      </c>
      <c r="I80" s="18">
        <f>SUM(Table11[[#This Row],[Payment 1]:[Payment 6]])</f>
        <v>58456.788409440582</v>
      </c>
    </row>
    <row r="81" spans="1:9" x14ac:dyDescent="0.3">
      <c r="A81" t="s">
        <v>204</v>
      </c>
      <c r="B81">
        <v>8.3142266294694849E-4</v>
      </c>
      <c r="C81" s="18">
        <f>Table11[[#This Row],[Adjusted Walmart %]]*$C$85</f>
        <v>13933.876703998645</v>
      </c>
      <c r="D81" s="36">
        <f>Table11[[#This Row],[Adjusted Walmart %]]*$D$85</f>
        <v>0</v>
      </c>
      <c r="E81" s="18">
        <f>Table11[[#This Row],[Adjusted Walmart %]]*$E$85</f>
        <v>72.743173307809769</v>
      </c>
      <c r="F81" s="18">
        <f>Table11[[#This Row],[Adjusted Walmart %]]*$F$85</f>
        <v>72.743173307809769</v>
      </c>
      <c r="G81" s="18">
        <f>Table11[[#This Row],[Adjusted Walmart %]]*$G$85</f>
        <v>72.743173307809769</v>
      </c>
      <c r="H81" s="18">
        <f>Table11[[#This Row],[Adjusted Walmart %]]*$H$85</f>
        <v>115.09995776552178</v>
      </c>
      <c r="I81" s="18">
        <f>SUM(Table11[[#This Row],[Payment 1]:[Payment 6]])</f>
        <v>14267.206181687598</v>
      </c>
    </row>
    <row r="82" spans="1:9" x14ac:dyDescent="0.3">
      <c r="A82" t="s">
        <v>205</v>
      </c>
      <c r="B82">
        <v>8.3142266294694849E-4</v>
      </c>
      <c r="C82" s="18">
        <f>Table11[[#This Row],[Adjusted Walmart %]]*$C$85</f>
        <v>13933.876703998645</v>
      </c>
      <c r="D82" s="36">
        <f>Table11[[#This Row],[Adjusted Walmart %]]*$D$85</f>
        <v>0</v>
      </c>
      <c r="E82" s="18">
        <f>Table11[[#This Row],[Adjusted Walmart %]]*$E$85</f>
        <v>72.743173307809769</v>
      </c>
      <c r="F82" s="18">
        <f>Table11[[#This Row],[Adjusted Walmart %]]*$F$85</f>
        <v>72.743173307809769</v>
      </c>
      <c r="G82" s="18">
        <f>Table11[[#This Row],[Adjusted Walmart %]]*$G$85</f>
        <v>72.743173307809769</v>
      </c>
      <c r="H82" s="18">
        <f>Table11[[#This Row],[Adjusted Walmart %]]*$H$85</f>
        <v>115.09995776552178</v>
      </c>
      <c r="I82" s="18">
        <f>SUM(Table11[[#This Row],[Payment 1]:[Payment 6]])</f>
        <v>14267.206181687598</v>
      </c>
    </row>
    <row r="83" spans="1:9" x14ac:dyDescent="0.3">
      <c r="A83" t="s">
        <v>206</v>
      </c>
      <c r="B83">
        <v>2.0785566573673715E-3</v>
      </c>
      <c r="C83" s="18">
        <f>Table11[[#This Row],[Adjusted Walmart %]]*$C$85</f>
        <v>34834.691759996618</v>
      </c>
      <c r="D83" s="36">
        <f>Table11[[#This Row],[Adjusted Walmart %]]*$D$85</f>
        <v>0</v>
      </c>
      <c r="E83" s="18">
        <f>Table11[[#This Row],[Adjusted Walmart %]]*$E$85</f>
        <v>181.85793326952447</v>
      </c>
      <c r="F83" s="18">
        <f>Table11[[#This Row],[Adjusted Walmart %]]*$F$85</f>
        <v>181.85793326952447</v>
      </c>
      <c r="G83" s="18">
        <f>Table11[[#This Row],[Adjusted Walmart %]]*$G$85</f>
        <v>181.85793326952447</v>
      </c>
      <c r="H83" s="18">
        <f>Table11[[#This Row],[Adjusted Walmart %]]*$H$85</f>
        <v>287.7498944138045</v>
      </c>
      <c r="I83" s="18">
        <f>SUM(Table11[[#This Row],[Payment 1]:[Payment 6]])</f>
        <v>35668.015454218992</v>
      </c>
    </row>
    <row r="84" spans="1:9" x14ac:dyDescent="0.3">
      <c r="D84" s="37"/>
    </row>
    <row r="85" spans="1:9" s="16" customFormat="1" x14ac:dyDescent="0.3">
      <c r="A85" s="16" t="s">
        <v>6</v>
      </c>
      <c r="C85" s="34">
        <f>'Pharmacies Breakdown'!I2</f>
        <v>16759077.332112294</v>
      </c>
      <c r="D85" s="42">
        <f>'Pharmacies Breakdown'!I3</f>
        <v>0</v>
      </c>
      <c r="E85" s="34">
        <f>'Pharmacies Breakdown'!I4</f>
        <v>87492.410959756788</v>
      </c>
      <c r="F85" s="34">
        <f>'Pharmacies Breakdown'!I5</f>
        <v>87492.410959756788</v>
      </c>
      <c r="G85" s="34">
        <f>'Pharmacies Breakdown'!I6</f>
        <v>87492.410959756788</v>
      </c>
      <c r="H85" s="34">
        <f>'Pharmacies Breakdown'!I7</f>
        <v>138437.35911353922</v>
      </c>
      <c r="I85" s="34">
        <f>SUM(C85:H85)</f>
        <v>17159991.924105108</v>
      </c>
    </row>
    <row r="86" spans="1:9" x14ac:dyDescent="0.3">
      <c r="D86" s="37"/>
    </row>
    <row r="87" spans="1:9" x14ac:dyDescent="0.3">
      <c r="D87" s="37"/>
    </row>
    <row r="88" spans="1:9" x14ac:dyDescent="0.3">
      <c r="C88" s="7"/>
      <c r="D88" s="38"/>
      <c r="E88" s="7"/>
      <c r="F88" s="7"/>
      <c r="G88" s="7"/>
      <c r="H88" s="7"/>
      <c r="I88" s="7"/>
    </row>
    <row r="89" spans="1:9" x14ac:dyDescent="0.3">
      <c r="D89" s="35"/>
    </row>
    <row r="90" spans="1:9" x14ac:dyDescent="0.3">
      <c r="A90" s="39"/>
      <c r="B90" s="39"/>
      <c r="C90" s="39"/>
      <c r="D90" s="39"/>
      <c r="E90" s="39"/>
      <c r="F90" s="39"/>
      <c r="G90" s="39"/>
      <c r="H90" s="39"/>
      <c r="I90" s="39"/>
    </row>
    <row r="91" spans="1:9" x14ac:dyDescent="0.3">
      <c r="C91" s="40"/>
      <c r="D91" s="41"/>
      <c r="E91" s="40"/>
      <c r="F91" s="40"/>
      <c r="G91" s="40"/>
      <c r="H91" s="40"/>
      <c r="I91" s="40"/>
    </row>
    <row r="92" spans="1:9" x14ac:dyDescent="0.3">
      <c r="C92" s="40"/>
      <c r="D92" s="41"/>
      <c r="E92" s="40"/>
      <c r="F92" s="40"/>
      <c r="G92" s="40"/>
      <c r="H92" s="40"/>
      <c r="I92" s="40"/>
    </row>
    <row r="93" spans="1:9" x14ac:dyDescent="0.3">
      <c r="C93" s="40"/>
      <c r="D93" s="41"/>
      <c r="E93" s="40"/>
      <c r="F93" s="40"/>
      <c r="G93" s="40"/>
      <c r="H93" s="40"/>
      <c r="I93" s="40"/>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736E-82E7-4760-AE78-9CCBAA2ADC3D}">
  <dimension ref="B1:AM143"/>
  <sheetViews>
    <sheetView topLeftCell="Z1" workbookViewId="0">
      <selection activeCell="AH4" sqref="AH4"/>
    </sheetView>
  </sheetViews>
  <sheetFormatPr defaultRowHeight="14.4" x14ac:dyDescent="0.3"/>
  <cols>
    <col min="4" max="4" width="15.6640625" customWidth="1"/>
    <col min="5" max="5" width="18.44140625" customWidth="1"/>
    <col min="8" max="8" width="16.33203125" customWidth="1"/>
    <col min="9" max="9" width="17.88671875" customWidth="1"/>
    <col min="10" max="10" width="5.6640625" customWidth="1"/>
    <col min="11" max="11" width="19.88671875" customWidth="1"/>
    <col min="12" max="12" width="15.44140625" customWidth="1"/>
    <col min="13" max="13" width="14.6640625" customWidth="1"/>
    <col min="14" max="14" width="5.109375" customWidth="1"/>
    <col min="15" max="15" width="22.109375" customWidth="1"/>
    <col min="16" max="16" width="16.88671875" customWidth="1"/>
    <col min="17" max="17" width="14.88671875" customWidth="1"/>
    <col min="18" max="18" width="7" customWidth="1"/>
    <col min="19" max="19" width="23.5546875" customWidth="1"/>
    <col min="20" max="20" width="16.5546875" customWidth="1"/>
    <col min="21" max="21" width="15.33203125" customWidth="1"/>
    <col min="22" max="22" width="6.44140625" customWidth="1"/>
    <col min="23" max="23" width="23.33203125" customWidth="1"/>
    <col min="24" max="24" width="29.109375" customWidth="1"/>
    <col min="25" max="25" width="20.5546875" customWidth="1"/>
    <col min="26" max="27" width="12.6640625" customWidth="1"/>
    <col min="28" max="28" width="12.5546875" customWidth="1"/>
    <col min="29" max="29" width="12.33203125" customWidth="1"/>
    <col min="30" max="30" width="8.5546875" customWidth="1"/>
    <col min="31" max="31" width="25.88671875" customWidth="1"/>
    <col min="32" max="32" width="8.33203125" hidden="1" customWidth="1"/>
    <col min="33" max="33" width="29.44140625" customWidth="1"/>
    <col min="34" max="34" width="33.109375" customWidth="1"/>
    <col min="36" max="36" width="16.6640625" customWidth="1"/>
  </cols>
  <sheetData>
    <row r="1" spans="2:39" x14ac:dyDescent="0.3">
      <c r="B1" s="16" t="s">
        <v>262</v>
      </c>
      <c r="C1" s="16"/>
      <c r="D1" s="16"/>
      <c r="E1" s="16"/>
      <c r="F1" s="16"/>
      <c r="AH1" s="16"/>
    </row>
    <row r="2" spans="2:39" x14ac:dyDescent="0.3">
      <c r="C2" s="65"/>
      <c r="D2" s="55" t="s">
        <v>258</v>
      </c>
      <c r="E2" s="55"/>
      <c r="F2" s="55"/>
      <c r="G2" s="55"/>
      <c r="H2" s="55" t="s">
        <v>260</v>
      </c>
      <c r="I2" s="65"/>
      <c r="J2" s="65"/>
      <c r="K2" s="65"/>
      <c r="L2" s="55"/>
      <c r="M2" s="65"/>
      <c r="N2" s="65"/>
      <c r="O2" s="65"/>
      <c r="P2" s="55"/>
      <c r="Q2" s="55"/>
      <c r="R2" s="55"/>
      <c r="S2" s="55"/>
      <c r="T2" s="55" t="s">
        <v>295</v>
      </c>
      <c r="U2" s="55"/>
      <c r="V2" s="55"/>
      <c r="W2" s="65"/>
      <c r="X2" s="65"/>
      <c r="Y2" s="65"/>
      <c r="Z2" s="65"/>
      <c r="AA2" s="65"/>
      <c r="AB2" s="65"/>
      <c r="AC2" s="65"/>
      <c r="AD2" s="65"/>
      <c r="AE2" s="65"/>
      <c r="AF2" s="65"/>
      <c r="AG2" s="65"/>
      <c r="AI2" s="65"/>
      <c r="AJ2" s="65"/>
      <c r="AK2" s="65"/>
      <c r="AL2" s="65"/>
      <c r="AM2" s="65"/>
    </row>
    <row r="3" spans="2:39" x14ac:dyDescent="0.3">
      <c r="C3" s="66"/>
      <c r="D3" s="53" t="s">
        <v>259</v>
      </c>
      <c r="E3" s="53"/>
      <c r="F3" s="55"/>
      <c r="G3" s="53"/>
      <c r="H3" s="53" t="s">
        <v>261</v>
      </c>
      <c r="I3" s="66"/>
      <c r="J3" s="65"/>
      <c r="K3" s="66"/>
      <c r="L3" s="53" t="s">
        <v>296</v>
      </c>
      <c r="M3" s="66"/>
      <c r="N3" s="65"/>
      <c r="O3" s="66"/>
      <c r="P3" s="55" t="s">
        <v>297</v>
      </c>
      <c r="Q3" s="55"/>
      <c r="R3" s="55"/>
      <c r="S3" s="53"/>
      <c r="T3" s="53" t="s">
        <v>298</v>
      </c>
      <c r="U3" s="53"/>
      <c r="V3" s="55"/>
      <c r="W3" s="66"/>
      <c r="X3" s="53" t="s">
        <v>299</v>
      </c>
      <c r="Y3" s="67"/>
      <c r="Z3" s="53" t="s">
        <v>257</v>
      </c>
      <c r="AA3" s="53"/>
      <c r="AB3" s="53" t="s">
        <v>302</v>
      </c>
      <c r="AC3" s="53"/>
      <c r="AD3" s="55"/>
      <c r="AE3" s="65"/>
      <c r="AF3" s="65"/>
      <c r="AG3" s="65"/>
      <c r="AI3" s="65"/>
      <c r="AK3" s="65"/>
      <c r="AL3" s="65"/>
      <c r="AM3" s="65"/>
    </row>
    <row r="4" spans="2:39" x14ac:dyDescent="0.3">
      <c r="C4" s="53" t="s">
        <v>4</v>
      </c>
      <c r="D4" s="56" t="s">
        <v>93</v>
      </c>
      <c r="E4" s="56" t="s">
        <v>94</v>
      </c>
      <c r="F4" s="65"/>
      <c r="G4" s="53" t="s">
        <v>4</v>
      </c>
      <c r="H4" s="53" t="s">
        <v>93</v>
      </c>
      <c r="I4" s="53" t="s">
        <v>94</v>
      </c>
      <c r="J4" s="65"/>
      <c r="K4" s="53" t="s">
        <v>117</v>
      </c>
      <c r="L4" s="56" t="s">
        <v>93</v>
      </c>
      <c r="M4" s="56" t="s">
        <v>94</v>
      </c>
      <c r="N4" s="65"/>
      <c r="O4" s="53" t="s">
        <v>117</v>
      </c>
      <c r="P4" s="56" t="s">
        <v>93</v>
      </c>
      <c r="Q4" s="56" t="s">
        <v>94</v>
      </c>
      <c r="R4" s="65"/>
      <c r="S4" s="53" t="s">
        <v>117</v>
      </c>
      <c r="T4" s="53" t="s">
        <v>93</v>
      </c>
      <c r="U4" s="53" t="s">
        <v>94</v>
      </c>
      <c r="V4" s="65"/>
      <c r="W4" s="56" t="s">
        <v>117</v>
      </c>
      <c r="X4" s="56" t="s">
        <v>93</v>
      </c>
      <c r="Y4" s="57" t="s">
        <v>301</v>
      </c>
      <c r="Z4" s="53" t="s">
        <v>303</v>
      </c>
      <c r="AA4" s="53" t="s">
        <v>94</v>
      </c>
      <c r="AB4" s="53" t="s">
        <v>93</v>
      </c>
      <c r="AC4" s="53" t="s">
        <v>94</v>
      </c>
      <c r="AD4" s="55"/>
      <c r="AE4" s="53" t="s">
        <v>300</v>
      </c>
      <c r="AF4" s="65"/>
      <c r="AG4" s="53" t="s">
        <v>326</v>
      </c>
      <c r="AH4" s="53" t="s">
        <v>327</v>
      </c>
      <c r="AI4" s="65"/>
      <c r="AJ4" s="53" t="s">
        <v>307</v>
      </c>
      <c r="AK4" s="65"/>
      <c r="AL4" s="65"/>
      <c r="AM4" s="65"/>
    </row>
    <row r="5" spans="2:39" x14ac:dyDescent="0.3">
      <c r="C5" t="s">
        <v>26</v>
      </c>
      <c r="D5" s="59">
        <v>329658.92102698103</v>
      </c>
      <c r="E5" s="59">
        <v>62306.254722784521</v>
      </c>
      <c r="F5" s="59"/>
      <c r="G5" s="59" t="s">
        <v>26</v>
      </c>
      <c r="H5" s="61">
        <v>139869.14516966129</v>
      </c>
      <c r="I5" s="61">
        <v>139869.14520170866</v>
      </c>
      <c r="J5" s="59"/>
      <c r="K5" s="59" t="s">
        <v>119</v>
      </c>
      <c r="L5" s="59">
        <v>11763.206680837357</v>
      </c>
      <c r="M5" s="59">
        <v>11763.206680837357</v>
      </c>
      <c r="N5" s="59"/>
      <c r="O5" s="59" t="s">
        <v>119</v>
      </c>
      <c r="P5" s="59">
        <v>12708.500412971434</v>
      </c>
      <c r="Q5" s="59">
        <v>12708.500412971434</v>
      </c>
      <c r="S5" t="s">
        <v>119</v>
      </c>
      <c r="T5" s="60">
        <v>55315.65149180447</v>
      </c>
      <c r="U5" s="60">
        <v>55315.65149180447</v>
      </c>
      <c r="V5" s="59"/>
      <c r="W5" s="59" t="s">
        <v>119</v>
      </c>
      <c r="X5" s="68">
        <v>139338.76703998621</v>
      </c>
      <c r="Z5" s="59"/>
      <c r="AA5" s="59"/>
      <c r="AB5" s="59"/>
      <c r="AC5" s="68"/>
      <c r="AD5" s="68"/>
      <c r="AE5" t="s">
        <v>26</v>
      </c>
      <c r="AG5" s="7">
        <f t="shared" ref="AG5:AG16" si="0">+D5+E5+H5+I5+L5+M5+P5+Q5+T5+U5+X5</f>
        <v>970616.95033234835</v>
      </c>
      <c r="AH5" s="54">
        <v>283600.50422579038</v>
      </c>
      <c r="AJ5" s="7">
        <f>+AG5+AH5</f>
        <v>1254217.4545581387</v>
      </c>
    </row>
    <row r="6" spans="2:39" x14ac:dyDescent="0.3">
      <c r="C6" t="s">
        <v>27</v>
      </c>
      <c r="D6" s="59">
        <v>11043574.612087505</v>
      </c>
      <c r="E6" s="59">
        <v>2087259.676417141</v>
      </c>
      <c r="F6" s="59"/>
      <c r="G6" s="59" t="s">
        <v>27</v>
      </c>
      <c r="H6" s="61">
        <v>1651187.5140797477</v>
      </c>
      <c r="I6" s="61">
        <v>1651187.5144580742</v>
      </c>
      <c r="J6" s="59"/>
      <c r="K6" s="59" t="s">
        <v>121</v>
      </c>
      <c r="L6" s="59">
        <v>118233.6297419383</v>
      </c>
      <c r="M6" s="59">
        <v>118233.6297419383</v>
      </c>
      <c r="N6" s="59"/>
      <c r="O6" s="59"/>
      <c r="P6" s="59"/>
      <c r="Q6" s="59"/>
      <c r="S6" t="s">
        <v>121</v>
      </c>
      <c r="T6" s="59">
        <v>294556.25764334667</v>
      </c>
      <c r="U6" s="59">
        <v>294556.25764334667</v>
      </c>
      <c r="V6" s="59"/>
      <c r="W6" s="59" t="s">
        <v>121</v>
      </c>
      <c r="X6" s="68">
        <v>1610647.9522079006</v>
      </c>
      <c r="Z6" s="59"/>
      <c r="AA6" s="59"/>
      <c r="AB6" s="59"/>
      <c r="AC6" s="68"/>
      <c r="AD6" s="68"/>
      <c r="AE6" t="s">
        <v>27</v>
      </c>
      <c r="AG6" s="7">
        <f t="shared" si="0"/>
        <v>18869437.044020936</v>
      </c>
      <c r="AH6" s="54">
        <v>7514884.2867040373</v>
      </c>
      <c r="AI6" s="7"/>
      <c r="AJ6" s="7">
        <f t="shared" ref="AJ6:AJ69" si="1">+AG6+AH6</f>
        <v>26384321.330724973</v>
      </c>
    </row>
    <row r="7" spans="2:39" x14ac:dyDescent="0.3">
      <c r="C7" t="s">
        <v>28</v>
      </c>
      <c r="D7" s="59">
        <v>580736.40552381938</v>
      </c>
      <c r="E7" s="59">
        <v>109760.44663569085</v>
      </c>
      <c r="F7" s="59"/>
      <c r="G7" s="59" t="s">
        <v>28</v>
      </c>
      <c r="H7" s="61">
        <v>87899.398232756575</v>
      </c>
      <c r="I7" s="61">
        <v>87899.398252896426</v>
      </c>
      <c r="J7" s="59"/>
      <c r="K7" s="59" t="s">
        <v>123</v>
      </c>
      <c r="L7" s="59">
        <v>6198.062254910923</v>
      </c>
      <c r="M7" s="59">
        <v>6198.062254910923</v>
      </c>
      <c r="N7" s="59"/>
      <c r="O7" s="59" t="s">
        <v>123</v>
      </c>
      <c r="P7" s="59">
        <v>8022.4152647381006</v>
      </c>
      <c r="Q7" s="59">
        <v>8022.4152647381006</v>
      </c>
      <c r="S7" t="s">
        <v>123</v>
      </c>
      <c r="T7" s="59">
        <v>27657.825745902235</v>
      </c>
      <c r="U7" s="59">
        <v>27657.825745902235</v>
      </c>
      <c r="V7" s="59"/>
      <c r="W7" s="59" t="s">
        <v>123</v>
      </c>
      <c r="X7" s="68">
        <v>84433.644643393331</v>
      </c>
      <c r="Z7" s="59"/>
      <c r="AA7" s="59"/>
      <c r="AB7" s="59"/>
      <c r="AC7" s="68"/>
      <c r="AD7" s="68"/>
      <c r="AE7" t="s">
        <v>28</v>
      </c>
      <c r="AG7" s="7">
        <f t="shared" si="0"/>
        <v>1034485.8998196592</v>
      </c>
      <c r="AH7" s="54">
        <v>389144.6012670967</v>
      </c>
      <c r="AJ7" s="7">
        <f t="shared" si="1"/>
        <v>1423630.5010867559</v>
      </c>
    </row>
    <row r="8" spans="2:39" x14ac:dyDescent="0.3">
      <c r="C8" t="s">
        <v>29</v>
      </c>
      <c r="D8" s="59">
        <v>1220888.0200259264</v>
      </c>
      <c r="E8" s="59">
        <v>230750.49729203456</v>
      </c>
      <c r="F8" s="59"/>
      <c r="G8" s="59" t="s">
        <v>29</v>
      </c>
      <c r="H8" s="61">
        <v>222588.40585305556</v>
      </c>
      <c r="I8" s="61">
        <v>222588.40590405589</v>
      </c>
      <c r="J8" s="59"/>
      <c r="K8" s="59" t="s">
        <v>124</v>
      </c>
      <c r="L8" s="59">
        <v>15903.582205220424</v>
      </c>
      <c r="M8" s="59">
        <v>15903.582205220424</v>
      </c>
      <c r="N8" s="59"/>
      <c r="O8" s="59" t="s">
        <v>124</v>
      </c>
      <c r="P8" s="59">
        <v>20584.682018333682</v>
      </c>
      <c r="Q8" s="59">
        <v>20584.682018333682</v>
      </c>
      <c r="S8" t="s">
        <v>124</v>
      </c>
      <c r="T8" s="59">
        <v>55315.65149180447</v>
      </c>
      <c r="U8" s="59">
        <v>55315.65149180447</v>
      </c>
      <c r="V8" s="59"/>
      <c r="W8" s="59" t="s">
        <v>124</v>
      </c>
      <c r="X8" s="68">
        <v>216647.93821788963</v>
      </c>
      <c r="Z8" s="59"/>
      <c r="AA8" s="59"/>
      <c r="AB8" s="59"/>
      <c r="AC8" s="59"/>
      <c r="AD8" s="68"/>
      <c r="AE8" t="s">
        <v>29</v>
      </c>
      <c r="AG8" s="7">
        <f t="shared" si="0"/>
        <v>2297071.0987236788</v>
      </c>
      <c r="AH8" s="54">
        <v>835264.09480946523</v>
      </c>
      <c r="AJ8" s="7">
        <f t="shared" si="1"/>
        <v>3132335.193533144</v>
      </c>
    </row>
    <row r="9" spans="2:39" x14ac:dyDescent="0.3">
      <c r="C9" t="s">
        <v>30</v>
      </c>
      <c r="D9" s="59">
        <v>183995.75694567634</v>
      </c>
      <c r="E9" s="59">
        <v>34775.599169150279</v>
      </c>
      <c r="F9" s="59"/>
      <c r="G9" s="59" t="s">
        <v>30</v>
      </c>
      <c r="H9" s="61">
        <v>65023.965128141608</v>
      </c>
      <c r="I9" s="61">
        <v>65023.965143040157</v>
      </c>
      <c r="J9" s="59"/>
      <c r="K9" s="59" t="s">
        <v>125</v>
      </c>
      <c r="L9" s="59">
        <v>4498.0812090347017</v>
      </c>
      <c r="M9" s="59">
        <v>4498.0812090347017</v>
      </c>
      <c r="N9" s="59"/>
      <c r="O9" s="59" t="s">
        <v>125</v>
      </c>
      <c r="P9" s="59">
        <v>5822.0575833680805</v>
      </c>
      <c r="Q9" s="59">
        <v>5822.0575833680805</v>
      </c>
      <c r="S9" t="s">
        <v>125</v>
      </c>
      <c r="T9" s="59">
        <v>13872.329142548369</v>
      </c>
      <c r="U9" s="59">
        <v>13872.329142548369</v>
      </c>
      <c r="V9" s="59"/>
      <c r="W9" s="59" t="s">
        <v>125</v>
      </c>
      <c r="X9" s="68">
        <v>61275.504304565802</v>
      </c>
      <c r="Z9" s="59"/>
      <c r="AA9" s="59"/>
      <c r="AB9" s="59"/>
      <c r="AC9" s="59"/>
      <c r="AD9" s="68"/>
      <c r="AE9" t="s">
        <v>30</v>
      </c>
      <c r="AG9" s="7">
        <f t="shared" si="0"/>
        <v>458479.72656047659</v>
      </c>
      <c r="AH9" s="54">
        <v>143409.74482066627</v>
      </c>
      <c r="AJ9" s="7">
        <f t="shared" si="1"/>
        <v>601889.47138114285</v>
      </c>
    </row>
    <row r="10" spans="2:39" x14ac:dyDescent="0.3">
      <c r="C10" t="s">
        <v>31</v>
      </c>
      <c r="D10" s="59">
        <v>1812165.8713673654</v>
      </c>
      <c r="E10" s="59">
        <v>342503.30016735918</v>
      </c>
      <c r="F10" s="59"/>
      <c r="G10" s="59" t="s">
        <v>31</v>
      </c>
      <c r="H10" s="61">
        <v>571870.89143895416</v>
      </c>
      <c r="I10" s="61">
        <v>571870.89156998345</v>
      </c>
      <c r="J10" s="59"/>
      <c r="K10" s="59"/>
      <c r="L10" s="59"/>
      <c r="M10" s="59"/>
      <c r="N10" s="59"/>
      <c r="O10" s="59"/>
      <c r="P10" s="59"/>
      <c r="Q10" s="59"/>
      <c r="V10" s="59"/>
      <c r="W10" s="59"/>
      <c r="Z10" s="59"/>
      <c r="AA10" s="68"/>
      <c r="AB10" s="59"/>
      <c r="AC10" s="59"/>
      <c r="AD10" s="68"/>
      <c r="AE10" t="s">
        <v>31</v>
      </c>
      <c r="AG10" s="7">
        <f t="shared" si="0"/>
        <v>3298410.9545436623</v>
      </c>
      <c r="AH10" s="54">
        <v>1134011.3186013559</v>
      </c>
      <c r="AJ10" s="7">
        <f t="shared" si="1"/>
        <v>4432422.2731450181</v>
      </c>
    </row>
    <row r="11" spans="2:39" x14ac:dyDescent="0.3">
      <c r="C11" t="s">
        <v>32</v>
      </c>
      <c r="D11" s="59">
        <v>773356.94420373137</v>
      </c>
      <c r="E11" s="59">
        <v>146166.14835443275</v>
      </c>
      <c r="F11" s="59"/>
      <c r="G11" s="59" t="s">
        <v>32</v>
      </c>
      <c r="H11" s="61">
        <v>165423.58519036847</v>
      </c>
      <c r="I11" s="61">
        <v>165423.58522827097</v>
      </c>
      <c r="J11" s="59"/>
      <c r="K11" s="59"/>
      <c r="L11" s="59"/>
      <c r="M11" s="59"/>
      <c r="N11" s="59"/>
      <c r="O11" s="59"/>
      <c r="P11" s="59"/>
      <c r="Q11" s="59"/>
      <c r="V11" s="59"/>
      <c r="W11" s="59"/>
      <c r="Z11" s="59"/>
      <c r="AA11" s="68"/>
      <c r="AB11" s="59"/>
      <c r="AC11" s="59"/>
      <c r="AD11" s="68"/>
      <c r="AE11" t="s">
        <v>32</v>
      </c>
      <c r="AG11" s="7">
        <f t="shared" si="0"/>
        <v>1250370.2629768034</v>
      </c>
      <c r="AH11" s="54">
        <v>466630.56706138642</v>
      </c>
      <c r="AJ11" s="7">
        <f t="shared" si="1"/>
        <v>1717000.8300381899</v>
      </c>
    </row>
    <row r="12" spans="2:39" x14ac:dyDescent="0.3">
      <c r="C12" t="s">
        <v>33</v>
      </c>
      <c r="D12" s="59">
        <v>215619.9566378734</v>
      </c>
      <c r="E12" s="59">
        <v>40752.641850986169</v>
      </c>
      <c r="F12" s="59"/>
      <c r="G12" s="59" t="s">
        <v>33</v>
      </c>
      <c r="H12" s="61">
        <v>81908.633654044563</v>
      </c>
      <c r="I12" s="61">
        <v>81908.633672811789</v>
      </c>
      <c r="J12" s="59"/>
      <c r="K12" s="59" t="s">
        <v>127</v>
      </c>
      <c r="L12" s="59">
        <v>5881.6033404186783</v>
      </c>
      <c r="M12" s="59">
        <v>5881.6033404186783</v>
      </c>
      <c r="N12" s="59"/>
      <c r="O12" s="59" t="s">
        <v>127</v>
      </c>
      <c r="P12" s="59">
        <v>7338.237532880039</v>
      </c>
      <c r="Q12" s="59">
        <v>7338.237532880039</v>
      </c>
      <c r="S12" t="s">
        <v>127</v>
      </c>
      <c r="T12" s="59">
        <v>27657.825745902235</v>
      </c>
      <c r="U12" s="59">
        <v>27657.825745902235</v>
      </c>
      <c r="V12" s="59"/>
      <c r="W12" s="59" t="s">
        <v>127</v>
      </c>
      <c r="X12" s="68">
        <v>77232.868121821404</v>
      </c>
      <c r="Y12" s="68"/>
      <c r="Z12" s="68"/>
      <c r="AA12" s="68"/>
      <c r="AB12" s="68"/>
      <c r="AC12" s="68"/>
      <c r="AD12" s="68"/>
      <c r="AE12" t="s">
        <v>33</v>
      </c>
      <c r="AG12" s="7">
        <f t="shared" si="0"/>
        <v>579178.06717593921</v>
      </c>
      <c r="AH12" s="54">
        <v>158604.09315924314</v>
      </c>
      <c r="AJ12" s="7">
        <f t="shared" si="1"/>
        <v>737782.16033518233</v>
      </c>
    </row>
    <row r="13" spans="2:39" x14ac:dyDescent="0.3">
      <c r="C13" t="s">
        <v>34</v>
      </c>
      <c r="D13" s="59">
        <v>5561078.024308823</v>
      </c>
      <c r="E13" s="59">
        <v>1051055.8696135096</v>
      </c>
      <c r="F13" s="59"/>
      <c r="G13" s="59" t="s">
        <v>34</v>
      </c>
      <c r="H13" s="61">
        <v>853086.50540965435</v>
      </c>
      <c r="I13" s="61">
        <v>853086.50560511695</v>
      </c>
      <c r="J13" s="59"/>
      <c r="K13" s="59" t="s">
        <v>129</v>
      </c>
      <c r="L13" s="59">
        <v>61125.76305203938</v>
      </c>
      <c r="M13" s="59">
        <v>61125.76305203938</v>
      </c>
      <c r="N13" s="59"/>
      <c r="O13" s="59" t="s">
        <v>129</v>
      </c>
      <c r="P13" s="59">
        <v>79117.671686647576</v>
      </c>
      <c r="Q13" s="59">
        <v>79117.671686647576</v>
      </c>
      <c r="S13" t="s">
        <v>129</v>
      </c>
      <c r="T13" s="59">
        <v>152283.03528785412</v>
      </c>
      <c r="U13" s="59">
        <v>152283.03528785412</v>
      </c>
      <c r="V13" s="59"/>
      <c r="W13" s="59" t="s">
        <v>129</v>
      </c>
      <c r="X13" s="68">
        <v>832691.04823896755</v>
      </c>
      <c r="Y13" s="68"/>
      <c r="Z13" s="68"/>
      <c r="AA13" s="68"/>
      <c r="AB13" s="68"/>
      <c r="AC13" s="68"/>
      <c r="AD13" s="68"/>
      <c r="AE13" t="s">
        <v>34</v>
      </c>
      <c r="AG13" s="7">
        <f t="shared" si="0"/>
        <v>9736050.893229153</v>
      </c>
      <c r="AH13" s="54">
        <v>3795615.5437010676</v>
      </c>
      <c r="AJ13" s="7">
        <f t="shared" si="1"/>
        <v>13531666.436930221</v>
      </c>
    </row>
    <row r="14" spans="2:39" x14ac:dyDescent="0.3">
      <c r="C14" t="s">
        <v>35</v>
      </c>
      <c r="D14" s="59">
        <v>1311927.5664570727</v>
      </c>
      <c r="E14" s="59">
        <v>247957.17003158864</v>
      </c>
      <c r="F14" s="59"/>
      <c r="G14" s="59" t="s">
        <v>35</v>
      </c>
      <c r="H14" s="61">
        <v>255073.2317327261</v>
      </c>
      <c r="I14" s="61">
        <v>255073.23179116947</v>
      </c>
      <c r="J14" s="59"/>
      <c r="K14" s="59"/>
      <c r="L14" s="59"/>
      <c r="M14" s="59"/>
      <c r="N14" s="59"/>
      <c r="O14" s="59"/>
      <c r="P14" s="59"/>
      <c r="Q14" s="59"/>
      <c r="V14" s="59"/>
      <c r="Y14" s="68"/>
      <c r="Z14" s="68"/>
      <c r="AA14" s="68"/>
      <c r="AB14" s="68"/>
      <c r="AC14" s="68"/>
      <c r="AD14" s="68"/>
      <c r="AE14" t="s">
        <v>35</v>
      </c>
      <c r="AG14" s="7">
        <f t="shared" si="0"/>
        <v>2070031.2000125567</v>
      </c>
      <c r="AH14" s="54">
        <v>791595.0181447597</v>
      </c>
      <c r="AJ14" s="7">
        <f t="shared" si="1"/>
        <v>2861626.2181573166</v>
      </c>
    </row>
    <row r="15" spans="2:39" x14ac:dyDescent="0.3">
      <c r="C15" t="s">
        <v>36</v>
      </c>
      <c r="D15" s="59">
        <v>1520839.4054440947</v>
      </c>
      <c r="E15" s="59">
        <v>287441.96302302537</v>
      </c>
      <c r="F15" s="59"/>
      <c r="G15" s="59" t="s">
        <v>36</v>
      </c>
      <c r="H15" s="61">
        <v>176779.15277236496</v>
      </c>
      <c r="I15" s="61">
        <v>176779.15281286929</v>
      </c>
      <c r="J15" s="59"/>
      <c r="K15" s="59" t="s">
        <v>130</v>
      </c>
      <c r="L15" s="59">
        <v>12618.868258450088</v>
      </c>
      <c r="M15" s="59">
        <v>12618.868258450088</v>
      </c>
      <c r="N15" s="59"/>
      <c r="O15" s="59" t="s">
        <v>130</v>
      </c>
      <c r="P15" s="59">
        <v>16333.137225283319</v>
      </c>
      <c r="Q15" s="59">
        <v>16333.137225283319</v>
      </c>
      <c r="S15" t="s">
        <v>130</v>
      </c>
      <c r="T15" s="59">
        <v>55315.65149180447</v>
      </c>
      <c r="U15" s="59">
        <v>55315.65149180447</v>
      </c>
      <c r="V15" s="59"/>
      <c r="W15" s="59" t="s">
        <v>130</v>
      </c>
      <c r="X15" s="68">
        <v>171901.63546543507</v>
      </c>
      <c r="Y15" s="68"/>
      <c r="Z15" s="68"/>
      <c r="AA15" s="68"/>
      <c r="AB15" s="68"/>
      <c r="AC15" s="68"/>
      <c r="AD15" s="68"/>
      <c r="AE15" t="s">
        <v>36</v>
      </c>
      <c r="AG15" s="7">
        <f t="shared" si="0"/>
        <v>2502276.6234688652</v>
      </c>
      <c r="AH15" s="54">
        <v>995875.36197415204</v>
      </c>
      <c r="AJ15" s="7">
        <f t="shared" si="1"/>
        <v>3498151.9854430174</v>
      </c>
    </row>
    <row r="16" spans="2:39" x14ac:dyDescent="0.3">
      <c r="C16" t="s">
        <v>37</v>
      </c>
      <c r="D16" s="59">
        <v>137760.66149528898</v>
      </c>
      <c r="E16" s="59">
        <v>26037.065337607717</v>
      </c>
      <c r="F16" s="59"/>
      <c r="G16" s="59" t="s">
        <v>37</v>
      </c>
      <c r="H16" s="61">
        <v>21822.543050402452</v>
      </c>
      <c r="I16" s="61">
        <v>21822.543055402519</v>
      </c>
      <c r="J16" s="59"/>
      <c r="K16" s="59"/>
      <c r="L16" s="59"/>
      <c r="M16" s="59"/>
      <c r="N16" s="59"/>
      <c r="V16" s="59"/>
      <c r="AD16" s="68"/>
      <c r="AE16" t="s">
        <v>37</v>
      </c>
      <c r="AG16" s="7">
        <f t="shared" si="0"/>
        <v>207442.81293870168</v>
      </c>
      <c r="AH16" s="54">
        <v>83122.46508432948</v>
      </c>
      <c r="AJ16" s="7">
        <f t="shared" si="1"/>
        <v>290565.27802303119</v>
      </c>
    </row>
    <row r="17" spans="3:36" x14ac:dyDescent="0.3">
      <c r="C17" t="s">
        <v>38</v>
      </c>
      <c r="D17" s="59">
        <v>617152.19654414558</v>
      </c>
      <c r="E17" s="59">
        <v>116643.11052409942</v>
      </c>
      <c r="F17" s="59"/>
      <c r="G17" s="59" t="s">
        <v>38</v>
      </c>
      <c r="H17" s="61">
        <v>87148.515909087553</v>
      </c>
      <c r="I17" s="61">
        <v>87148.515929055357</v>
      </c>
      <c r="J17" s="59"/>
      <c r="K17" s="59" t="s">
        <v>131</v>
      </c>
      <c r="L17" s="59">
        <v>6121.5768166086109</v>
      </c>
      <c r="M17" s="59">
        <v>6121.5768166086109</v>
      </c>
      <c r="N17" s="59"/>
      <c r="O17" s="59" t="s">
        <v>131</v>
      </c>
      <c r="P17" s="59">
        <v>7923.4169129095953</v>
      </c>
      <c r="Q17" s="59">
        <v>7923.4169129095953</v>
      </c>
      <c r="S17" t="s">
        <v>131</v>
      </c>
      <c r="T17" s="59">
        <v>27657.825745902235</v>
      </c>
      <c r="U17" s="59">
        <v>27657.825745902235</v>
      </c>
      <c r="V17" s="59"/>
      <c r="W17" s="59" t="s">
        <v>131</v>
      </c>
      <c r="X17" s="68">
        <v>83391.715076955923</v>
      </c>
      <c r="Y17" t="s">
        <v>38</v>
      </c>
      <c r="Z17" s="59">
        <v>23580.478789299479</v>
      </c>
      <c r="AA17" s="59">
        <v>23580.478789299479</v>
      </c>
      <c r="AB17" s="59">
        <v>25238.414193851568</v>
      </c>
      <c r="AC17" s="59">
        <v>25238.414193851568</v>
      </c>
      <c r="AD17" s="68"/>
      <c r="AE17" t="s">
        <v>38</v>
      </c>
      <c r="AG17" s="7">
        <f>+D17+E17+H17+I17+L17+M17+P17+Q17+T17+U17+X17+Z17+AA17+AB17+AC17</f>
        <v>1172527.4789004873</v>
      </c>
      <c r="AH17" s="54">
        <v>557354.01533896546</v>
      </c>
      <c r="AJ17" s="7">
        <f t="shared" si="1"/>
        <v>1729881.4942394528</v>
      </c>
    </row>
    <row r="18" spans="3:36" x14ac:dyDescent="0.3">
      <c r="C18" t="s">
        <v>39</v>
      </c>
      <c r="D18" s="59">
        <v>239577.77551785758</v>
      </c>
      <c r="E18" s="59">
        <v>45280.721846784189</v>
      </c>
      <c r="F18" s="59"/>
      <c r="G18" s="59" t="s">
        <v>39</v>
      </c>
      <c r="H18" s="61">
        <v>220491.90981735036</v>
      </c>
      <c r="I18" s="61">
        <v>220491.90986787033</v>
      </c>
      <c r="J18" s="59"/>
      <c r="K18" s="59"/>
      <c r="L18" s="59"/>
      <c r="M18" s="59"/>
      <c r="N18" s="59"/>
      <c r="O18" s="59"/>
      <c r="P18" s="59"/>
      <c r="Q18" s="59"/>
      <c r="V18" s="59"/>
      <c r="W18" s="59"/>
      <c r="Z18" s="59"/>
      <c r="AA18" s="68"/>
      <c r="AB18" s="68"/>
      <c r="AC18" s="68"/>
      <c r="AD18" s="68"/>
      <c r="AE18" t="s">
        <v>39</v>
      </c>
      <c r="AG18" s="7">
        <f t="shared" ref="AG18:AG26" si="2">+D18+E18+H18+I18+L18+M18+P18+Q18+T18+U18+X18</f>
        <v>725842.31704986235</v>
      </c>
      <c r="AH18" s="54">
        <v>144557.1984361113</v>
      </c>
      <c r="AJ18" s="7">
        <f t="shared" si="1"/>
        <v>870399.51548597368</v>
      </c>
    </row>
    <row r="19" spans="3:36" x14ac:dyDescent="0.3">
      <c r="C19" t="s">
        <v>40</v>
      </c>
      <c r="D19" s="59">
        <v>2137033.2010662174</v>
      </c>
      <c r="E19" s="59">
        <v>403903.933683571</v>
      </c>
      <c r="F19" s="59"/>
      <c r="G19" s="59" t="s">
        <v>40</v>
      </c>
      <c r="H19" s="61">
        <v>712848.02933214861</v>
      </c>
      <c r="I19" s="61">
        <v>712848.02949547907</v>
      </c>
      <c r="J19" s="59"/>
      <c r="K19" s="59" t="s">
        <v>132</v>
      </c>
      <c r="L19" s="59">
        <v>50525.108206987868</v>
      </c>
      <c r="M19" s="59">
        <v>50525.108206987868</v>
      </c>
      <c r="N19" s="59"/>
      <c r="O19" s="59" t="s">
        <v>132</v>
      </c>
      <c r="P19" s="59">
        <v>65396.793814248187</v>
      </c>
      <c r="Q19" s="59">
        <v>65396.793814248187</v>
      </c>
      <c r="S19" t="s">
        <v>132</v>
      </c>
      <c r="T19" s="59">
        <v>0</v>
      </c>
      <c r="U19" s="59">
        <v>0</v>
      </c>
      <c r="V19" s="59"/>
      <c r="W19" s="59" t="s">
        <v>132</v>
      </c>
      <c r="X19" s="68">
        <v>0</v>
      </c>
      <c r="Z19" s="59"/>
      <c r="AA19" s="68"/>
      <c r="AB19" s="68"/>
      <c r="AC19" s="68"/>
      <c r="AD19" s="68"/>
      <c r="AE19" t="s">
        <v>40</v>
      </c>
      <c r="AG19" s="7">
        <f t="shared" si="2"/>
        <v>4198476.9976198878</v>
      </c>
      <c r="AH19" s="54">
        <v>1653271.2751179212</v>
      </c>
      <c r="AJ19" s="7">
        <f t="shared" si="1"/>
        <v>5851748.2727378085</v>
      </c>
    </row>
    <row r="20" spans="3:36" x14ac:dyDescent="0.3">
      <c r="C20" t="s">
        <v>41</v>
      </c>
      <c r="D20" s="59">
        <v>140871.71051383708</v>
      </c>
      <c r="E20" s="59">
        <v>26625.060384126911</v>
      </c>
      <c r="F20" s="59"/>
      <c r="G20" s="59" t="s">
        <v>41</v>
      </c>
      <c r="H20" s="61">
        <v>52192.431748987365</v>
      </c>
      <c r="I20" s="61">
        <v>52192.431760945903</v>
      </c>
      <c r="J20" s="59"/>
      <c r="K20" s="59" t="s">
        <v>133</v>
      </c>
      <c r="L20" s="59">
        <v>3520.882827955973</v>
      </c>
      <c r="M20" s="59">
        <v>3520.882827955973</v>
      </c>
      <c r="N20" s="59"/>
      <c r="O20" s="59" t="s">
        <v>133</v>
      </c>
      <c r="P20" s="59">
        <v>4557.2282082142774</v>
      </c>
      <c r="Q20" s="59">
        <v>4557.2282082142774</v>
      </c>
      <c r="S20" t="s">
        <v>133</v>
      </c>
      <c r="T20" s="59">
        <v>13828.912872951118</v>
      </c>
      <c r="U20" s="59">
        <v>13828.912872951118</v>
      </c>
      <c r="V20" s="59"/>
      <c r="W20" s="59" t="s">
        <v>133</v>
      </c>
      <c r="X20" s="68">
        <v>47963.533972430683</v>
      </c>
      <c r="Y20" s="68"/>
      <c r="Z20" s="68"/>
      <c r="AA20" s="68"/>
      <c r="AB20" s="68"/>
      <c r="AC20" s="68"/>
      <c r="AD20" s="68"/>
      <c r="AE20" t="s">
        <v>41</v>
      </c>
      <c r="AG20" s="7">
        <f t="shared" si="2"/>
        <v>363659.21619857074</v>
      </c>
      <c r="AH20" s="54">
        <v>106828.78272840472</v>
      </c>
      <c r="AJ20" s="7">
        <f t="shared" si="1"/>
        <v>470487.99892697547</v>
      </c>
    </row>
    <row r="21" spans="3:36" x14ac:dyDescent="0.3">
      <c r="C21" t="s">
        <v>42</v>
      </c>
      <c r="D21" s="59">
        <v>286535.01235580328</v>
      </c>
      <c r="E21" s="59">
        <v>54155.741974826495</v>
      </c>
      <c r="F21" s="59"/>
      <c r="G21" s="59" t="s">
        <v>42</v>
      </c>
      <c r="H21" s="61">
        <v>107615.15110739357</v>
      </c>
      <c r="I21" s="61">
        <v>107615.15113205077</v>
      </c>
      <c r="J21" s="59"/>
      <c r="K21" s="59" t="s">
        <v>134</v>
      </c>
      <c r="L21" s="59">
        <v>7616.5882330170789</v>
      </c>
      <c r="M21" s="59">
        <v>7616.5882330170789</v>
      </c>
      <c r="N21" s="59"/>
      <c r="O21" s="59"/>
      <c r="P21" s="59"/>
      <c r="Q21" s="59"/>
      <c r="V21" s="59"/>
      <c r="W21" s="59"/>
      <c r="Z21" s="59"/>
      <c r="AA21" s="68"/>
      <c r="AB21" s="68"/>
      <c r="AC21" s="68"/>
      <c r="AD21" s="68"/>
      <c r="AE21" t="s">
        <v>42</v>
      </c>
      <c r="AG21" s="7">
        <f t="shared" si="2"/>
        <v>571154.23303610831</v>
      </c>
      <c r="AH21" s="54">
        <v>220112.58031992838</v>
      </c>
      <c r="AJ21" s="7">
        <f t="shared" si="1"/>
        <v>791266.81335603667</v>
      </c>
    </row>
    <row r="22" spans="3:36" x14ac:dyDescent="0.3">
      <c r="C22" t="s">
        <v>43</v>
      </c>
      <c r="D22" s="59">
        <v>137760.66149528898</v>
      </c>
      <c r="E22" s="59">
        <v>26037.065337607717</v>
      </c>
      <c r="F22" s="59"/>
      <c r="G22" s="59" t="s">
        <v>43</v>
      </c>
      <c r="H22" s="61">
        <v>52455.851587670535</v>
      </c>
      <c r="I22" s="61">
        <v>52455.851599689428</v>
      </c>
      <c r="J22" s="59"/>
      <c r="K22" s="59" t="s">
        <v>135</v>
      </c>
      <c r="L22" s="59">
        <v>3540.6423540439614</v>
      </c>
      <c r="M22" s="59">
        <v>3540.6423540439614</v>
      </c>
      <c r="N22" s="59"/>
      <c r="O22" s="59" t="s">
        <v>135</v>
      </c>
      <c r="P22" s="59">
        <v>4582.803802197167</v>
      </c>
      <c r="Q22" s="59">
        <v>4582.803802197167</v>
      </c>
      <c r="S22" t="s">
        <v>135</v>
      </c>
      <c r="T22" s="59">
        <v>13828.912872951118</v>
      </c>
      <c r="U22" s="59">
        <v>13828.912872951118</v>
      </c>
      <c r="V22" s="59"/>
      <c r="W22" s="59" t="s">
        <v>135</v>
      </c>
      <c r="X22" s="68">
        <v>48232.709843117249</v>
      </c>
      <c r="Y22" s="68"/>
      <c r="Z22" s="68"/>
      <c r="AA22" s="68"/>
      <c r="AB22" s="68"/>
      <c r="AC22" s="68"/>
      <c r="AD22" s="68"/>
      <c r="AE22" t="s">
        <v>43</v>
      </c>
      <c r="AG22" s="7">
        <f t="shared" si="2"/>
        <v>360846.85792175843</v>
      </c>
      <c r="AH22" s="54">
        <v>108617.93668223625</v>
      </c>
      <c r="AJ22" s="7">
        <f t="shared" si="1"/>
        <v>469464.7946039947</v>
      </c>
    </row>
    <row r="23" spans="3:36" x14ac:dyDescent="0.3">
      <c r="C23" t="s">
        <v>44</v>
      </c>
      <c r="D23" s="59">
        <v>314326.02164189389</v>
      </c>
      <c r="E23" s="59">
        <v>59408.303313643446</v>
      </c>
      <c r="F23" s="59"/>
      <c r="G23" s="59" t="s">
        <v>44</v>
      </c>
      <c r="H23" s="61">
        <v>88210.342269140325</v>
      </c>
      <c r="I23" s="61">
        <v>88210.342289351422</v>
      </c>
      <c r="J23" s="59"/>
      <c r="K23" s="59" t="s">
        <v>44</v>
      </c>
      <c r="L23" s="59">
        <v>6119.5</v>
      </c>
      <c r="M23" s="59">
        <v>6119.5</v>
      </c>
      <c r="N23" s="59"/>
      <c r="O23" s="59" t="s">
        <v>137</v>
      </c>
      <c r="P23" s="59">
        <v>7920.7247451219228</v>
      </c>
      <c r="Q23" s="59">
        <v>7920.7247451219228</v>
      </c>
      <c r="S23" t="s">
        <v>137</v>
      </c>
      <c r="T23" s="59">
        <v>27657.825745902235</v>
      </c>
      <c r="U23" s="59">
        <v>27657.825745902235</v>
      </c>
      <c r="V23" s="59"/>
      <c r="W23" s="59" t="s">
        <v>137</v>
      </c>
      <c r="X23" s="68">
        <v>83363.380774778372</v>
      </c>
      <c r="Y23" s="68"/>
      <c r="Z23" s="68"/>
      <c r="AA23" s="68"/>
      <c r="AB23" s="68"/>
      <c r="AC23" s="68"/>
      <c r="AD23" s="68"/>
      <c r="AE23" t="s">
        <v>44</v>
      </c>
      <c r="AG23" s="7">
        <f t="shared" si="2"/>
        <v>716914.49127085577</v>
      </c>
      <c r="AH23" s="54">
        <v>234257.33542341884</v>
      </c>
      <c r="AJ23" s="7">
        <f t="shared" si="1"/>
        <v>951171.82669427455</v>
      </c>
    </row>
    <row r="24" spans="3:36" x14ac:dyDescent="0.3">
      <c r="C24" t="s">
        <v>45</v>
      </c>
      <c r="D24" s="59">
        <v>643026.54174685234</v>
      </c>
      <c r="E24" s="59">
        <v>121533.41817287424</v>
      </c>
      <c r="F24" s="59"/>
      <c r="G24" s="59" t="s">
        <v>45</v>
      </c>
      <c r="H24" s="61">
        <v>114912.15220576127</v>
      </c>
      <c r="I24" s="61">
        <v>114912.1522320904</v>
      </c>
      <c r="J24" s="59"/>
      <c r="K24" s="59"/>
      <c r="L24" s="59"/>
      <c r="M24" s="59"/>
      <c r="N24" s="59"/>
      <c r="O24" s="59"/>
      <c r="P24" s="59"/>
      <c r="Q24" s="59"/>
      <c r="V24" s="59"/>
      <c r="W24" s="59"/>
      <c r="Z24" s="59"/>
      <c r="AA24" s="68"/>
      <c r="AB24" s="68"/>
      <c r="AC24" s="68"/>
      <c r="AD24" s="68"/>
      <c r="AE24" t="s">
        <v>45</v>
      </c>
      <c r="AG24" s="7">
        <f t="shared" si="2"/>
        <v>994384.26435757824</v>
      </c>
      <c r="AH24" s="54">
        <v>387991.39525384537</v>
      </c>
      <c r="AJ24" s="7">
        <f t="shared" si="1"/>
        <v>1382375.6596114235</v>
      </c>
    </row>
    <row r="25" spans="3:36" x14ac:dyDescent="0.3">
      <c r="C25" t="s">
        <v>46</v>
      </c>
      <c r="D25" s="59">
        <v>1004309.8002266919</v>
      </c>
      <c r="E25" s="59">
        <v>189816.74161456001</v>
      </c>
      <c r="F25" s="59"/>
      <c r="G25" s="59" t="s">
        <v>46</v>
      </c>
      <c r="H25" s="61">
        <v>344034.45632553543</v>
      </c>
      <c r="I25" s="61">
        <v>344034.45640436193</v>
      </c>
      <c r="J25" s="59"/>
      <c r="K25" s="59" t="s">
        <v>138</v>
      </c>
      <c r="L25" s="59">
        <v>24531.026193896734</v>
      </c>
      <c r="M25" s="59">
        <v>24531.026193896734</v>
      </c>
      <c r="N25" s="59"/>
      <c r="O25" s="59" t="s">
        <v>138</v>
      </c>
      <c r="P25" s="59">
        <v>31751.549259073341</v>
      </c>
      <c r="Q25" s="59">
        <v>31751.549259073341</v>
      </c>
      <c r="V25" s="59"/>
      <c r="W25" s="59"/>
      <c r="Z25" s="59"/>
      <c r="AA25" s="68"/>
      <c r="AB25" s="68"/>
      <c r="AC25" s="68"/>
      <c r="AD25" s="68"/>
      <c r="AE25" t="s">
        <v>46</v>
      </c>
      <c r="AG25" s="7">
        <f t="shared" si="2"/>
        <v>1994760.6054770893</v>
      </c>
      <c r="AH25" s="54">
        <v>758073.83313367469</v>
      </c>
      <c r="AJ25" s="7">
        <f t="shared" si="1"/>
        <v>2752834.4386107642</v>
      </c>
    </row>
    <row r="26" spans="3:36" x14ac:dyDescent="0.3">
      <c r="C26" t="s">
        <v>47</v>
      </c>
      <c r="D26" s="59">
        <v>1543838.823402056</v>
      </c>
      <c r="E26" s="59">
        <v>291788.90315526963</v>
      </c>
      <c r="F26" s="59"/>
      <c r="G26" s="59" t="s">
        <v>47</v>
      </c>
      <c r="H26" s="61">
        <v>377883.90559632226</v>
      </c>
      <c r="I26" s="61">
        <v>377883.90568290453</v>
      </c>
      <c r="J26" s="59"/>
      <c r="K26" s="59" t="s">
        <v>139</v>
      </c>
      <c r="L26" s="59">
        <v>27077.263306823625</v>
      </c>
      <c r="M26" s="59">
        <v>27077.263306823625</v>
      </c>
      <c r="N26" s="59"/>
      <c r="O26" s="59"/>
      <c r="P26" s="59"/>
      <c r="Q26" s="59"/>
      <c r="S26" t="s">
        <v>139</v>
      </c>
      <c r="T26" s="59">
        <v>67457.772922050543</v>
      </c>
      <c r="U26" s="59">
        <v>67457.772922050543</v>
      </c>
      <c r="V26" s="59"/>
      <c r="W26" s="59" t="s">
        <v>139</v>
      </c>
      <c r="X26" s="68">
        <v>368862.38536124484</v>
      </c>
      <c r="Y26" s="68"/>
      <c r="Z26" s="68"/>
      <c r="AA26" s="68"/>
      <c r="AB26" s="68"/>
      <c r="AC26" s="68"/>
      <c r="AD26" s="68"/>
      <c r="AE26" t="s">
        <v>47</v>
      </c>
      <c r="AG26" s="7">
        <f t="shared" si="2"/>
        <v>3149327.995655546</v>
      </c>
      <c r="AH26" s="54">
        <v>1008182.1854999672</v>
      </c>
      <c r="AJ26" s="7">
        <f t="shared" si="1"/>
        <v>4157510.181155513</v>
      </c>
    </row>
    <row r="27" spans="3:36" x14ac:dyDescent="0.3">
      <c r="C27" t="s">
        <v>48</v>
      </c>
      <c r="D27" s="59">
        <v>6198354.8493268471</v>
      </c>
      <c r="E27" s="59">
        <v>1171502.5787903881</v>
      </c>
      <c r="F27" s="59"/>
      <c r="G27" s="59" t="s">
        <v>48</v>
      </c>
      <c r="H27" s="61">
        <v>769548.47069159022</v>
      </c>
      <c r="I27" s="61">
        <v>769548.47086791217</v>
      </c>
      <c r="J27" s="59"/>
      <c r="K27" s="59" t="s">
        <v>140</v>
      </c>
      <c r="L27" s="59">
        <v>54535.346570979396</v>
      </c>
      <c r="M27" s="59">
        <v>54535.346570979396</v>
      </c>
      <c r="N27" s="59"/>
      <c r="O27" s="59" t="s">
        <v>140</v>
      </c>
      <c r="P27" s="59">
        <v>70587.415680143968</v>
      </c>
      <c r="Q27" s="59">
        <v>70587.415680143968</v>
      </c>
      <c r="S27" t="s">
        <v>140</v>
      </c>
      <c r="T27" s="59">
        <v>135864.28523163821</v>
      </c>
      <c r="U27" s="59">
        <v>135864.28523163821</v>
      </c>
      <c r="V27" s="59"/>
      <c r="W27" s="59" t="s">
        <v>140</v>
      </c>
      <c r="X27" s="68">
        <v>742912.52386663074</v>
      </c>
      <c r="Y27" t="s">
        <v>48</v>
      </c>
      <c r="Z27" s="59">
        <v>117902.3939464974</v>
      </c>
      <c r="AA27" s="59">
        <v>117902.3939464974</v>
      </c>
      <c r="AB27" s="59">
        <v>126192.07096925784</v>
      </c>
      <c r="AC27" s="59">
        <v>126192.07096925784</v>
      </c>
      <c r="AD27" s="68"/>
      <c r="AE27" t="s">
        <v>48</v>
      </c>
      <c r="AG27" s="7">
        <f>+D27+E27+H27+I27+L27+M27+P27+Q27+T27+U27+X27+Z27+AA27+AB27+AC27</f>
        <v>10662029.918340402</v>
      </c>
      <c r="AH27" s="54">
        <v>4834518.2222579373</v>
      </c>
      <c r="AJ27" s="7">
        <f t="shared" si="1"/>
        <v>15496548.140598338</v>
      </c>
    </row>
    <row r="28" spans="3:36" x14ac:dyDescent="0.3">
      <c r="C28" t="s">
        <v>49</v>
      </c>
      <c r="D28" s="59">
        <v>160996.20122705339</v>
      </c>
      <c r="E28" s="59">
        <v>30428.632999840662</v>
      </c>
      <c r="F28" s="59"/>
      <c r="G28" s="59" t="s">
        <v>49</v>
      </c>
      <c r="H28" s="61">
        <v>40612.82152068818</v>
      </c>
      <c r="I28" s="61">
        <v>40612.821529993547</v>
      </c>
      <c r="J28" s="59"/>
      <c r="K28" s="59"/>
      <c r="L28" s="59"/>
      <c r="M28" s="59"/>
      <c r="N28" s="59"/>
      <c r="O28" s="59"/>
      <c r="P28" s="59"/>
      <c r="Q28" s="59"/>
      <c r="V28" s="59"/>
      <c r="W28" s="59"/>
      <c r="Z28" s="59"/>
      <c r="AA28" s="68"/>
      <c r="AB28" s="68"/>
      <c r="AC28" s="68"/>
      <c r="AD28" s="68"/>
      <c r="AE28" t="s">
        <v>49</v>
      </c>
      <c r="AG28" s="7">
        <f t="shared" ref="AG28:AG54" si="3">+D28+E28+H28+I28+L28+M28+P28+Q28+T28+U28+X28</f>
        <v>272650.47727757576</v>
      </c>
      <c r="AH28" s="54">
        <v>97142.398780242991</v>
      </c>
      <c r="AJ28" s="7">
        <f t="shared" si="1"/>
        <v>369792.87605781876</v>
      </c>
    </row>
    <row r="29" spans="3:36" x14ac:dyDescent="0.3">
      <c r="C29" t="s">
        <v>50</v>
      </c>
      <c r="D29" s="59">
        <v>1965495.5540215445</v>
      </c>
      <c r="E29" s="59">
        <v>371482.94444409665</v>
      </c>
      <c r="F29" s="59"/>
      <c r="G29" s="59" t="s">
        <v>50</v>
      </c>
      <c r="H29" s="61">
        <v>366245.90849656239</v>
      </c>
      <c r="I29" s="61">
        <v>366245.90858047805</v>
      </c>
      <c r="J29" s="59"/>
      <c r="K29" s="59" t="s">
        <v>155</v>
      </c>
      <c r="L29" s="59">
        <v>25609.480328278027</v>
      </c>
      <c r="M29" s="59">
        <v>25609.480328278027</v>
      </c>
      <c r="N29" s="59"/>
      <c r="O29" s="59"/>
      <c r="P29" s="59"/>
      <c r="Q29" s="59"/>
      <c r="S29" t="s">
        <v>155</v>
      </c>
      <c r="T29" s="59">
        <v>63801.075059211944</v>
      </c>
      <c r="U29" s="59">
        <v>63801.075059211944</v>
      </c>
      <c r="V29" s="59"/>
      <c r="W29" s="59" t="s">
        <v>155</v>
      </c>
      <c r="X29" s="68">
        <v>348867.38348369102</v>
      </c>
      <c r="Y29" s="68"/>
      <c r="Z29" s="68"/>
      <c r="AA29" s="68"/>
      <c r="AB29" s="68"/>
      <c r="AC29" s="68"/>
      <c r="AD29" s="68"/>
      <c r="AE29" t="s">
        <v>50</v>
      </c>
      <c r="AG29" s="7">
        <f t="shared" si="3"/>
        <v>3597158.8098013531</v>
      </c>
      <c r="AH29" s="54">
        <v>1370355.7926125615</v>
      </c>
      <c r="AJ29" s="7">
        <f t="shared" si="1"/>
        <v>4967514.6024139151</v>
      </c>
    </row>
    <row r="30" spans="3:36" x14ac:dyDescent="0.3">
      <c r="C30" t="s">
        <v>51</v>
      </c>
      <c r="D30" s="59">
        <v>1291803.0757438564</v>
      </c>
      <c r="E30" s="59">
        <v>244153.59741587489</v>
      </c>
      <c r="F30" s="59"/>
      <c r="G30" s="59" t="s">
        <v>51</v>
      </c>
      <c r="H30" s="61">
        <v>175532.66095838996</v>
      </c>
      <c r="I30" s="61">
        <v>175532.66099860868</v>
      </c>
      <c r="J30" s="59"/>
      <c r="K30" s="59" t="s">
        <v>158</v>
      </c>
      <c r="L30" s="59">
        <v>12177.540661422656</v>
      </c>
      <c r="M30" s="59">
        <v>12177.540661422656</v>
      </c>
      <c r="N30" s="59"/>
      <c r="O30" s="59" t="s">
        <v>158</v>
      </c>
      <c r="P30" s="59">
        <v>15761.908169244429</v>
      </c>
      <c r="Q30" s="59">
        <v>15761.908169244429</v>
      </c>
      <c r="S30" t="s">
        <v>158</v>
      </c>
      <c r="T30" s="59">
        <v>55315.65149180447</v>
      </c>
      <c r="U30" s="59">
        <v>55315.65149180447</v>
      </c>
      <c r="V30" s="59"/>
      <c r="W30" s="59" t="s">
        <v>158</v>
      </c>
      <c r="X30" s="68">
        <v>165889.61171249326</v>
      </c>
      <c r="Y30" s="68"/>
      <c r="Z30" s="68"/>
      <c r="AA30" s="68"/>
      <c r="AB30" s="68"/>
      <c r="AC30" s="68"/>
      <c r="AD30" s="68"/>
      <c r="AE30" t="s">
        <v>51</v>
      </c>
      <c r="AG30" s="7">
        <f t="shared" si="3"/>
        <v>2219421.8074741666</v>
      </c>
      <c r="AH30" s="54">
        <v>856191.90219621337</v>
      </c>
      <c r="AJ30" s="7">
        <f t="shared" si="1"/>
        <v>3075613.7096703798</v>
      </c>
    </row>
    <row r="31" spans="3:36" x14ac:dyDescent="0.3">
      <c r="C31" t="s">
        <v>52</v>
      </c>
      <c r="D31" s="59">
        <v>137760.66149528898</v>
      </c>
      <c r="E31" s="59">
        <v>26037.065337607717</v>
      </c>
      <c r="F31" s="59"/>
      <c r="G31" s="59" t="s">
        <v>52</v>
      </c>
      <c r="H31" s="61">
        <v>21822.543050402452</v>
      </c>
      <c r="I31" s="61">
        <v>21822.543055402519</v>
      </c>
      <c r="J31" s="59"/>
      <c r="K31" s="59"/>
      <c r="L31" s="59"/>
      <c r="M31" s="59"/>
      <c r="N31" s="59"/>
      <c r="O31" s="59"/>
      <c r="P31" s="59"/>
      <c r="Q31" s="59"/>
      <c r="V31" s="59"/>
      <c r="W31" s="59"/>
      <c r="Z31" s="59"/>
      <c r="AA31" s="68"/>
      <c r="AB31" s="68"/>
      <c r="AC31" s="68"/>
      <c r="AD31" s="68"/>
      <c r="AE31" t="s">
        <v>52</v>
      </c>
      <c r="AG31" s="7">
        <f t="shared" si="3"/>
        <v>207442.81293870168</v>
      </c>
      <c r="AH31" s="54">
        <v>83122.465084329466</v>
      </c>
      <c r="AJ31" s="7">
        <f t="shared" si="1"/>
        <v>290565.27802303113</v>
      </c>
    </row>
    <row r="32" spans="3:36" x14ac:dyDescent="0.3">
      <c r="C32" t="s">
        <v>53</v>
      </c>
      <c r="D32" s="59">
        <v>492571.78633741837</v>
      </c>
      <c r="E32" s="59">
        <v>93097.141412667319</v>
      </c>
      <c r="F32" s="59"/>
      <c r="G32" s="59" t="s">
        <v>53</v>
      </c>
      <c r="H32" s="61">
        <v>210500.96562647028</v>
      </c>
      <c r="I32" s="61">
        <v>210500.96567470109</v>
      </c>
      <c r="J32" s="59"/>
      <c r="K32" s="59" t="s">
        <v>160</v>
      </c>
      <c r="L32" s="59">
        <v>14742.308239006225</v>
      </c>
      <c r="M32" s="59">
        <v>14742.308239006225</v>
      </c>
      <c r="N32" s="59"/>
      <c r="O32" s="59" t="s">
        <v>160</v>
      </c>
      <c r="P32" s="59">
        <v>19081.595793970861</v>
      </c>
      <c r="Q32" s="59">
        <v>19081.595793970861</v>
      </c>
      <c r="S32" t="s">
        <v>160</v>
      </c>
      <c r="T32" s="59">
        <v>55315.65149180447</v>
      </c>
      <c r="U32" s="59">
        <v>55315.65149180447</v>
      </c>
      <c r="V32" s="59"/>
      <c r="W32" s="59" t="s">
        <v>160</v>
      </c>
      <c r="X32" s="68">
        <v>200828.38214304295</v>
      </c>
      <c r="Y32" s="68"/>
      <c r="Z32" s="68"/>
      <c r="AA32" s="68"/>
      <c r="AB32" s="68"/>
      <c r="AC32" s="68"/>
      <c r="AD32" s="68"/>
      <c r="AE32" t="s">
        <v>53</v>
      </c>
      <c r="AG32" s="7">
        <f t="shared" si="3"/>
        <v>1385778.3522438633</v>
      </c>
      <c r="AH32" s="54">
        <v>388610.53841098235</v>
      </c>
      <c r="AJ32" s="7">
        <f t="shared" si="1"/>
        <v>1774388.8906548456</v>
      </c>
    </row>
    <row r="33" spans="3:36" x14ac:dyDescent="0.3">
      <c r="C33" t="s">
        <v>54</v>
      </c>
      <c r="D33" s="59">
        <v>137760.66149528898</v>
      </c>
      <c r="E33" s="59">
        <v>26037.065337607717</v>
      </c>
      <c r="F33" s="59"/>
      <c r="G33" s="59" t="s">
        <v>54</v>
      </c>
      <c r="H33" s="61">
        <v>21822.543050402452</v>
      </c>
      <c r="I33" s="61">
        <v>21822.543055402519</v>
      </c>
      <c r="J33" s="59"/>
      <c r="K33" s="59"/>
      <c r="L33" s="59"/>
      <c r="M33" s="59"/>
      <c r="N33" s="59"/>
      <c r="O33" s="59"/>
      <c r="P33" s="59"/>
      <c r="Q33" s="59"/>
      <c r="V33" s="59"/>
      <c r="W33" s="59"/>
      <c r="Z33" s="59"/>
      <c r="AA33" s="68"/>
      <c r="AB33" s="68"/>
      <c r="AC33" s="68"/>
      <c r="AD33" s="68"/>
      <c r="AE33" t="s">
        <v>54</v>
      </c>
      <c r="AG33" s="7">
        <f t="shared" si="3"/>
        <v>207442.81293870168</v>
      </c>
      <c r="AH33" s="54">
        <v>83122.465084329466</v>
      </c>
      <c r="AJ33" s="7">
        <f t="shared" si="1"/>
        <v>290565.27802303113</v>
      </c>
    </row>
    <row r="34" spans="3:36" x14ac:dyDescent="0.3">
      <c r="C34" t="s">
        <v>55</v>
      </c>
      <c r="D34" s="59">
        <v>196453.72908601831</v>
      </c>
      <c r="E34" s="59">
        <v>37130.183061760821</v>
      </c>
      <c r="F34" s="59"/>
      <c r="G34" s="59" t="s">
        <v>55</v>
      </c>
      <c r="H34" s="61">
        <v>49198.407293851385</v>
      </c>
      <c r="I34" s="61">
        <v>49198.40730512391</v>
      </c>
      <c r="J34" s="59"/>
      <c r="K34" s="59" t="s">
        <v>161</v>
      </c>
      <c r="L34" s="59">
        <v>3399.2057462562511</v>
      </c>
      <c r="M34" s="59">
        <v>3399.2057462562511</v>
      </c>
      <c r="N34" s="59"/>
      <c r="O34" s="59" t="s">
        <v>161</v>
      </c>
      <c r="P34" s="59">
        <v>4399.7363926354319</v>
      </c>
      <c r="Q34" s="59">
        <v>4399.7363926354319</v>
      </c>
      <c r="S34" t="s">
        <v>161</v>
      </c>
      <c r="T34" s="59">
        <v>13828.912872951118</v>
      </c>
      <c r="U34" s="59">
        <v>13828.912872951118</v>
      </c>
      <c r="V34" s="59"/>
      <c r="W34" s="59" t="s">
        <v>161</v>
      </c>
      <c r="X34" s="68">
        <v>46305.977295045057</v>
      </c>
      <c r="Y34" s="68"/>
      <c r="Z34" s="68"/>
      <c r="AA34" s="68"/>
      <c r="AB34" s="68"/>
      <c r="AC34" s="68"/>
      <c r="AD34" s="68"/>
      <c r="AE34" t="s">
        <v>55</v>
      </c>
      <c r="AG34" s="7">
        <f t="shared" si="3"/>
        <v>421542.41406548506</v>
      </c>
      <c r="AH34" s="54">
        <v>139611.65029561322</v>
      </c>
      <c r="AJ34" s="7">
        <f t="shared" si="1"/>
        <v>561154.06436109822</v>
      </c>
    </row>
    <row r="35" spans="3:36" x14ac:dyDescent="0.3">
      <c r="C35" t="s">
        <v>56</v>
      </c>
      <c r="D35" s="59">
        <v>171537.64704467289</v>
      </c>
      <c r="E35" s="59">
        <v>32420.989239474402</v>
      </c>
      <c r="F35" s="59"/>
      <c r="G35" s="59" t="s">
        <v>56</v>
      </c>
      <c r="H35" s="61">
        <v>61298.068028416827</v>
      </c>
      <c r="I35" s="61">
        <v>61298.06804246168</v>
      </c>
      <c r="J35" s="59"/>
      <c r="K35" s="59" t="s">
        <v>164</v>
      </c>
      <c r="L35" s="59">
        <v>4168.5982022565113</v>
      </c>
      <c r="M35" s="59">
        <v>4168.5982022565113</v>
      </c>
      <c r="N35" s="59"/>
      <c r="O35" s="59" t="s">
        <v>164</v>
      </c>
      <c r="P35" s="59">
        <v>5395.5937315481297</v>
      </c>
      <c r="Q35" s="59">
        <v>5395.5937315481297</v>
      </c>
      <c r="S35" t="s">
        <v>164</v>
      </c>
      <c r="T35" s="59">
        <v>13828.912872951118</v>
      </c>
      <c r="U35" s="59">
        <v>13828.912872951118</v>
      </c>
      <c r="V35" s="59"/>
      <c r="W35" s="59" t="s">
        <v>164</v>
      </c>
      <c r="X35" s="68">
        <v>56787.093255079446</v>
      </c>
      <c r="Y35" s="68"/>
      <c r="Z35" s="68"/>
      <c r="AA35" s="68"/>
      <c r="AB35" s="68"/>
      <c r="AC35" s="68"/>
      <c r="AD35" s="68"/>
      <c r="AE35" t="s">
        <v>56</v>
      </c>
      <c r="AG35" s="7">
        <f t="shared" si="3"/>
        <v>430128.07522361673</v>
      </c>
      <c r="AH35" s="54">
        <v>129347.8710200832</v>
      </c>
      <c r="AJ35" s="7">
        <f t="shared" si="1"/>
        <v>559475.94624369987</v>
      </c>
    </row>
    <row r="36" spans="3:36" x14ac:dyDescent="0.3">
      <c r="C36" t="s">
        <v>57</v>
      </c>
      <c r="D36" s="59">
        <v>654526.38848649454</v>
      </c>
      <c r="E36" s="59">
        <v>123706.91427606173</v>
      </c>
      <c r="F36" s="59"/>
      <c r="G36" s="59" t="s">
        <v>57</v>
      </c>
      <c r="H36" s="61">
        <v>114157.19637943221</v>
      </c>
      <c r="I36" s="61">
        <v>114157.19640558834</v>
      </c>
      <c r="J36" s="59"/>
      <c r="K36" s="59" t="s">
        <v>165</v>
      </c>
      <c r="L36" s="59">
        <v>7870.3421469891473</v>
      </c>
      <c r="M36" s="59">
        <v>7870.3421469891473</v>
      </c>
      <c r="N36" s="59"/>
      <c r="O36" s="59" t="s">
        <v>165</v>
      </c>
      <c r="P36" s="59">
        <v>10186.918166026844</v>
      </c>
      <c r="Q36" s="59">
        <v>10186.918166026844</v>
      </c>
      <c r="S36" t="s">
        <v>165</v>
      </c>
      <c r="T36" s="59">
        <v>27657.825745902235</v>
      </c>
      <c r="U36" s="59">
        <v>27657.825745902235</v>
      </c>
      <c r="V36" s="59"/>
      <c r="W36" s="59" t="s">
        <v>165</v>
      </c>
      <c r="X36" s="68">
        <v>107214.4235941292</v>
      </c>
      <c r="Y36" s="68"/>
      <c r="Z36" s="68"/>
      <c r="AA36" s="68"/>
      <c r="AB36" s="68"/>
      <c r="AC36" s="68"/>
      <c r="AD36" s="68"/>
      <c r="AE36" t="s">
        <v>57</v>
      </c>
      <c r="AG36" s="7">
        <f t="shared" si="3"/>
        <v>1205192.2912595426</v>
      </c>
      <c r="AH36" s="54">
        <v>451603.00042360835</v>
      </c>
      <c r="AJ36" s="7">
        <f t="shared" si="1"/>
        <v>1656795.2916831509</v>
      </c>
    </row>
    <row r="37" spans="3:36" x14ac:dyDescent="0.3">
      <c r="C37" t="s">
        <v>58</v>
      </c>
      <c r="D37" s="59">
        <v>181120.69194026967</v>
      </c>
      <c r="E37" s="59">
        <v>34232.205615554405</v>
      </c>
      <c r="F37" s="59"/>
      <c r="G37" s="59" t="s">
        <v>58</v>
      </c>
      <c r="H37" s="61">
        <v>58963.951004208764</v>
      </c>
      <c r="I37" s="61">
        <v>58963.951017718813</v>
      </c>
      <c r="J37" s="59"/>
      <c r="K37" s="59"/>
      <c r="L37" s="59"/>
      <c r="M37" s="59"/>
      <c r="N37" s="59"/>
      <c r="O37" s="59"/>
      <c r="P37" s="59"/>
      <c r="Q37" s="59"/>
      <c r="V37" s="59"/>
      <c r="W37" s="59"/>
      <c r="Z37" s="59"/>
      <c r="AA37" s="68"/>
      <c r="AB37" s="68"/>
      <c r="AC37" s="68"/>
      <c r="AD37" s="68"/>
      <c r="AE37" t="s">
        <v>58</v>
      </c>
      <c r="AG37" s="7">
        <f t="shared" si="3"/>
        <v>333280.79957775166</v>
      </c>
      <c r="AH37" s="54">
        <v>109285.17784715709</v>
      </c>
      <c r="AJ37" s="7">
        <f t="shared" si="1"/>
        <v>442565.97742490878</v>
      </c>
    </row>
    <row r="38" spans="3:36" x14ac:dyDescent="0.3">
      <c r="C38" t="s">
        <v>59</v>
      </c>
      <c r="D38" s="59">
        <v>137760.66149528898</v>
      </c>
      <c r="E38" s="59">
        <v>26037.065337607717</v>
      </c>
      <c r="F38" s="59"/>
      <c r="G38" s="59" t="s">
        <v>59</v>
      </c>
      <c r="H38" s="61">
        <v>33624.048790264176</v>
      </c>
      <c r="I38" s="61">
        <v>33624.048797968244</v>
      </c>
      <c r="J38" s="59"/>
      <c r="K38" s="59"/>
      <c r="L38" s="59"/>
      <c r="M38" s="59"/>
      <c r="N38" s="59"/>
      <c r="O38" s="59"/>
      <c r="P38" s="59"/>
      <c r="Q38" s="59"/>
      <c r="V38" s="59"/>
      <c r="W38" s="59"/>
      <c r="Z38" s="59"/>
      <c r="AA38" s="68"/>
      <c r="AB38" s="68"/>
      <c r="AC38" s="68"/>
      <c r="AD38" s="68"/>
      <c r="AE38" t="s">
        <v>59</v>
      </c>
      <c r="AG38" s="7">
        <f t="shared" si="3"/>
        <v>231045.82442112913</v>
      </c>
      <c r="AH38" s="54">
        <v>83122.465084329466</v>
      </c>
      <c r="AJ38" s="7">
        <f t="shared" si="1"/>
        <v>314168.28950545861</v>
      </c>
    </row>
    <row r="39" spans="3:36" x14ac:dyDescent="0.3">
      <c r="C39" t="s">
        <v>60</v>
      </c>
      <c r="D39" s="59">
        <v>1334927.1221756956</v>
      </c>
      <c r="E39" s="59">
        <v>252304.13620089824</v>
      </c>
      <c r="F39" s="59"/>
      <c r="G39" s="59" t="s">
        <v>60</v>
      </c>
      <c r="H39" s="61">
        <v>284702.53224770218</v>
      </c>
      <c r="I39" s="61">
        <v>284702.53231293435</v>
      </c>
      <c r="J39" s="59"/>
      <c r="K39" s="59" t="s">
        <v>167</v>
      </c>
      <c r="L39" s="59">
        <v>20411.495905705611</v>
      </c>
      <c r="M39" s="59">
        <v>20411.495905705611</v>
      </c>
      <c r="N39" s="59"/>
      <c r="O39" s="59" t="s">
        <v>167</v>
      </c>
      <c r="P39" s="59">
        <v>26419.466213061671</v>
      </c>
      <c r="Q39" s="59">
        <v>26419.466213061671</v>
      </c>
      <c r="S39" t="s">
        <v>167</v>
      </c>
      <c r="T39" s="59">
        <v>50851.300598737515</v>
      </c>
      <c r="U39" s="59">
        <v>50851.300598737515</v>
      </c>
      <c r="V39" s="59"/>
      <c r="W39" s="59" t="s">
        <v>167</v>
      </c>
      <c r="X39" s="68">
        <v>278057.38649638556</v>
      </c>
      <c r="Y39" s="68"/>
      <c r="Z39" s="68"/>
      <c r="AA39" s="68"/>
      <c r="AB39" s="68"/>
      <c r="AC39" s="68"/>
      <c r="AD39" s="68"/>
      <c r="AE39" t="s">
        <v>60</v>
      </c>
      <c r="AG39" s="7">
        <f t="shared" si="3"/>
        <v>2630058.2348686252</v>
      </c>
      <c r="AH39" s="54">
        <v>932022.03751631745</v>
      </c>
      <c r="AJ39" s="7">
        <f t="shared" si="1"/>
        <v>3562080.2723849425</v>
      </c>
    </row>
    <row r="40" spans="3:36" x14ac:dyDescent="0.3">
      <c r="C40" t="s">
        <v>61</v>
      </c>
      <c r="D40" s="59">
        <v>2171532.4657638208</v>
      </c>
      <c r="E40" s="59">
        <v>410424.36991900275</v>
      </c>
      <c r="F40" s="59"/>
      <c r="G40" s="59" t="s">
        <v>61</v>
      </c>
      <c r="H40" s="61">
        <v>741002.72188418719</v>
      </c>
      <c r="I40" s="61">
        <v>741002.72205396858</v>
      </c>
      <c r="J40" s="59"/>
      <c r="K40" s="59"/>
      <c r="L40" s="59"/>
      <c r="M40" s="59"/>
      <c r="N40" s="59"/>
      <c r="O40" s="59"/>
      <c r="P40" s="59"/>
      <c r="Q40" s="59"/>
      <c r="V40" s="59"/>
      <c r="W40" s="59"/>
      <c r="Z40" s="59"/>
      <c r="AA40" s="68"/>
      <c r="AB40" s="68"/>
      <c r="AC40" s="68"/>
      <c r="AD40" s="68"/>
      <c r="AE40" t="s">
        <v>61</v>
      </c>
      <c r="AG40" s="7">
        <f t="shared" si="3"/>
        <v>4063962.279620979</v>
      </c>
      <c r="AH40" s="54">
        <v>1310266.1500439572</v>
      </c>
      <c r="AJ40" s="7">
        <f t="shared" si="1"/>
        <v>5374228.4296649359</v>
      </c>
    </row>
    <row r="41" spans="3:36" x14ac:dyDescent="0.3">
      <c r="C41" t="s">
        <v>62</v>
      </c>
      <c r="D41" s="59">
        <v>947769.51849314931</v>
      </c>
      <c r="E41" s="59">
        <v>179130.50511043766</v>
      </c>
      <c r="F41" s="59"/>
      <c r="G41" s="59" t="s">
        <v>62</v>
      </c>
      <c r="H41" s="61">
        <v>116111.11982203569</v>
      </c>
      <c r="I41" s="61">
        <v>116111.11984863953</v>
      </c>
      <c r="J41" s="59"/>
      <c r="K41" s="59" t="s">
        <v>168</v>
      </c>
      <c r="L41" s="59">
        <v>8137.3321071445616</v>
      </c>
      <c r="M41" s="59">
        <v>8137.3321071445616</v>
      </c>
      <c r="N41" s="59"/>
      <c r="O41" s="59" t="s">
        <v>168</v>
      </c>
      <c r="P41" s="59">
        <v>10532.494612953542</v>
      </c>
      <c r="Q41" s="59">
        <v>10532.494612953542</v>
      </c>
      <c r="S41" t="s">
        <v>168</v>
      </c>
      <c r="T41" s="59">
        <v>27657.825745902242</v>
      </c>
      <c r="U41" s="59">
        <v>27657.825745902242</v>
      </c>
      <c r="V41" s="59"/>
      <c r="W41" s="59" t="s">
        <v>168</v>
      </c>
      <c r="X41" s="68">
        <v>110851.51765546332</v>
      </c>
      <c r="Y41" s="68"/>
      <c r="Z41" s="68"/>
      <c r="AA41" s="68"/>
      <c r="AB41" s="68"/>
      <c r="AC41" s="68"/>
      <c r="AD41" s="68"/>
      <c r="AE41" t="s">
        <v>62</v>
      </c>
      <c r="AG41" s="7">
        <f t="shared" si="3"/>
        <v>1562629.0858617267</v>
      </c>
      <c r="AH41" s="54">
        <v>622318.92099990777</v>
      </c>
      <c r="AJ41" s="7">
        <f t="shared" si="1"/>
        <v>2184948.0068616346</v>
      </c>
    </row>
    <row r="42" spans="3:36" x14ac:dyDescent="0.3">
      <c r="C42" t="s">
        <v>63</v>
      </c>
      <c r="D42" s="59">
        <v>577861.47827907419</v>
      </c>
      <c r="E42" s="59">
        <v>109217.07911916032</v>
      </c>
      <c r="F42" s="59"/>
      <c r="G42" s="59" t="s">
        <v>63</v>
      </c>
      <c r="H42" s="61">
        <v>192531.3875587743</v>
      </c>
      <c r="I42" s="61">
        <v>192531.38760288784</v>
      </c>
      <c r="J42" s="59"/>
      <c r="K42" s="59"/>
      <c r="L42" s="59"/>
      <c r="M42" s="59"/>
      <c r="N42" s="59"/>
      <c r="O42" s="59"/>
      <c r="P42" s="59"/>
      <c r="Q42" s="59"/>
      <c r="V42" s="59"/>
      <c r="W42" s="59"/>
      <c r="Z42" s="59"/>
      <c r="AA42" s="68"/>
      <c r="AB42" s="68"/>
      <c r="AC42" s="68"/>
      <c r="AD42" s="68"/>
      <c r="AE42" t="s">
        <v>63</v>
      </c>
      <c r="AG42" s="7">
        <f t="shared" si="3"/>
        <v>1072141.3325598966</v>
      </c>
      <c r="AH42" s="54">
        <v>348671.89247253997</v>
      </c>
      <c r="AJ42" s="7">
        <f t="shared" si="1"/>
        <v>1420813.2250324367</v>
      </c>
    </row>
    <row r="43" spans="3:36" x14ac:dyDescent="0.3">
      <c r="C43" t="s">
        <v>64</v>
      </c>
      <c r="D43" s="59">
        <v>2019161.0462710033</v>
      </c>
      <c r="E43" s="59">
        <v>381625.83946875378</v>
      </c>
      <c r="F43" s="59"/>
      <c r="G43" s="59" t="s">
        <v>64</v>
      </c>
      <c r="H43" s="61">
        <v>501472.61846798792</v>
      </c>
      <c r="I43" s="61">
        <v>501472.61858288728</v>
      </c>
      <c r="J43" s="59"/>
      <c r="K43" s="59" t="s">
        <v>169</v>
      </c>
      <c r="L43" s="59">
        <v>35411.81250209998</v>
      </c>
      <c r="M43" s="59">
        <v>35411.81250209998</v>
      </c>
      <c r="N43" s="59"/>
      <c r="O43" s="59" t="s">
        <v>169</v>
      </c>
      <c r="P43" s="59">
        <v>45835.013183966999</v>
      </c>
      <c r="Q43" s="59">
        <v>45835.013183966999</v>
      </c>
      <c r="S43" t="s">
        <v>169</v>
      </c>
      <c r="T43" s="59">
        <v>88221.692844523888</v>
      </c>
      <c r="U43" s="59">
        <v>88221.692844523888</v>
      </c>
      <c r="V43" s="59"/>
      <c r="W43" s="59" t="s">
        <v>169</v>
      </c>
      <c r="X43" s="68">
        <v>482400.51003226871</v>
      </c>
      <c r="Y43" s="68"/>
      <c r="Z43" s="68"/>
      <c r="AA43" s="68"/>
      <c r="AB43" s="68"/>
      <c r="AC43" s="68"/>
      <c r="AD43" s="68"/>
      <c r="AE43" t="s">
        <v>64</v>
      </c>
      <c r="AG43" s="7">
        <f t="shared" si="3"/>
        <v>4225069.6698840838</v>
      </c>
      <c r="AH43" s="54">
        <v>1679803.3496341303</v>
      </c>
      <c r="AJ43" s="7">
        <f t="shared" si="1"/>
        <v>5904873.0195182143</v>
      </c>
    </row>
    <row r="44" spans="3:36" x14ac:dyDescent="0.3">
      <c r="C44" t="s">
        <v>65</v>
      </c>
      <c r="D44" s="59">
        <v>3145176.3294596775</v>
      </c>
      <c r="E44" s="59">
        <v>594445.18267821532</v>
      </c>
      <c r="F44" s="59"/>
      <c r="G44" s="59" t="s">
        <v>65</v>
      </c>
      <c r="H44" s="61">
        <v>430999.66461492074</v>
      </c>
      <c r="I44" s="61">
        <v>430999.66471367306</v>
      </c>
      <c r="J44" s="59"/>
      <c r="K44" s="59" t="s">
        <v>173</v>
      </c>
      <c r="L44" s="59">
        <v>30782.69443585019</v>
      </c>
      <c r="M44" s="59">
        <v>30782.69443585019</v>
      </c>
      <c r="N44" s="59"/>
      <c r="O44" s="59" t="s">
        <v>173</v>
      </c>
      <c r="P44" s="59">
        <v>39843.34902997555</v>
      </c>
      <c r="Q44" s="59">
        <v>39843.34902997555</v>
      </c>
      <c r="S44" t="s">
        <v>173</v>
      </c>
      <c r="T44" s="59">
        <v>76689.139062999529</v>
      </c>
      <c r="U44" s="59">
        <v>76689.139062999529</v>
      </c>
      <c r="V44" s="59"/>
      <c r="W44" s="59" t="s">
        <v>173</v>
      </c>
      <c r="X44" s="68">
        <v>419339.94469051849</v>
      </c>
      <c r="Y44" s="68"/>
      <c r="Z44" s="68"/>
      <c r="AA44" s="68"/>
      <c r="AB44" s="68"/>
      <c r="AC44" s="68"/>
      <c r="AD44" s="68"/>
      <c r="AE44" t="s">
        <v>65</v>
      </c>
      <c r="AG44" s="7">
        <f t="shared" si="3"/>
        <v>5315591.1512146555</v>
      </c>
      <c r="AH44" s="54">
        <v>2119406.6231362368</v>
      </c>
      <c r="AJ44" s="7">
        <f t="shared" si="1"/>
        <v>7434997.7743508928</v>
      </c>
    </row>
    <row r="45" spans="3:36" x14ac:dyDescent="0.3">
      <c r="C45" t="s">
        <v>66</v>
      </c>
      <c r="D45" s="59">
        <v>615235.53246076161</v>
      </c>
      <c r="E45" s="59">
        <v>116280.85683405728</v>
      </c>
      <c r="F45" s="59"/>
      <c r="G45" s="59" t="s">
        <v>66</v>
      </c>
      <c r="H45" s="61">
        <v>153841.25929362923</v>
      </c>
      <c r="I45" s="61">
        <v>153841.25932887793</v>
      </c>
      <c r="J45" s="59"/>
      <c r="K45" s="59" t="s">
        <v>174</v>
      </c>
      <c r="L45" s="59">
        <v>11763.206680837357</v>
      </c>
      <c r="M45" s="59">
        <v>11763.206680837357</v>
      </c>
      <c r="N45" s="59"/>
      <c r="O45" s="59" t="s">
        <v>174</v>
      </c>
      <c r="P45" s="59">
        <v>13973.329788125235</v>
      </c>
      <c r="Q45" s="59">
        <v>13973.329788125235</v>
      </c>
      <c r="S45" t="s">
        <v>174</v>
      </c>
      <c r="T45" s="59">
        <v>55315.65149180447</v>
      </c>
      <c r="U45" s="59">
        <v>55315.65149180447</v>
      </c>
      <c r="V45" s="59"/>
      <c r="W45" s="59" t="s">
        <v>174</v>
      </c>
      <c r="X45" s="68">
        <v>147065.33168400193</v>
      </c>
      <c r="Y45" s="68"/>
      <c r="Z45" s="68"/>
      <c r="AA45" s="68"/>
      <c r="AB45" s="68"/>
      <c r="AC45" s="68"/>
      <c r="AD45" s="68"/>
      <c r="AE45" t="s">
        <v>66</v>
      </c>
      <c r="AG45" s="7">
        <f t="shared" si="3"/>
        <v>1348368.6155228619</v>
      </c>
      <c r="AH45" s="54">
        <v>456890.69646670541</v>
      </c>
      <c r="AJ45" s="7">
        <f t="shared" si="1"/>
        <v>1805259.3119895672</v>
      </c>
    </row>
    <row r="46" spans="3:36" x14ac:dyDescent="0.3">
      <c r="C46" t="s">
        <v>67</v>
      </c>
      <c r="D46" s="59">
        <v>172495.91020603411</v>
      </c>
      <c r="E46" s="59">
        <v>32602.103065962801</v>
      </c>
      <c r="F46" s="59"/>
      <c r="G46" s="59" t="s">
        <v>67</v>
      </c>
      <c r="H46" s="61">
        <v>55162.015188163074</v>
      </c>
      <c r="I46" s="61">
        <v>55162.015200802009</v>
      </c>
      <c r="J46" s="59"/>
      <c r="K46" s="59"/>
      <c r="L46" s="59"/>
      <c r="M46" s="59"/>
      <c r="N46" s="59"/>
      <c r="O46" s="59"/>
      <c r="P46" s="59"/>
      <c r="Q46" s="59"/>
      <c r="V46" s="59"/>
      <c r="W46" s="59"/>
      <c r="Z46" s="59"/>
      <c r="AA46" s="68"/>
      <c r="AB46" s="68"/>
      <c r="AC46" s="68"/>
      <c r="AD46" s="68"/>
      <c r="AE46" t="s">
        <v>67</v>
      </c>
      <c r="AG46" s="7">
        <f t="shared" si="3"/>
        <v>315422.04366096202</v>
      </c>
      <c r="AH46" s="54">
        <v>104081.12967562248</v>
      </c>
      <c r="AJ46" s="7">
        <f t="shared" si="1"/>
        <v>419503.17333658447</v>
      </c>
    </row>
    <row r="47" spans="3:36" x14ac:dyDescent="0.3">
      <c r="C47" t="s">
        <v>68</v>
      </c>
      <c r="D47" s="59">
        <v>892187.49992096808</v>
      </c>
      <c r="E47" s="59">
        <v>168625.38243280377</v>
      </c>
      <c r="F47" s="59"/>
      <c r="G47" s="59" t="s">
        <v>68</v>
      </c>
      <c r="H47" s="61">
        <v>148579.65169106598</v>
      </c>
      <c r="I47" s="61">
        <v>148579.65172510914</v>
      </c>
      <c r="J47" s="59"/>
      <c r="K47" s="59" t="s">
        <v>176</v>
      </c>
      <c r="L47" s="59">
        <v>11763.206680837357</v>
      </c>
      <c r="M47" s="59">
        <v>11763.206680837357</v>
      </c>
      <c r="N47" s="59"/>
      <c r="O47" s="59" t="s">
        <v>176</v>
      </c>
      <c r="P47" s="59">
        <v>13540.625001888407</v>
      </c>
      <c r="Q47" s="59">
        <v>13540.625001888407</v>
      </c>
      <c r="S47" t="s">
        <v>176</v>
      </c>
      <c r="T47" s="59">
        <v>55315.65149180447</v>
      </c>
      <c r="U47" s="59">
        <v>55315.65149180447</v>
      </c>
      <c r="V47" s="59"/>
      <c r="W47" s="59" t="s">
        <v>176</v>
      </c>
      <c r="X47" s="68">
        <v>142511.23657037676</v>
      </c>
      <c r="Y47" s="68"/>
      <c r="Z47" s="68"/>
      <c r="AA47" s="68"/>
      <c r="AB47" s="68"/>
      <c r="AC47" s="68"/>
      <c r="AD47" s="68"/>
      <c r="AE47" t="s">
        <v>68</v>
      </c>
      <c r="AG47" s="7">
        <f t="shared" si="3"/>
        <v>1661722.3886893846</v>
      </c>
      <c r="AH47" s="54">
        <v>623664.25046414102</v>
      </c>
      <c r="AJ47" s="7">
        <f t="shared" si="1"/>
        <v>2285386.6391535257</v>
      </c>
    </row>
    <row r="48" spans="3:36" x14ac:dyDescent="0.3">
      <c r="C48" t="s">
        <v>69</v>
      </c>
      <c r="D48" s="59">
        <v>165787.7925551825</v>
      </c>
      <c r="E48" s="59">
        <v>31334.25420641333</v>
      </c>
      <c r="F48" s="59"/>
      <c r="G48" s="59" t="s">
        <v>69</v>
      </c>
      <c r="H48" s="61">
        <v>62647.755243113039</v>
      </c>
      <c r="I48" s="61">
        <v>62647.755257467135</v>
      </c>
      <c r="J48" s="59"/>
      <c r="K48" s="59"/>
      <c r="L48" s="59"/>
      <c r="M48" s="59"/>
      <c r="N48" s="59"/>
      <c r="O48" s="59"/>
      <c r="P48" s="59"/>
      <c r="Q48" s="59"/>
      <c r="V48" s="59"/>
      <c r="W48" s="59"/>
      <c r="Z48" s="59"/>
      <c r="AA48" s="68"/>
      <c r="AB48" s="68"/>
      <c r="AC48" s="68"/>
      <c r="AD48" s="68"/>
      <c r="AE48" t="s">
        <v>69</v>
      </c>
      <c r="AG48" s="7">
        <f t="shared" si="3"/>
        <v>322417.55726217601</v>
      </c>
      <c r="AH48" s="54">
        <v>100033.56436080614</v>
      </c>
      <c r="AJ48" s="7">
        <f t="shared" si="1"/>
        <v>422451.12162298214</v>
      </c>
    </row>
    <row r="49" spans="3:36" x14ac:dyDescent="0.3">
      <c r="C49" t="s">
        <v>70</v>
      </c>
      <c r="D49" s="59">
        <v>792523.03399492486</v>
      </c>
      <c r="E49" s="59">
        <v>149788.58110659276</v>
      </c>
      <c r="F49" s="59"/>
      <c r="G49" s="59" t="s">
        <v>70</v>
      </c>
      <c r="H49" s="61">
        <v>231199.7904763991</v>
      </c>
      <c r="I49" s="61">
        <v>231199.79052937252</v>
      </c>
      <c r="J49" s="59"/>
      <c r="K49" s="59" t="s">
        <v>178</v>
      </c>
      <c r="L49" s="59">
        <v>15914.171042167103</v>
      </c>
      <c r="M49" s="59">
        <v>15914.171042167103</v>
      </c>
      <c r="N49" s="59"/>
      <c r="O49" s="59" t="s">
        <v>178</v>
      </c>
      <c r="P49" s="59">
        <v>20598.3875997982</v>
      </c>
      <c r="Q49" s="59">
        <v>20598.3875997982</v>
      </c>
      <c r="S49" t="s">
        <v>178</v>
      </c>
      <c r="T49" s="59">
        <v>55315.65149180447</v>
      </c>
      <c r="U49" s="59">
        <v>55315.65149180447</v>
      </c>
      <c r="V49" s="59"/>
      <c r="W49" s="59" t="s">
        <v>178</v>
      </c>
      <c r="X49" s="68">
        <v>216792.18557442981</v>
      </c>
      <c r="Y49" s="68"/>
      <c r="Z49" s="68"/>
      <c r="AA49" s="68"/>
      <c r="AB49" s="68"/>
      <c r="AC49" s="68"/>
      <c r="AD49" s="68"/>
      <c r="AE49" t="s">
        <v>70</v>
      </c>
      <c r="AG49" s="7">
        <f t="shared" si="3"/>
        <v>1805159.8019492587</v>
      </c>
      <c r="AH49" s="54">
        <v>576861.52007699385</v>
      </c>
      <c r="AJ49" s="7">
        <f t="shared" si="1"/>
        <v>2382021.3220262527</v>
      </c>
    </row>
    <row r="50" spans="3:36" x14ac:dyDescent="0.3">
      <c r="C50" t="s">
        <v>71</v>
      </c>
      <c r="D50" s="59">
        <v>4836594.9810264222</v>
      </c>
      <c r="E50" s="59">
        <v>914126.99507716135</v>
      </c>
      <c r="F50" s="59"/>
      <c r="G50" s="59" t="s">
        <v>71</v>
      </c>
      <c r="H50" s="61">
        <v>1128244.8209248618</v>
      </c>
      <c r="I50" s="61">
        <v>1128244.8211833697</v>
      </c>
      <c r="J50" s="59"/>
      <c r="K50" s="59"/>
      <c r="L50" s="59"/>
      <c r="M50" s="59"/>
      <c r="N50" s="59"/>
      <c r="O50" s="59"/>
      <c r="P50" s="59"/>
      <c r="Q50" s="59"/>
      <c r="V50" s="59"/>
      <c r="W50" s="59"/>
      <c r="Z50" s="59"/>
      <c r="AA50" s="68"/>
      <c r="AB50" s="68"/>
      <c r="AC50" s="68"/>
      <c r="AD50" s="68"/>
      <c r="AE50" t="s">
        <v>71</v>
      </c>
      <c r="AG50" s="7">
        <f t="shared" si="3"/>
        <v>8007211.6182118142</v>
      </c>
      <c r="AH50" s="54">
        <v>2918320.0274568968</v>
      </c>
      <c r="AJ50" s="7">
        <f t="shared" si="1"/>
        <v>10925531.645668712</v>
      </c>
    </row>
    <row r="51" spans="3:36" x14ac:dyDescent="0.3">
      <c r="C51" t="s">
        <v>72</v>
      </c>
      <c r="D51" s="59">
        <v>137760.66149528898</v>
      </c>
      <c r="E51" s="59">
        <v>26037.065337607717</v>
      </c>
      <c r="F51" s="59"/>
      <c r="G51" s="59" t="s">
        <v>72</v>
      </c>
      <c r="H51" s="61">
        <v>24753.317830897544</v>
      </c>
      <c r="I51" s="61">
        <v>24753.31783656912</v>
      </c>
      <c r="J51" s="59"/>
      <c r="K51" s="59"/>
      <c r="L51" s="59"/>
      <c r="M51" s="59"/>
      <c r="N51" s="59"/>
      <c r="O51" s="59"/>
      <c r="P51" s="59"/>
      <c r="Q51" s="59"/>
      <c r="V51" s="59"/>
      <c r="W51" s="59"/>
      <c r="Z51" s="59"/>
      <c r="AA51" s="68"/>
      <c r="AB51" s="68"/>
      <c r="AC51" s="68"/>
      <c r="AD51" s="68"/>
      <c r="AE51" t="s">
        <v>72</v>
      </c>
      <c r="AG51" s="7">
        <f t="shared" si="3"/>
        <v>213304.36250036338</v>
      </c>
      <c r="AH51" s="54">
        <v>83122.465084329466</v>
      </c>
      <c r="AJ51" s="7">
        <f t="shared" si="1"/>
        <v>296426.82758469286</v>
      </c>
    </row>
    <row r="52" spans="3:36" x14ac:dyDescent="0.3">
      <c r="C52" t="s">
        <v>73</v>
      </c>
      <c r="D52" s="59">
        <v>1615712.142281347</v>
      </c>
      <c r="E52" s="59">
        <v>305373.11710559833</v>
      </c>
      <c r="F52" s="59"/>
      <c r="G52" s="59" t="s">
        <v>73</v>
      </c>
      <c r="H52" s="61">
        <v>414526.41985768278</v>
      </c>
      <c r="I52" s="61">
        <v>414526.41995266068</v>
      </c>
      <c r="J52" s="59"/>
      <c r="K52" s="59" t="s">
        <v>184</v>
      </c>
      <c r="L52" s="59">
        <v>29587.384922307396</v>
      </c>
      <c r="M52" s="59">
        <v>29587.384922307396</v>
      </c>
      <c r="N52" s="59"/>
      <c r="O52" s="59" t="s">
        <v>184</v>
      </c>
      <c r="P52" s="59">
        <v>38296.20915090535</v>
      </c>
      <c r="Q52" s="59">
        <v>38296.20915090535</v>
      </c>
      <c r="S52" t="s">
        <v>184</v>
      </c>
      <c r="T52" s="59">
        <v>73711.256223716526</v>
      </c>
      <c r="U52" s="59">
        <v>73711.256223716526</v>
      </c>
      <c r="V52" s="59"/>
      <c r="W52" s="59" t="s">
        <v>184</v>
      </c>
      <c r="X52" s="68">
        <v>403056.73639822117</v>
      </c>
      <c r="Y52" s="68"/>
      <c r="Z52" s="68"/>
      <c r="AA52" s="68"/>
      <c r="AB52" s="68"/>
      <c r="AC52" s="68"/>
      <c r="AD52" s="68"/>
      <c r="AE52" t="s">
        <v>73</v>
      </c>
      <c r="AG52" s="7">
        <f t="shared" si="3"/>
        <v>3436384.536189368</v>
      </c>
      <c r="AH52" s="54">
        <v>1088269.2812308436</v>
      </c>
      <c r="AJ52" s="7">
        <f t="shared" si="1"/>
        <v>4524653.8174202116</v>
      </c>
    </row>
    <row r="53" spans="3:36" x14ac:dyDescent="0.3">
      <c r="C53" t="s">
        <v>74</v>
      </c>
      <c r="D53" s="59">
        <v>553903.65939908999</v>
      </c>
      <c r="E53" s="59">
        <v>104688.9991233623</v>
      </c>
      <c r="F53" s="59"/>
      <c r="G53" s="59" t="s">
        <v>74</v>
      </c>
      <c r="H53" s="61">
        <v>123349.73404894272</v>
      </c>
      <c r="I53" s="61">
        <v>123349.73407720508</v>
      </c>
      <c r="J53" s="59"/>
      <c r="K53" s="59" t="s">
        <v>185</v>
      </c>
      <c r="L53" s="59">
        <v>8664.5994611766873</v>
      </c>
      <c r="M53" s="59">
        <v>8664.5994611766873</v>
      </c>
      <c r="N53" s="59"/>
      <c r="O53" s="59" t="s">
        <v>185</v>
      </c>
      <c r="P53" s="59">
        <v>11214.95914712854</v>
      </c>
      <c r="Q53" s="59">
        <v>11214.95914712854</v>
      </c>
      <c r="S53" t="s">
        <v>185</v>
      </c>
      <c r="T53" s="59">
        <v>27657.825745902242</v>
      </c>
      <c r="U53" s="59">
        <v>27657.825745902242</v>
      </c>
      <c r="V53" s="59"/>
      <c r="W53" s="59" t="s">
        <v>185</v>
      </c>
      <c r="X53" s="68">
        <v>118034.26325746771</v>
      </c>
      <c r="Y53" s="68"/>
      <c r="Z53" s="68"/>
      <c r="AA53" s="68"/>
      <c r="AB53" s="68"/>
      <c r="AC53" s="68"/>
      <c r="AD53" s="68"/>
      <c r="AE53" t="s">
        <v>74</v>
      </c>
      <c r="AG53" s="7">
        <f t="shared" si="3"/>
        <v>1118401.1586144825</v>
      </c>
      <c r="AH53" s="54">
        <v>396608.23008293327</v>
      </c>
      <c r="AJ53" s="7">
        <f t="shared" si="1"/>
        <v>1515009.3886974158</v>
      </c>
    </row>
    <row r="54" spans="3:36" x14ac:dyDescent="0.3">
      <c r="C54" t="s">
        <v>75</v>
      </c>
      <c r="D54" s="59">
        <v>221369.81112736376</v>
      </c>
      <c r="E54" s="59">
        <v>41839.37688404724</v>
      </c>
      <c r="F54" s="59"/>
      <c r="G54" s="59" t="s">
        <v>75</v>
      </c>
      <c r="H54" s="61">
        <v>62829.705028595228</v>
      </c>
      <c r="I54" s="61">
        <v>62829.705042991016</v>
      </c>
      <c r="J54" s="59"/>
      <c r="K54" s="59"/>
      <c r="L54" s="59"/>
      <c r="M54" s="59"/>
      <c r="N54" s="59"/>
      <c r="O54" s="59"/>
      <c r="P54" s="59"/>
      <c r="Q54" s="59"/>
      <c r="V54" s="59"/>
      <c r="W54" s="59"/>
      <c r="Z54" s="59"/>
      <c r="AA54" s="68"/>
      <c r="AB54" s="68"/>
      <c r="AC54" s="68"/>
      <c r="AD54" s="68"/>
      <c r="AE54" t="s">
        <v>75</v>
      </c>
      <c r="AG54" s="7">
        <f t="shared" si="3"/>
        <v>388868.59808299725</v>
      </c>
      <c r="AH54" s="54">
        <v>133570.8191034504</v>
      </c>
      <c r="AJ54" s="7">
        <f t="shared" si="1"/>
        <v>522439.41718644765</v>
      </c>
    </row>
    <row r="55" spans="3:36" x14ac:dyDescent="0.3">
      <c r="C55" t="s">
        <v>76</v>
      </c>
      <c r="D55" s="59">
        <v>22181063.697850898</v>
      </c>
      <c r="E55" s="59">
        <v>4192269.3930903669</v>
      </c>
      <c r="F55" s="59"/>
      <c r="G55" s="59" t="s">
        <v>76</v>
      </c>
      <c r="H55" s="61">
        <v>0</v>
      </c>
      <c r="I55" s="61">
        <v>0</v>
      </c>
      <c r="J55" s="59"/>
      <c r="K55" s="59" t="s">
        <v>186</v>
      </c>
      <c r="L55" s="59">
        <v>151628.07971932294</v>
      </c>
      <c r="M55" s="59">
        <v>151628.07971932294</v>
      </c>
      <c r="N55" s="59"/>
      <c r="O55" s="59" t="s">
        <v>186</v>
      </c>
      <c r="P55" s="59">
        <v>196258.664607541</v>
      </c>
      <c r="Q55" s="59">
        <v>196258.664607541</v>
      </c>
      <c r="V55" s="59"/>
      <c r="W55" s="59" t="s">
        <v>222</v>
      </c>
      <c r="X55" s="68">
        <v>2065566.7649736153</v>
      </c>
      <c r="Y55" t="s">
        <v>76</v>
      </c>
      <c r="Z55" s="59">
        <v>330126.70305019268</v>
      </c>
      <c r="AA55" s="59">
        <v>330126.70305019268</v>
      </c>
      <c r="AB55" s="59">
        <v>353337.79871392192</v>
      </c>
      <c r="AC55" s="59">
        <v>353337.79871392192</v>
      </c>
      <c r="AD55" s="68"/>
      <c r="AE55" t="s">
        <v>76</v>
      </c>
      <c r="AG55" s="7">
        <f>+D55+E55+H55+I55+L55+M55+P55+Q55+T55+U55+X55+Z55+AA55+AB55+AC55</f>
        <v>30501602.348096836</v>
      </c>
      <c r="AH55" s="54">
        <v>16438800.633238314</v>
      </c>
      <c r="AJ55" s="7">
        <f t="shared" si="1"/>
        <v>46940402.981335148</v>
      </c>
    </row>
    <row r="56" spans="3:36" x14ac:dyDescent="0.3">
      <c r="C56" t="s">
        <v>77</v>
      </c>
      <c r="D56" s="59">
        <v>271201.9752100546</v>
      </c>
      <c r="E56" s="59">
        <v>51257.764528620079</v>
      </c>
      <c r="F56" s="59"/>
      <c r="G56" s="59" t="s">
        <v>77</v>
      </c>
      <c r="H56" s="61">
        <v>75779.369984890887</v>
      </c>
      <c r="I56" s="61">
        <v>75779.370002253752</v>
      </c>
      <c r="J56" s="59"/>
      <c r="K56" s="59" t="s">
        <v>187</v>
      </c>
      <c r="L56" s="59">
        <v>5881.6033404186783</v>
      </c>
      <c r="M56" s="59">
        <v>5881.6033404186783</v>
      </c>
      <c r="N56" s="59"/>
      <c r="O56" s="59"/>
      <c r="P56" s="59"/>
      <c r="Q56" s="59"/>
      <c r="S56" t="s">
        <v>187</v>
      </c>
      <c r="T56" s="59">
        <v>27657.825745902242</v>
      </c>
      <c r="U56" s="59">
        <v>27657.825745902242</v>
      </c>
      <c r="V56" s="59"/>
      <c r="W56" s="59" t="s">
        <v>187</v>
      </c>
      <c r="X56" s="68">
        <v>75388.562634629314</v>
      </c>
      <c r="Y56" s="68"/>
      <c r="Z56" s="68"/>
      <c r="AA56" s="68"/>
      <c r="AB56" s="68"/>
      <c r="AC56" s="68"/>
      <c r="AD56" s="68"/>
      <c r="AE56" t="s">
        <v>77</v>
      </c>
      <c r="AG56" s="7">
        <f t="shared" ref="AG56:AG71" si="4">+D56+E56+H56+I56+L56+M56+P56+Q56+T56+U56+X56</f>
        <v>616485.90053309035</v>
      </c>
      <c r="AH56" s="54">
        <v>201070.00808830239</v>
      </c>
      <c r="AJ56" s="7">
        <f t="shared" si="1"/>
        <v>817555.90862139268</v>
      </c>
    </row>
    <row r="57" spans="3:36" x14ac:dyDescent="0.3">
      <c r="C57" t="s">
        <v>78</v>
      </c>
      <c r="D57" s="59">
        <v>137760.66149528898</v>
      </c>
      <c r="E57" s="59">
        <v>26037.065337607717</v>
      </c>
      <c r="F57" s="59"/>
      <c r="G57" s="59" t="s">
        <v>78</v>
      </c>
      <c r="H57" s="61">
        <v>22503.666003212271</v>
      </c>
      <c r="I57" s="61">
        <v>22503.666008368396</v>
      </c>
      <c r="J57" s="59"/>
      <c r="K57" s="59"/>
      <c r="L57" s="59"/>
      <c r="M57" s="59"/>
      <c r="N57" s="59"/>
      <c r="O57" s="59"/>
      <c r="P57" s="59"/>
      <c r="Q57" s="59"/>
      <c r="V57" s="59"/>
      <c r="W57" s="59"/>
      <c r="Z57" s="59"/>
      <c r="AA57" s="68"/>
      <c r="AB57" s="68"/>
      <c r="AC57" s="68"/>
      <c r="AD57" s="68"/>
      <c r="AE57" t="s">
        <v>78</v>
      </c>
      <c r="AG57" s="7">
        <f t="shared" si="4"/>
        <v>208805.05884447737</v>
      </c>
      <c r="AH57" s="54">
        <v>83122.465084329466</v>
      </c>
      <c r="AJ57" s="7">
        <f t="shared" si="1"/>
        <v>291927.52392880683</v>
      </c>
    </row>
    <row r="58" spans="3:36" x14ac:dyDescent="0.3">
      <c r="C58" t="s">
        <v>79</v>
      </c>
      <c r="D58" s="59">
        <v>944894.59124840423</v>
      </c>
      <c r="E58" s="59">
        <v>178587.13759390716</v>
      </c>
      <c r="F58" s="59"/>
      <c r="G58" s="59" t="s">
        <v>79</v>
      </c>
      <c r="H58" s="61">
        <v>191942.08750728721</v>
      </c>
      <c r="I58" s="61">
        <v>191942.08755126572</v>
      </c>
      <c r="J58" s="59"/>
      <c r="K58" s="59" t="s">
        <v>190</v>
      </c>
      <c r="L58" s="59">
        <v>13524.308360577696</v>
      </c>
      <c r="M58" s="59">
        <v>13524.308360577696</v>
      </c>
      <c r="N58" s="59"/>
      <c r="O58" s="59"/>
      <c r="P58" s="59"/>
      <c r="Q58" s="59"/>
      <c r="S58" t="s">
        <v>190</v>
      </c>
      <c r="T58" s="59">
        <v>55315.65149180447</v>
      </c>
      <c r="U58" s="59">
        <v>55315.65149180447</v>
      </c>
      <c r="V58" s="59"/>
      <c r="W58" s="59" t="s">
        <v>190</v>
      </c>
      <c r="X58" s="68">
        <v>184236.07237244534</v>
      </c>
      <c r="Y58" s="68"/>
      <c r="Z58" s="68"/>
      <c r="AA58" s="68"/>
      <c r="AB58" s="68"/>
      <c r="AC58" s="68"/>
      <c r="AD58" s="68"/>
      <c r="AE58" t="s">
        <v>79</v>
      </c>
      <c r="AG58" s="7">
        <f t="shared" si="4"/>
        <v>1829281.8959780743</v>
      </c>
      <c r="AH58" s="54">
        <v>653983.01595217292</v>
      </c>
      <c r="AJ58" s="7">
        <f t="shared" si="1"/>
        <v>2483264.9119302472</v>
      </c>
    </row>
    <row r="59" spans="3:36" x14ac:dyDescent="0.3">
      <c r="C59" t="s">
        <v>80</v>
      </c>
      <c r="D59" s="59">
        <v>137760.66149528898</v>
      </c>
      <c r="E59" s="59">
        <v>26037.065337607717</v>
      </c>
      <c r="F59" s="59"/>
      <c r="G59" s="59" t="s">
        <v>80</v>
      </c>
      <c r="H59" s="61">
        <v>54818.483130498935</v>
      </c>
      <c r="I59" s="61">
        <v>54818.483143059158</v>
      </c>
      <c r="J59" s="59"/>
      <c r="K59" s="59"/>
      <c r="L59" s="59"/>
      <c r="M59" s="59"/>
      <c r="N59" s="59"/>
      <c r="O59" s="59"/>
      <c r="P59" s="59"/>
      <c r="Q59" s="59"/>
      <c r="V59" s="59"/>
      <c r="W59" s="59"/>
      <c r="Z59" s="59"/>
      <c r="AA59" s="68"/>
      <c r="AB59" s="68"/>
      <c r="AC59" s="68"/>
      <c r="AD59" s="68"/>
      <c r="AE59" t="s">
        <v>80</v>
      </c>
      <c r="AG59" s="7">
        <f t="shared" si="4"/>
        <v>273434.6931064548</v>
      </c>
      <c r="AH59" s="54">
        <v>83122.465084329466</v>
      </c>
      <c r="AJ59" s="7">
        <f t="shared" si="1"/>
        <v>356557.15819078428</v>
      </c>
    </row>
    <row r="60" spans="3:36" x14ac:dyDescent="0.3">
      <c r="C60" t="s">
        <v>81</v>
      </c>
      <c r="D60" s="59">
        <v>407282.09439576254</v>
      </c>
      <c r="E60" s="59">
        <v>76977.203706174318</v>
      </c>
      <c r="F60" s="59"/>
      <c r="G60" s="59" t="s">
        <v>81</v>
      </c>
      <c r="H60" s="61">
        <v>99728.849957538783</v>
      </c>
      <c r="I60" s="61">
        <v>99728.849980389045</v>
      </c>
      <c r="J60" s="59"/>
      <c r="K60" s="59"/>
      <c r="L60" s="59"/>
      <c r="M60" s="59"/>
      <c r="N60" s="59"/>
      <c r="O60" s="59"/>
      <c r="P60" s="59"/>
      <c r="Q60" s="59"/>
      <c r="V60" s="59"/>
      <c r="W60" s="59"/>
      <c r="Z60" s="59"/>
      <c r="AA60" s="68"/>
      <c r="AB60" s="68"/>
      <c r="AC60" s="68"/>
      <c r="AD60" s="68"/>
      <c r="AE60" t="s">
        <v>81</v>
      </c>
      <c r="AG60" s="7">
        <f t="shared" si="4"/>
        <v>683716.9980398647</v>
      </c>
      <c r="AH60" s="54">
        <v>245747.16253117062</v>
      </c>
      <c r="AJ60" s="7">
        <f t="shared" si="1"/>
        <v>929464.16057103535</v>
      </c>
    </row>
    <row r="61" spans="3:36" x14ac:dyDescent="0.3">
      <c r="C61" t="s">
        <v>82</v>
      </c>
      <c r="D61" s="59">
        <v>137760.66149528898</v>
      </c>
      <c r="E61" s="59">
        <v>26037.065337607717</v>
      </c>
      <c r="F61" s="59"/>
      <c r="G61" s="59" t="s">
        <v>82</v>
      </c>
      <c r="H61" s="61">
        <v>21822.543050402452</v>
      </c>
      <c r="I61" s="61">
        <v>21822.543055402519</v>
      </c>
      <c r="J61" s="59"/>
      <c r="K61" s="59"/>
      <c r="L61" s="59"/>
      <c r="M61" s="59"/>
      <c r="N61" s="59"/>
      <c r="O61" s="59"/>
      <c r="P61" s="59"/>
      <c r="Q61" s="59"/>
      <c r="V61" s="59"/>
      <c r="W61" s="59"/>
      <c r="Z61" s="59"/>
      <c r="AA61" s="68"/>
      <c r="AB61" s="68"/>
      <c r="AC61" s="68"/>
      <c r="AD61" s="68"/>
      <c r="AE61" t="s">
        <v>82</v>
      </c>
      <c r="AG61" s="7">
        <f t="shared" si="4"/>
        <v>207442.81293870168</v>
      </c>
      <c r="AH61" s="54">
        <v>83122.465084329466</v>
      </c>
      <c r="AJ61" s="7">
        <f t="shared" si="1"/>
        <v>290565.27802303113</v>
      </c>
    </row>
    <row r="62" spans="3:36" x14ac:dyDescent="0.3">
      <c r="C62" t="s">
        <v>83</v>
      </c>
      <c r="D62" s="59">
        <v>159079.6749043309</v>
      </c>
      <c r="E62" s="59">
        <v>30066.405346863859</v>
      </c>
      <c r="F62" s="59"/>
      <c r="G62" s="59" t="s">
        <v>83</v>
      </c>
      <c r="H62" s="61">
        <v>54758.738424818221</v>
      </c>
      <c r="I62" s="61">
        <v>54758.738437364758</v>
      </c>
      <c r="J62" s="59"/>
      <c r="K62" s="59"/>
      <c r="L62" s="59"/>
      <c r="M62" s="59"/>
      <c r="N62" s="59"/>
      <c r="O62" s="59"/>
      <c r="P62" s="59"/>
      <c r="Q62" s="59"/>
      <c r="V62" s="59"/>
      <c r="W62" s="59"/>
      <c r="Z62" s="59"/>
      <c r="AA62" s="68"/>
      <c r="AB62" s="68"/>
      <c r="AC62" s="68"/>
      <c r="AD62" s="68"/>
      <c r="AE62" t="s">
        <v>83</v>
      </c>
      <c r="AG62" s="7">
        <f t="shared" si="4"/>
        <v>298663.55711337773</v>
      </c>
      <c r="AH62" s="54">
        <v>95985.999045989782</v>
      </c>
      <c r="AJ62" s="7">
        <f t="shared" si="1"/>
        <v>394649.55615936749</v>
      </c>
    </row>
    <row r="63" spans="3:36" x14ac:dyDescent="0.3">
      <c r="C63" t="s">
        <v>84</v>
      </c>
      <c r="D63" s="59">
        <v>142788.37459722103</v>
      </c>
      <c r="E63" s="59">
        <v>26987.314074169048</v>
      </c>
      <c r="F63" s="59"/>
      <c r="G63" s="59" t="s">
        <v>84</v>
      </c>
      <c r="H63" s="61">
        <v>55115.848824682515</v>
      </c>
      <c r="I63" s="61">
        <v>55115.84883731087</v>
      </c>
      <c r="J63" s="59"/>
      <c r="K63" s="59" t="s">
        <v>193</v>
      </c>
      <c r="L63" s="59">
        <v>3880.5251113947775</v>
      </c>
      <c r="M63" s="59">
        <v>3880.5251113947775</v>
      </c>
      <c r="N63" s="59"/>
      <c r="O63" s="59"/>
      <c r="P63" s="59"/>
      <c r="Q63" s="59"/>
      <c r="S63" t="s">
        <v>193</v>
      </c>
      <c r="T63" s="59">
        <v>13828.912872951118</v>
      </c>
      <c r="U63" s="59">
        <v>13828.912872951118</v>
      </c>
      <c r="V63" s="59"/>
      <c r="W63" s="59" t="s">
        <v>193</v>
      </c>
      <c r="X63" s="68">
        <v>52862.79240349125</v>
      </c>
      <c r="Y63" s="68"/>
      <c r="Z63" s="68"/>
      <c r="AA63" s="68"/>
      <c r="AB63" s="68"/>
      <c r="AC63" s="68"/>
      <c r="AD63" s="68"/>
      <c r="AE63" t="s">
        <v>84</v>
      </c>
      <c r="AG63" s="7">
        <f t="shared" si="4"/>
        <v>368289.05470556649</v>
      </c>
      <c r="AH63" s="54">
        <v>110215.01602440627</v>
      </c>
      <c r="AJ63" s="7">
        <f t="shared" si="1"/>
        <v>478504.07072997279</v>
      </c>
    </row>
    <row r="64" spans="3:36" x14ac:dyDescent="0.3">
      <c r="C64" t="s">
        <v>85</v>
      </c>
      <c r="D64" s="59">
        <v>137760.66149528898</v>
      </c>
      <c r="E64" s="59">
        <v>26037.065337607717</v>
      </c>
      <c r="F64" s="59"/>
      <c r="G64" s="59" t="s">
        <v>85</v>
      </c>
      <c r="H64" s="61">
        <v>60997.986665793214</v>
      </c>
      <c r="I64" s="61">
        <v>60997.98667976931</v>
      </c>
      <c r="J64" s="59"/>
      <c r="K64" s="59"/>
      <c r="L64" s="59"/>
      <c r="M64" s="59"/>
      <c r="N64" s="59"/>
      <c r="O64" s="59"/>
      <c r="P64" s="59"/>
      <c r="Q64" s="59"/>
      <c r="V64" s="59"/>
      <c r="W64" s="59"/>
      <c r="Z64" s="59"/>
      <c r="AA64" s="68"/>
      <c r="AB64" s="68"/>
      <c r="AC64" s="68"/>
      <c r="AD64" s="68"/>
      <c r="AE64" t="s">
        <v>85</v>
      </c>
      <c r="AG64" s="7">
        <f t="shared" si="4"/>
        <v>285793.70017845923</v>
      </c>
      <c r="AH64" s="54">
        <v>83122.465084329466</v>
      </c>
      <c r="AJ64" s="7">
        <f t="shared" si="1"/>
        <v>368916.16526278871</v>
      </c>
    </row>
    <row r="65" spans="3:36" x14ac:dyDescent="0.3">
      <c r="C65" t="s">
        <v>86</v>
      </c>
      <c r="D65" s="59">
        <v>321992.40245410678</v>
      </c>
      <c r="E65" s="59">
        <v>60857.265999681324</v>
      </c>
      <c r="F65" s="59"/>
      <c r="G65" s="59" t="s">
        <v>86</v>
      </c>
      <c r="H65" s="61">
        <v>68798.744259786996</v>
      </c>
      <c r="I65" s="61">
        <v>68798.744275550431</v>
      </c>
      <c r="J65" s="59"/>
      <c r="K65" s="59"/>
      <c r="L65" s="59"/>
      <c r="M65" s="59"/>
      <c r="N65" s="59"/>
      <c r="O65" s="59"/>
      <c r="P65" s="59"/>
      <c r="Q65" s="59"/>
      <c r="V65" s="59"/>
      <c r="W65" s="59"/>
      <c r="Z65" s="59"/>
      <c r="AA65" s="68"/>
      <c r="AB65" s="68"/>
      <c r="AC65" s="68"/>
      <c r="AD65" s="68"/>
      <c r="AE65" t="s">
        <v>86</v>
      </c>
      <c r="AG65" s="7">
        <f t="shared" si="4"/>
        <v>520447.15698912548</v>
      </c>
      <c r="AH65" s="54">
        <v>194284.79756048598</v>
      </c>
      <c r="AJ65" s="7">
        <f t="shared" si="1"/>
        <v>714731.95454961143</v>
      </c>
    </row>
    <row r="66" spans="3:36" x14ac:dyDescent="0.3">
      <c r="C66" t="s">
        <v>87</v>
      </c>
      <c r="D66" s="59">
        <v>137760.66149528898</v>
      </c>
      <c r="E66" s="59">
        <v>26037.065337607717</v>
      </c>
      <c r="F66" s="59"/>
      <c r="G66" s="59" t="s">
        <v>87</v>
      </c>
      <c r="H66" s="61">
        <v>53214.880916659655</v>
      </c>
      <c r="I66" s="61">
        <v>53214.880928852457</v>
      </c>
      <c r="J66" s="59"/>
      <c r="K66" s="59"/>
      <c r="L66" s="59"/>
      <c r="M66" s="59"/>
      <c r="N66" s="59"/>
      <c r="O66" s="59"/>
      <c r="P66" s="59"/>
      <c r="Q66" s="59"/>
      <c r="V66" s="59"/>
      <c r="W66" s="59"/>
      <c r="Z66" s="59"/>
      <c r="AA66" s="68"/>
      <c r="AB66" s="68"/>
      <c r="AC66" s="68"/>
      <c r="AD66" s="68"/>
      <c r="AE66" t="s">
        <v>87</v>
      </c>
      <c r="AG66" s="7">
        <f t="shared" si="4"/>
        <v>270227.48867840884</v>
      </c>
      <c r="AH66" s="54">
        <v>83122.465084329466</v>
      </c>
      <c r="AJ66" s="7">
        <f t="shared" si="1"/>
        <v>353349.95376273833</v>
      </c>
    </row>
    <row r="67" spans="3:36" x14ac:dyDescent="0.3">
      <c r="C67" t="s">
        <v>88</v>
      </c>
      <c r="D67" s="59">
        <v>1578338.0880996597</v>
      </c>
      <c r="E67" s="59">
        <v>298309.33939070138</v>
      </c>
      <c r="F67" s="59"/>
      <c r="G67" s="59" t="s">
        <v>88</v>
      </c>
      <c r="H67" s="61">
        <v>280888.37592367642</v>
      </c>
      <c r="I67" s="61">
        <v>280888.37598803465</v>
      </c>
      <c r="J67" s="59"/>
      <c r="K67" s="59" t="s">
        <v>198</v>
      </c>
      <c r="L67" s="59">
        <v>19792.521660260329</v>
      </c>
      <c r="M67" s="59">
        <v>19792.521660260329</v>
      </c>
      <c r="N67" s="59"/>
      <c r="O67" s="59" t="s">
        <v>198</v>
      </c>
      <c r="P67" s="59">
        <v>25618.301553702931</v>
      </c>
      <c r="Q67" s="59">
        <v>25618.301553702931</v>
      </c>
      <c r="S67" t="s">
        <v>198</v>
      </c>
      <c r="T67" s="59">
        <v>49309.245789848348</v>
      </c>
      <c r="U67" s="59">
        <v>49309.245789848348</v>
      </c>
      <c r="V67" s="59"/>
      <c r="W67" s="59" t="s">
        <v>198</v>
      </c>
      <c r="X67" s="68">
        <v>269625.3557529173</v>
      </c>
      <c r="Y67" s="68"/>
      <c r="Z67" s="68"/>
      <c r="AA67" s="68"/>
      <c r="AB67" s="68"/>
      <c r="AC67" s="68"/>
      <c r="AD67" s="68"/>
      <c r="AE67" t="s">
        <v>88</v>
      </c>
      <c r="AG67" s="7">
        <f t="shared" si="4"/>
        <v>2897489.6731626126</v>
      </c>
      <c r="AH67" s="54">
        <v>1075054.5328110165</v>
      </c>
      <c r="AJ67" s="7">
        <f t="shared" si="1"/>
        <v>3972544.2059736289</v>
      </c>
    </row>
    <row r="68" spans="3:36" x14ac:dyDescent="0.3">
      <c r="C68" t="s">
        <v>89</v>
      </c>
      <c r="D68" s="59">
        <v>301867.91174089041</v>
      </c>
      <c r="E68" s="59">
        <v>57053.693383967569</v>
      </c>
      <c r="F68" s="59"/>
      <c r="G68" s="59" t="s">
        <v>89</v>
      </c>
      <c r="H68" s="61">
        <v>69739.72337425829</v>
      </c>
      <c r="I68" s="61">
        <v>69739.723390237326</v>
      </c>
      <c r="J68" s="59"/>
      <c r="K68" s="59"/>
      <c r="L68" s="59"/>
      <c r="M68" s="59"/>
      <c r="N68" s="59"/>
      <c r="O68" s="59"/>
      <c r="P68" s="59"/>
      <c r="Q68" s="59"/>
      <c r="V68" s="59"/>
      <c r="W68" s="59"/>
      <c r="Z68" s="59"/>
      <c r="AA68" s="68"/>
      <c r="AB68" s="68"/>
      <c r="AC68" s="68"/>
      <c r="AD68" s="68"/>
      <c r="AE68" t="s">
        <v>89</v>
      </c>
      <c r="AG68" s="7">
        <f t="shared" si="4"/>
        <v>498401.05188935355</v>
      </c>
      <c r="AH68" s="54">
        <v>182142.01849357184</v>
      </c>
      <c r="AJ68" s="7">
        <f t="shared" si="1"/>
        <v>680543.07038292545</v>
      </c>
    </row>
    <row r="69" spans="3:36" x14ac:dyDescent="0.3">
      <c r="C69" t="s">
        <v>90</v>
      </c>
      <c r="D69" s="59">
        <v>3092469.2381322412</v>
      </c>
      <c r="E69" s="59">
        <v>584483.427517112</v>
      </c>
      <c r="F69" s="59"/>
      <c r="G69" s="59" t="s">
        <v>90</v>
      </c>
      <c r="H69" s="61">
        <v>473747.00152947457</v>
      </c>
      <c r="I69" s="61">
        <v>473747.00163802138</v>
      </c>
      <c r="J69" s="59"/>
      <c r="K69" s="59" t="s">
        <v>201</v>
      </c>
      <c r="L69" s="59">
        <v>33530.970339447085</v>
      </c>
      <c r="M69" s="59">
        <v>33530.970339447085</v>
      </c>
      <c r="N69" s="59"/>
      <c r="O69" s="59" t="s">
        <v>201</v>
      </c>
      <c r="P69" s="59">
        <v>43400.55927633254</v>
      </c>
      <c r="Q69" s="59">
        <v>43400.55927633254</v>
      </c>
      <c r="S69" t="s">
        <v>201</v>
      </c>
      <c r="T69" s="59">
        <v>83535.937786017545</v>
      </c>
      <c r="U69" s="59">
        <v>83535.937786017545</v>
      </c>
      <c r="V69" s="59"/>
      <c r="W69" s="59" t="s">
        <v>201</v>
      </c>
      <c r="X69" s="68">
        <v>456778.5733268222</v>
      </c>
      <c r="Y69" s="68"/>
      <c r="Z69" s="68"/>
      <c r="AA69" s="68"/>
      <c r="AB69" s="68"/>
      <c r="AC69" s="68"/>
      <c r="AD69" s="68"/>
      <c r="AE69" t="s">
        <v>90</v>
      </c>
      <c r="AG69" s="7">
        <f t="shared" si="4"/>
        <v>5402160.1769472659</v>
      </c>
      <c r="AH69" s="54">
        <v>2073832.9610313661</v>
      </c>
      <c r="AJ69" s="7">
        <f t="shared" si="1"/>
        <v>7475993.137978632</v>
      </c>
    </row>
    <row r="70" spans="3:36" x14ac:dyDescent="0.3">
      <c r="C70" t="s">
        <v>91</v>
      </c>
      <c r="D70" s="59">
        <v>195495.46592465707</v>
      </c>
      <c r="E70" s="59">
        <v>36949.069235272422</v>
      </c>
      <c r="F70" s="59"/>
      <c r="G70" s="59" t="s">
        <v>91</v>
      </c>
      <c r="H70" s="61">
        <v>36381.810091117324</v>
      </c>
      <c r="I70" s="61">
        <v>36381.810099453265</v>
      </c>
      <c r="J70" s="59"/>
      <c r="K70" s="59" t="s">
        <v>206</v>
      </c>
      <c r="L70" s="59">
        <v>2940.8016702093391</v>
      </c>
      <c r="M70" s="59">
        <v>2940.8016702093391</v>
      </c>
      <c r="N70" s="59"/>
      <c r="O70" s="59" t="s">
        <v>206</v>
      </c>
      <c r="P70" s="59">
        <v>3190.0964571289178</v>
      </c>
      <c r="Q70" s="59">
        <v>3190.0964571289178</v>
      </c>
      <c r="S70" t="s">
        <v>206</v>
      </c>
      <c r="T70" s="59">
        <v>13828.912872951118</v>
      </c>
      <c r="U70" s="59">
        <v>13828.912872951118</v>
      </c>
      <c r="V70" s="59"/>
      <c r="W70" s="59" t="s">
        <v>206</v>
      </c>
      <c r="X70" s="68">
        <v>34834.691759996618</v>
      </c>
      <c r="Y70" s="68"/>
      <c r="Z70" s="68"/>
      <c r="AA70" s="68"/>
      <c r="AB70" s="68"/>
      <c r="AC70" s="68"/>
      <c r="AD70" s="68"/>
      <c r="AE70" t="s">
        <v>91</v>
      </c>
      <c r="AG70" s="7">
        <f t="shared" si="4"/>
        <v>379962.46911107551</v>
      </c>
      <c r="AH70" s="54">
        <v>139141.16969800138</v>
      </c>
      <c r="AJ70" s="7">
        <f t="shared" ref="AJ70:AJ126" si="5">+AG70+AH70</f>
        <v>519103.63880907686</v>
      </c>
    </row>
    <row r="71" spans="3:36" x14ac:dyDescent="0.3">
      <c r="C71" t="s">
        <v>92</v>
      </c>
      <c r="D71" s="69">
        <v>2463817.3326091147</v>
      </c>
      <c r="E71" s="69">
        <v>465666.84692689037</v>
      </c>
      <c r="F71" s="59"/>
      <c r="G71" s="59" t="s">
        <v>92</v>
      </c>
      <c r="H71" s="63">
        <v>609746.31917208945</v>
      </c>
      <c r="I71" s="63">
        <v>609746.31931179692</v>
      </c>
      <c r="J71" s="59"/>
      <c r="K71" s="59" t="s">
        <v>207</v>
      </c>
      <c r="L71" s="59">
        <v>43153.103198801546</v>
      </c>
      <c r="M71" s="59">
        <v>43153.103198801546</v>
      </c>
      <c r="N71" s="59"/>
      <c r="O71" s="59" t="s">
        <v>207</v>
      </c>
      <c r="P71" s="59">
        <v>55854.894575895079</v>
      </c>
      <c r="Q71" s="59">
        <v>55854.894575895079</v>
      </c>
      <c r="V71" s="59"/>
      <c r="W71" s="59"/>
      <c r="X71" s="7"/>
      <c r="Z71" s="59"/>
      <c r="AA71" s="68"/>
      <c r="AB71" s="68"/>
      <c r="AC71" s="68"/>
      <c r="AD71" s="68"/>
      <c r="AE71" t="s">
        <v>92</v>
      </c>
      <c r="AG71" s="7">
        <f t="shared" si="4"/>
        <v>4346992.813569284</v>
      </c>
      <c r="AH71" s="54">
        <v>1754171.3545171593</v>
      </c>
      <c r="AJ71" s="7">
        <f t="shared" si="5"/>
        <v>6101164.1680864431</v>
      </c>
    </row>
    <row r="72" spans="3:36" x14ac:dyDescent="0.3">
      <c r="D72" s="59"/>
      <c r="E72" s="59"/>
      <c r="F72" s="59"/>
      <c r="G72" s="59"/>
      <c r="H72" s="59"/>
      <c r="I72" s="59"/>
      <c r="J72" s="59"/>
      <c r="K72" s="59"/>
      <c r="L72" s="59"/>
      <c r="M72" s="59"/>
      <c r="N72" s="59"/>
      <c r="O72" s="59"/>
      <c r="P72" s="59"/>
      <c r="Q72" s="59"/>
      <c r="V72" s="59"/>
      <c r="W72" s="59" t="s">
        <v>311</v>
      </c>
      <c r="X72" s="7">
        <f>SUM(X5:X70)</f>
        <v>10952190.404201649</v>
      </c>
      <c r="Z72" s="59"/>
      <c r="AA72" s="68"/>
      <c r="AB72" s="68"/>
      <c r="AC72" s="68"/>
      <c r="AD72" s="68"/>
      <c r="AG72" s="7"/>
      <c r="AH72" s="54"/>
      <c r="AJ72" s="7">
        <f t="shared" si="5"/>
        <v>0</v>
      </c>
    </row>
    <row r="73" spans="3:36" x14ac:dyDescent="0.3">
      <c r="D73" s="59"/>
      <c r="E73" s="59"/>
      <c r="F73" s="59"/>
      <c r="G73" s="59"/>
      <c r="H73" s="59"/>
      <c r="I73" s="59"/>
      <c r="J73" s="59"/>
      <c r="K73" s="59" t="s">
        <v>120</v>
      </c>
      <c r="L73" s="59">
        <v>1176.3206680837357</v>
      </c>
      <c r="M73" s="59">
        <v>1176.3206680837357</v>
      </c>
      <c r="N73" s="59"/>
      <c r="O73" s="59" t="s">
        <v>120</v>
      </c>
      <c r="P73" s="59">
        <v>1259.0273722244253</v>
      </c>
      <c r="Q73" s="59">
        <v>1259.0273722244253</v>
      </c>
      <c r="V73" s="59"/>
      <c r="W73" s="59"/>
      <c r="Z73" s="59"/>
      <c r="AA73" s="68"/>
      <c r="AB73" s="68"/>
      <c r="AC73" s="68"/>
      <c r="AD73" s="68"/>
      <c r="AE73" t="s">
        <v>120</v>
      </c>
      <c r="AG73" s="7">
        <f>+L73+M73+P73+Q73+T73+U73+X73</f>
        <v>4870.6960806163224</v>
      </c>
      <c r="AH73" s="59">
        <v>3571.4640745660031</v>
      </c>
      <c r="AJ73" s="7">
        <f t="shared" si="5"/>
        <v>8442.160155182326</v>
      </c>
    </row>
    <row r="74" spans="3:36" x14ac:dyDescent="0.3">
      <c r="C74" s="16" t="s">
        <v>304</v>
      </c>
      <c r="D74" s="64">
        <f>SUM(D5:D73)</f>
        <v>96431268.937288418</v>
      </c>
      <c r="E74" s="64">
        <f>SUM(E5:E73)</f>
        <v>18225720.047043059</v>
      </c>
      <c r="F74" s="64"/>
      <c r="G74" s="64"/>
      <c r="H74" s="64">
        <f>SUM(H5:H73)</f>
        <v>15275592.245497104</v>
      </c>
      <c r="I74" s="64">
        <f>SUM(I5:I73)</f>
        <v>15275592.248997105</v>
      </c>
      <c r="J74" s="59"/>
      <c r="K74" s="59" t="s">
        <v>122</v>
      </c>
      <c r="L74" s="59">
        <v>11897.787371019022</v>
      </c>
      <c r="M74" s="59">
        <v>11897.787371019022</v>
      </c>
      <c r="N74" s="59"/>
      <c r="O74" s="59" t="s">
        <v>122</v>
      </c>
      <c r="P74" s="59">
        <v>15399.81160180247</v>
      </c>
      <c r="Q74" s="59">
        <v>15399.81160180247</v>
      </c>
      <c r="V74" s="59"/>
      <c r="W74" s="59"/>
      <c r="Z74" s="59"/>
      <c r="AA74" s="68"/>
      <c r="AB74" s="68"/>
      <c r="AC74" s="68"/>
      <c r="AD74" s="68"/>
      <c r="AE74" t="s">
        <v>122</v>
      </c>
      <c r="AG74" s="7">
        <f>+L74+M74+P74+Q74+T74+U74+X74</f>
        <v>54595.197945642984</v>
      </c>
      <c r="AH74" s="59">
        <v>87705.599831506814</v>
      </c>
      <c r="AJ74" s="7">
        <f t="shared" si="5"/>
        <v>142300.7977771498</v>
      </c>
    </row>
    <row r="75" spans="3:36" x14ac:dyDescent="0.3">
      <c r="D75" s="70"/>
      <c r="E75" s="70"/>
      <c r="F75" s="70"/>
      <c r="G75" s="70"/>
      <c r="H75" s="70"/>
      <c r="I75" s="70"/>
      <c r="J75" s="59"/>
      <c r="K75" s="59" t="s">
        <v>126</v>
      </c>
      <c r="L75" s="59">
        <v>5881.2480351939321</v>
      </c>
      <c r="M75" s="59">
        <v>5881.2480351939321</v>
      </c>
      <c r="N75" s="59"/>
      <c r="O75" s="59" t="s">
        <v>126</v>
      </c>
      <c r="P75" s="59">
        <v>7612.349162170337</v>
      </c>
      <c r="Q75" s="59">
        <v>7612.349162170337</v>
      </c>
      <c r="S75" t="s">
        <v>126</v>
      </c>
      <c r="T75" s="59">
        <v>27657.825745902235</v>
      </c>
      <c r="U75" s="59">
        <v>27657.825745902235</v>
      </c>
      <c r="V75" s="59"/>
      <c r="W75" s="59" t="s">
        <v>126</v>
      </c>
      <c r="X75" s="68">
        <v>80117.815252624699</v>
      </c>
      <c r="Y75" s="68"/>
      <c r="Z75" s="68"/>
      <c r="AA75" s="68"/>
      <c r="AB75" s="68"/>
      <c r="AC75" s="68"/>
      <c r="AD75" s="68"/>
      <c r="AE75" t="s">
        <v>126</v>
      </c>
      <c r="AG75" s="7">
        <f>+L75+M75+P75+Q75+T75+U75+X75</f>
        <v>162420.66113915772</v>
      </c>
      <c r="AH75" s="59">
        <v>37670.707897588822</v>
      </c>
      <c r="AJ75" s="7">
        <f t="shared" si="5"/>
        <v>200091.36903674653</v>
      </c>
    </row>
    <row r="76" spans="3:36" x14ac:dyDescent="0.3">
      <c r="D76" s="64"/>
      <c r="E76" s="64"/>
      <c r="F76" s="64"/>
      <c r="G76" s="64"/>
      <c r="H76" s="64"/>
      <c r="I76" s="64"/>
      <c r="J76" s="59"/>
      <c r="K76" s="59" t="s">
        <v>128</v>
      </c>
      <c r="L76" s="59">
        <v>5881.6033404186783</v>
      </c>
      <c r="M76" s="59">
        <v>5881.6033404186783</v>
      </c>
      <c r="N76" s="59"/>
      <c r="O76" s="59" t="s">
        <v>128</v>
      </c>
      <c r="P76" s="59">
        <v>6643.6582436605167</v>
      </c>
      <c r="Q76" s="59">
        <v>6643.6582436605167</v>
      </c>
      <c r="S76" t="s">
        <v>128</v>
      </c>
      <c r="T76" s="59">
        <v>27657.825745902242</v>
      </c>
      <c r="U76" s="59">
        <v>27657.825745902242</v>
      </c>
      <c r="V76" s="64"/>
      <c r="W76" s="59" t="s">
        <v>128</v>
      </c>
      <c r="X76" s="68">
        <v>70916.287532245493</v>
      </c>
      <c r="Y76" s="68"/>
      <c r="Z76" s="68"/>
      <c r="AA76" s="68"/>
      <c r="AB76" s="68"/>
      <c r="AC76" s="68"/>
      <c r="AD76" s="68"/>
      <c r="AE76" t="s">
        <v>128</v>
      </c>
      <c r="AG76" s="7">
        <f>+L76+M76+P76+Q76+T76+U76+X76</f>
        <v>151282.46219220839</v>
      </c>
      <c r="AH76" s="59">
        <v>42568.723305648564</v>
      </c>
      <c r="AJ76" s="7">
        <f t="shared" si="5"/>
        <v>193851.18549785696</v>
      </c>
    </row>
    <row r="77" spans="3:36" x14ac:dyDescent="0.3">
      <c r="D77" s="64"/>
      <c r="E77" s="64"/>
      <c r="F77" s="64"/>
      <c r="G77" s="64"/>
      <c r="H77" s="64"/>
      <c r="I77" s="64"/>
      <c r="J77" s="59"/>
      <c r="K77" s="59" t="s">
        <v>136</v>
      </c>
      <c r="L77" s="59">
        <v>2940.8016702093391</v>
      </c>
      <c r="M77" s="59">
        <v>2940.8016702093391</v>
      </c>
      <c r="N77" s="59"/>
      <c r="O77" s="59" t="s">
        <v>136</v>
      </c>
      <c r="P77" s="59">
        <v>3147.5684305610635</v>
      </c>
      <c r="Q77" s="59">
        <v>3147.5684305610635</v>
      </c>
      <c r="S77" t="s">
        <v>136</v>
      </c>
      <c r="T77" s="59">
        <v>13828.912872951118</v>
      </c>
      <c r="U77" s="59">
        <v>13828.912872951118</v>
      </c>
      <c r="V77" s="59"/>
      <c r="W77" s="59" t="s">
        <v>136</v>
      </c>
      <c r="X77" s="68">
        <v>34834.691759996611</v>
      </c>
      <c r="Y77" s="68"/>
      <c r="Z77" s="68"/>
      <c r="AA77" s="68"/>
      <c r="AB77" s="68"/>
      <c r="AC77" s="68"/>
      <c r="AD77" s="68"/>
      <c r="AE77" t="s">
        <v>136</v>
      </c>
      <c r="AG77" s="7">
        <f>+L77+M77+P77+Q77+T77+U77+X77</f>
        <v>74669.257707439654</v>
      </c>
      <c r="AH77" s="59">
        <v>20788.473738746172</v>
      </c>
      <c r="AJ77" s="7">
        <f t="shared" si="5"/>
        <v>95457.731446185819</v>
      </c>
    </row>
    <row r="78" spans="3:36" x14ac:dyDescent="0.3">
      <c r="D78" s="59"/>
      <c r="E78" s="59"/>
      <c r="F78" s="59"/>
      <c r="G78" s="59"/>
      <c r="H78" s="59"/>
      <c r="I78" s="59"/>
      <c r="J78" s="59"/>
      <c r="K78" s="59" t="s">
        <v>154</v>
      </c>
      <c r="L78" s="59">
        <v>1176.3206680837357</v>
      </c>
      <c r="M78" s="59">
        <v>1176.3206680837357</v>
      </c>
      <c r="N78" s="59"/>
      <c r="O78" s="59" t="s">
        <v>154</v>
      </c>
      <c r="P78" s="59">
        <v>1259.0273722244253</v>
      </c>
      <c r="Q78" s="59">
        <v>1259.0273722244253</v>
      </c>
      <c r="S78" t="s">
        <v>154</v>
      </c>
      <c r="T78" s="59">
        <v>5531.5651491804474</v>
      </c>
      <c r="U78" s="59">
        <v>5531.5651491804474</v>
      </c>
      <c r="V78" s="59"/>
      <c r="W78" s="59" t="s">
        <v>154</v>
      </c>
      <c r="X78" s="68">
        <v>13933.876703998645</v>
      </c>
      <c r="Y78" s="68"/>
      <c r="Z78" s="68"/>
      <c r="AA78" s="68"/>
      <c r="AB78" s="68"/>
      <c r="AC78" s="68"/>
      <c r="AD78" s="68"/>
      <c r="AE78" t="s">
        <v>154</v>
      </c>
      <c r="AG78" s="7">
        <f t="shared" ref="AG78:AG126" si="6">+L78+M78+P78+Q78+T78+U78+X78</f>
        <v>29867.703082975862</v>
      </c>
      <c r="AH78" s="59">
        <v>20788.473738746172</v>
      </c>
      <c r="AJ78" s="7">
        <f t="shared" si="5"/>
        <v>50656.176821722038</v>
      </c>
    </row>
    <row r="79" spans="3:36" x14ac:dyDescent="0.3">
      <c r="D79" s="59"/>
      <c r="E79" s="59"/>
      <c r="F79" s="59"/>
      <c r="G79" s="59"/>
      <c r="H79" s="59"/>
      <c r="I79" s="59"/>
      <c r="J79" s="59"/>
      <c r="K79" s="59" t="s">
        <v>156</v>
      </c>
      <c r="L79" s="59">
        <v>1176.3206680837357</v>
      </c>
      <c r="M79" s="59">
        <v>1176.3206680837357</v>
      </c>
      <c r="N79" s="59"/>
      <c r="O79" s="59" t="s">
        <v>156</v>
      </c>
      <c r="P79" s="59">
        <v>1259.0273722244253</v>
      </c>
      <c r="Q79" s="59">
        <v>1259.0273722244253</v>
      </c>
      <c r="S79" t="s">
        <v>156</v>
      </c>
      <c r="T79" s="59">
        <v>5531.5651491804474</v>
      </c>
      <c r="U79" s="59">
        <v>5531.5651491804474</v>
      </c>
      <c r="V79" s="59"/>
      <c r="W79" s="59" t="s">
        <v>156</v>
      </c>
      <c r="X79" s="68">
        <v>13933.876703998645</v>
      </c>
      <c r="Y79" s="68"/>
      <c r="Z79" s="68"/>
      <c r="AA79" s="68"/>
      <c r="AB79" s="68"/>
      <c r="AC79" s="68"/>
      <c r="AD79" s="68"/>
      <c r="AE79" t="s">
        <v>156</v>
      </c>
      <c r="AG79" s="7">
        <f t="shared" si="6"/>
        <v>29867.703082975862</v>
      </c>
      <c r="AH79" s="59">
        <v>8315.389495498468</v>
      </c>
      <c r="AJ79" s="7">
        <f t="shared" si="5"/>
        <v>38183.09257847433</v>
      </c>
    </row>
    <row r="80" spans="3:36" x14ac:dyDescent="0.3">
      <c r="D80" s="59"/>
      <c r="E80" s="59"/>
      <c r="F80" s="59"/>
      <c r="G80" s="59"/>
      <c r="H80" s="59"/>
      <c r="I80" s="59"/>
      <c r="J80" s="59"/>
      <c r="K80" s="59" t="s">
        <v>157</v>
      </c>
      <c r="L80" s="59">
        <v>2940.8016702093391</v>
      </c>
      <c r="M80" s="59">
        <v>2940.8016702093391</v>
      </c>
      <c r="N80" s="59"/>
      <c r="O80" s="59" t="s">
        <v>157</v>
      </c>
      <c r="P80" s="59">
        <v>3147.5684305610635</v>
      </c>
      <c r="Q80" s="59">
        <v>3147.5684305610635</v>
      </c>
      <c r="S80" t="s">
        <v>157</v>
      </c>
      <c r="T80" s="59">
        <v>13828.912872951118</v>
      </c>
      <c r="U80" s="59">
        <v>13828.912872951118</v>
      </c>
      <c r="V80" s="59"/>
      <c r="W80" s="59" t="s">
        <v>157</v>
      </c>
      <c r="X80" s="68">
        <v>34834.691759996611</v>
      </c>
      <c r="Y80" s="68"/>
      <c r="Z80" s="68"/>
      <c r="AA80" s="68"/>
      <c r="AB80" s="68"/>
      <c r="AC80" s="68"/>
      <c r="AD80" s="68"/>
      <c r="AE80" t="s">
        <v>157</v>
      </c>
      <c r="AG80" s="7">
        <f t="shared" si="6"/>
        <v>74669.257707439654</v>
      </c>
      <c r="AH80" s="59">
        <v>8315.389495498468</v>
      </c>
      <c r="AJ80" s="7">
        <f t="shared" si="5"/>
        <v>82984.647202938126</v>
      </c>
    </row>
    <row r="81" spans="4:36" x14ac:dyDescent="0.3">
      <c r="D81" s="59"/>
      <c r="E81" s="59"/>
      <c r="F81" s="59"/>
      <c r="G81" s="59"/>
      <c r="H81" s="59"/>
      <c r="I81" s="59"/>
      <c r="J81" s="59"/>
      <c r="K81" s="59" t="s">
        <v>159</v>
      </c>
      <c r="L81" s="59">
        <v>1176.3206680837357</v>
      </c>
      <c r="M81" s="59">
        <v>1176.3206680837357</v>
      </c>
      <c r="N81" s="59"/>
      <c r="O81" s="59" t="s">
        <v>159</v>
      </c>
      <c r="P81" s="59">
        <v>1259.0273722244253</v>
      </c>
      <c r="Q81" s="59">
        <v>1259.0273722244253</v>
      </c>
      <c r="S81" t="s">
        <v>159</v>
      </c>
      <c r="T81" s="59">
        <v>5531.5651491804474</v>
      </c>
      <c r="U81" s="59">
        <v>5531.5651491804474</v>
      </c>
      <c r="V81" s="59"/>
      <c r="W81" s="59" t="s">
        <v>159</v>
      </c>
      <c r="X81" s="68">
        <v>13933.876703998645</v>
      </c>
      <c r="Y81" s="68"/>
      <c r="Z81" s="68"/>
      <c r="AA81" s="68"/>
      <c r="AB81" s="68"/>
      <c r="AC81" s="68"/>
      <c r="AD81" s="68"/>
      <c r="AE81" t="s">
        <v>159</v>
      </c>
      <c r="AG81" s="7">
        <f t="shared" si="6"/>
        <v>29867.703082975862</v>
      </c>
      <c r="AH81" s="59">
        <v>8315.389495498468</v>
      </c>
      <c r="AJ81" s="7">
        <f t="shared" si="5"/>
        <v>38183.09257847433</v>
      </c>
    </row>
    <row r="82" spans="4:36" x14ac:dyDescent="0.3">
      <c r="D82" s="59"/>
      <c r="E82" s="59"/>
      <c r="F82" s="59"/>
      <c r="G82" s="59"/>
      <c r="H82" s="59"/>
      <c r="I82" s="59"/>
      <c r="J82" s="59"/>
      <c r="K82" s="59" t="s">
        <v>162</v>
      </c>
      <c r="L82" s="59">
        <v>2940.8016702093391</v>
      </c>
      <c r="M82" s="59">
        <v>2940.8016702093391</v>
      </c>
      <c r="N82" s="59"/>
      <c r="O82" s="59" t="s">
        <v>162</v>
      </c>
      <c r="P82" s="59">
        <v>3147.5684305610635</v>
      </c>
      <c r="Q82" s="59">
        <v>3147.5684305610635</v>
      </c>
      <c r="S82" t="s">
        <v>162</v>
      </c>
      <c r="T82" s="59">
        <v>13828.912872951118</v>
      </c>
      <c r="U82" s="59">
        <v>13828.912872951118</v>
      </c>
      <c r="V82" s="59"/>
      <c r="W82" s="59" t="s">
        <v>162</v>
      </c>
      <c r="X82" s="68">
        <v>34834.691759996611</v>
      </c>
      <c r="Y82" s="68"/>
      <c r="Z82" s="68"/>
      <c r="AA82" s="68"/>
      <c r="AB82" s="68"/>
      <c r="AC82" s="68"/>
      <c r="AD82" s="68"/>
      <c r="AE82" t="s">
        <v>162</v>
      </c>
      <c r="AG82" s="7">
        <f t="shared" si="6"/>
        <v>74669.257707439654</v>
      </c>
      <c r="AH82" s="59">
        <v>20788.473738746172</v>
      </c>
      <c r="AJ82" s="7">
        <f t="shared" si="5"/>
        <v>95457.731446185819</v>
      </c>
    </row>
    <row r="83" spans="4:36" x14ac:dyDescent="0.3">
      <c r="D83" s="59"/>
      <c r="E83" s="59"/>
      <c r="F83" s="59"/>
      <c r="G83" s="59"/>
      <c r="H83" s="59"/>
      <c r="I83" s="59"/>
      <c r="J83" s="59"/>
      <c r="K83" s="59" t="s">
        <v>163</v>
      </c>
      <c r="L83" s="59">
        <v>2940.8016702093391</v>
      </c>
      <c r="M83" s="59">
        <v>2940.8016702093391</v>
      </c>
      <c r="N83" s="59"/>
      <c r="O83" s="59" t="s">
        <v>163</v>
      </c>
      <c r="P83" s="59">
        <v>3666.6101555469618</v>
      </c>
      <c r="Q83" s="59">
        <v>3666.6101555469618</v>
      </c>
      <c r="S83" t="s">
        <v>163</v>
      </c>
      <c r="T83" s="59">
        <v>13828.912872951118</v>
      </c>
      <c r="U83" s="59">
        <v>13828.912872951118</v>
      </c>
      <c r="V83" s="59"/>
      <c r="W83" s="59" t="s">
        <v>163</v>
      </c>
      <c r="X83" s="68">
        <v>38590.03164297255</v>
      </c>
      <c r="Y83" s="68"/>
      <c r="Z83" s="68"/>
      <c r="AA83" s="68"/>
      <c r="AB83" s="68"/>
      <c r="AC83" s="68"/>
      <c r="AD83" s="68"/>
      <c r="AE83" t="s">
        <v>163</v>
      </c>
      <c r="AG83" s="7">
        <f t="shared" si="6"/>
        <v>79462.681040387382</v>
      </c>
      <c r="AH83" s="59">
        <v>21550.974738554487</v>
      </c>
      <c r="AJ83" s="7">
        <f t="shared" si="5"/>
        <v>101013.65577894187</v>
      </c>
    </row>
    <row r="84" spans="4:36" x14ac:dyDescent="0.3">
      <c r="D84" s="59"/>
      <c r="E84" s="59"/>
      <c r="F84" s="59"/>
      <c r="G84" s="59"/>
      <c r="H84" s="59"/>
      <c r="I84" s="59"/>
      <c r="J84" s="59"/>
      <c r="K84" s="59" t="s">
        <v>166</v>
      </c>
      <c r="L84" s="59">
        <v>2940.8016702093391</v>
      </c>
      <c r="M84" s="59">
        <v>2940.8016702093391</v>
      </c>
      <c r="N84" s="59"/>
      <c r="O84" s="59" t="s">
        <v>166</v>
      </c>
      <c r="P84" s="59">
        <v>3147.5684305610635</v>
      </c>
      <c r="Q84" s="59">
        <v>3147.5684305610635</v>
      </c>
      <c r="S84" t="s">
        <v>166</v>
      </c>
      <c r="T84" s="59">
        <v>13828.912872951118</v>
      </c>
      <c r="U84" s="59">
        <v>13828.912872951118</v>
      </c>
      <c r="V84" s="59"/>
      <c r="W84" s="59" t="s">
        <v>166</v>
      </c>
      <c r="X84" s="68">
        <v>34834.691759996611</v>
      </c>
      <c r="Y84" s="68"/>
      <c r="Z84" s="68"/>
      <c r="AA84" s="68"/>
      <c r="AB84" s="68"/>
      <c r="AC84" s="68"/>
      <c r="AD84" s="68"/>
      <c r="AE84" t="s">
        <v>166</v>
      </c>
      <c r="AG84" s="7">
        <f t="shared" si="6"/>
        <v>74669.257707439654</v>
      </c>
      <c r="AH84" s="59">
        <v>20788.473738746172</v>
      </c>
      <c r="AJ84" s="7">
        <f t="shared" si="5"/>
        <v>95457.731446185819</v>
      </c>
    </row>
    <row r="85" spans="4:36" x14ac:dyDescent="0.3">
      <c r="D85" s="59"/>
      <c r="E85" s="59"/>
      <c r="F85" s="59"/>
      <c r="G85" s="59"/>
      <c r="H85" s="59"/>
      <c r="I85" s="59"/>
      <c r="J85" s="59"/>
      <c r="K85" s="59" t="s">
        <v>170</v>
      </c>
      <c r="L85" s="59">
        <v>1176.3206680837368</v>
      </c>
      <c r="M85" s="59">
        <v>1176.3206680837368</v>
      </c>
      <c r="N85" s="59"/>
      <c r="O85" s="59" t="s">
        <v>170</v>
      </c>
      <c r="P85" s="59">
        <v>1259.0273722244253</v>
      </c>
      <c r="Q85" s="59">
        <v>1259.0273722244253</v>
      </c>
      <c r="S85" t="s">
        <v>170</v>
      </c>
      <c r="T85" s="59">
        <v>5531.5651491804474</v>
      </c>
      <c r="U85" s="59">
        <v>5531.5651491804474</v>
      </c>
      <c r="V85" s="59"/>
      <c r="W85" s="59" t="s">
        <v>170</v>
      </c>
      <c r="X85" s="68">
        <v>13933.876703998645</v>
      </c>
      <c r="Y85" s="68"/>
      <c r="Z85" s="68"/>
      <c r="AA85" s="68"/>
      <c r="AB85" s="68"/>
      <c r="AC85" s="68"/>
      <c r="AD85" s="68"/>
      <c r="AE85" t="s">
        <v>170</v>
      </c>
      <c r="AG85" s="7">
        <f t="shared" si="6"/>
        <v>29867.703082975866</v>
      </c>
      <c r="AH85" s="59">
        <v>7486.259937979502</v>
      </c>
      <c r="AJ85" s="7">
        <f t="shared" si="5"/>
        <v>37353.963020955365</v>
      </c>
    </row>
    <row r="86" spans="4:36" x14ac:dyDescent="0.3">
      <c r="D86" s="59"/>
      <c r="E86" s="59"/>
      <c r="F86" s="59"/>
      <c r="G86" s="59"/>
      <c r="H86" s="59"/>
      <c r="I86" s="59"/>
      <c r="J86" s="59"/>
      <c r="K86" s="59" t="s">
        <v>171</v>
      </c>
      <c r="L86" s="59">
        <v>3136.9429454520337</v>
      </c>
      <c r="M86" s="59">
        <v>3136.9429454520337</v>
      </c>
      <c r="N86" s="59"/>
      <c r="O86" s="59" t="s">
        <v>171</v>
      </c>
      <c r="P86" s="59">
        <v>4060.2785088625369</v>
      </c>
      <c r="Q86" s="59">
        <v>4060.2785088625369</v>
      </c>
      <c r="S86" t="s">
        <v>171</v>
      </c>
      <c r="T86" s="59">
        <v>13828.912872951118</v>
      </c>
      <c r="U86" s="59">
        <v>13828.912872951118</v>
      </c>
      <c r="V86" s="59"/>
      <c r="W86" s="59" t="s">
        <v>171</v>
      </c>
      <c r="X86" s="68">
        <v>42733.279375023492</v>
      </c>
      <c r="Y86" s="68"/>
      <c r="Z86" s="68"/>
      <c r="AA86" s="68"/>
      <c r="AB86" s="68"/>
      <c r="AC86" s="68"/>
      <c r="AD86" s="37"/>
      <c r="AE86" t="s">
        <v>272</v>
      </c>
      <c r="AG86" s="7">
        <f t="shared" si="6"/>
        <v>84785.548029554862</v>
      </c>
      <c r="AH86" s="59">
        <v>22636.476168284684</v>
      </c>
      <c r="AJ86" s="7">
        <f t="shared" si="5"/>
        <v>107422.02419783955</v>
      </c>
    </row>
    <row r="87" spans="4:36" x14ac:dyDescent="0.3">
      <c r="D87" s="59"/>
      <c r="E87" s="59"/>
      <c r="F87" s="59"/>
      <c r="G87" s="59"/>
      <c r="H87" s="59"/>
      <c r="I87" s="59"/>
      <c r="J87" s="59"/>
      <c r="K87" s="59" t="s">
        <v>172</v>
      </c>
      <c r="L87" s="59">
        <v>2940.8016702093391</v>
      </c>
      <c r="M87" s="59">
        <v>2940.8016702093391</v>
      </c>
      <c r="N87" s="59"/>
      <c r="O87" s="59" t="s">
        <v>172</v>
      </c>
      <c r="P87" s="59">
        <v>3147.5684305610635</v>
      </c>
      <c r="Q87" s="59">
        <v>3147.5684305610635</v>
      </c>
      <c r="S87" t="s">
        <v>172</v>
      </c>
      <c r="T87" s="59">
        <v>13828.912872951118</v>
      </c>
      <c r="U87" s="59">
        <v>13828.912872951118</v>
      </c>
      <c r="V87" s="59"/>
      <c r="W87" s="59" t="s">
        <v>172</v>
      </c>
      <c r="X87" s="68">
        <v>34834.691759996611</v>
      </c>
      <c r="Y87" s="68"/>
      <c r="Z87" s="68"/>
      <c r="AA87" s="71"/>
      <c r="AB87" s="71"/>
      <c r="AC87" s="71"/>
      <c r="AD87" s="42"/>
      <c r="AE87" t="s">
        <v>273</v>
      </c>
      <c r="AG87" s="7">
        <f t="shared" si="6"/>
        <v>74669.257707439654</v>
      </c>
      <c r="AH87" s="59">
        <v>20788.473738746172</v>
      </c>
      <c r="AJ87" s="7">
        <f t="shared" si="5"/>
        <v>95457.731446185819</v>
      </c>
    </row>
    <row r="88" spans="4:36" x14ac:dyDescent="0.3">
      <c r="D88" s="59"/>
      <c r="E88" s="59"/>
      <c r="F88" s="59"/>
      <c r="G88" s="59"/>
      <c r="H88" s="59"/>
      <c r="I88" s="59"/>
      <c r="J88" s="59"/>
      <c r="K88" s="59" t="s">
        <v>175</v>
      </c>
      <c r="L88" s="59">
        <v>1176.3206680837357</v>
      </c>
      <c r="M88" s="59">
        <v>1176.3206680837357</v>
      </c>
      <c r="N88" s="59"/>
      <c r="O88" s="59" t="s">
        <v>175</v>
      </c>
      <c r="P88" s="59">
        <v>1259.0273722244253</v>
      </c>
      <c r="Q88" s="59">
        <v>1259.0273722244253</v>
      </c>
      <c r="T88" s="59"/>
      <c r="U88" s="59"/>
      <c r="V88" s="59"/>
      <c r="W88" s="59"/>
      <c r="X88" s="37"/>
      <c r="Y88" s="37"/>
      <c r="Z88" s="68"/>
      <c r="AA88" s="68"/>
      <c r="AB88" s="68"/>
      <c r="AC88" s="68"/>
      <c r="AD88" s="37"/>
      <c r="AE88" t="s">
        <v>274</v>
      </c>
      <c r="AG88" s="7">
        <f t="shared" si="6"/>
        <v>4870.6960806163224</v>
      </c>
      <c r="AH88" s="59">
        <v>3571.4640745660031</v>
      </c>
      <c r="AJ88" s="7">
        <f t="shared" si="5"/>
        <v>8442.160155182326</v>
      </c>
    </row>
    <row r="89" spans="4:36" x14ac:dyDescent="0.3">
      <c r="D89" s="59"/>
      <c r="E89" s="59"/>
      <c r="F89" s="59"/>
      <c r="G89" s="59"/>
      <c r="H89" s="59"/>
      <c r="I89" s="59"/>
      <c r="J89" s="59"/>
      <c r="K89" s="59" t="s">
        <v>177</v>
      </c>
      <c r="L89" s="59">
        <v>4352.7683305790115</v>
      </c>
      <c r="M89" s="59">
        <v>4352.7683305790115</v>
      </c>
      <c r="N89" s="59"/>
      <c r="O89" s="59" t="s">
        <v>177</v>
      </c>
      <c r="P89" s="59">
        <v>5633.9729520202281</v>
      </c>
      <c r="Q89" s="59">
        <v>5633.9729520202281</v>
      </c>
      <c r="S89" t="s">
        <v>177</v>
      </c>
      <c r="T89" s="59">
        <v>13828.912872951118</v>
      </c>
      <c r="U89" s="59">
        <v>13828.912872951118</v>
      </c>
      <c r="V89" s="59"/>
      <c r="W89" s="59" t="s">
        <v>177</v>
      </c>
      <c r="X89" s="68">
        <v>59295.966920617298</v>
      </c>
      <c r="Y89" s="68"/>
      <c r="Z89" s="68"/>
      <c r="AA89" s="68"/>
      <c r="AB89" s="68"/>
      <c r="AC89" s="68"/>
      <c r="AD89" s="37"/>
      <c r="AE89" t="s">
        <v>275</v>
      </c>
      <c r="AG89" s="7">
        <f t="shared" si="6"/>
        <v>106927.27523171801</v>
      </c>
      <c r="AH89" s="59">
        <v>26986.779764616716</v>
      </c>
      <c r="AJ89" s="7">
        <f t="shared" si="5"/>
        <v>133914.05499633471</v>
      </c>
    </row>
    <row r="90" spans="4:36" x14ac:dyDescent="0.3">
      <c r="D90" s="59"/>
      <c r="E90" s="59"/>
      <c r="F90" s="59"/>
      <c r="G90" s="59"/>
      <c r="H90" s="59"/>
      <c r="I90" s="59"/>
      <c r="J90" s="59"/>
      <c r="K90" s="59" t="s">
        <v>179</v>
      </c>
      <c r="L90" s="59">
        <v>1176.3206680837357</v>
      </c>
      <c r="M90" s="59">
        <v>1176.3206680837357</v>
      </c>
      <c r="N90" s="59"/>
      <c r="O90" s="59" t="s">
        <v>179</v>
      </c>
      <c r="P90" s="59">
        <v>1259.0273722244256</v>
      </c>
      <c r="Q90" s="59">
        <v>1259.0273722244256</v>
      </c>
      <c r="S90" t="s">
        <v>179</v>
      </c>
      <c r="T90" s="59">
        <v>5531.5651491804474</v>
      </c>
      <c r="U90" s="59">
        <v>5531.5651491804474</v>
      </c>
      <c r="V90" s="59"/>
      <c r="W90" s="59" t="s">
        <v>179</v>
      </c>
      <c r="X90" s="68">
        <v>13933.876703998645</v>
      </c>
      <c r="Y90" s="68"/>
      <c r="Z90" s="68"/>
      <c r="AA90" s="68"/>
      <c r="AB90" s="68"/>
      <c r="AC90" s="68"/>
      <c r="AD90" s="38"/>
      <c r="AE90" t="s">
        <v>276</v>
      </c>
      <c r="AG90" s="7">
        <f t="shared" si="6"/>
        <v>29867.703082975862</v>
      </c>
      <c r="AH90" s="59">
        <v>7486.259937979502</v>
      </c>
      <c r="AJ90" s="7">
        <f t="shared" si="5"/>
        <v>37353.963020955365</v>
      </c>
    </row>
    <row r="91" spans="4:36" x14ac:dyDescent="0.3">
      <c r="D91" s="59"/>
      <c r="E91" s="59"/>
      <c r="F91" s="59"/>
      <c r="G91" s="59"/>
      <c r="H91" s="59"/>
      <c r="I91" s="59"/>
      <c r="J91" s="59"/>
      <c r="K91" s="59" t="s">
        <v>180</v>
      </c>
      <c r="L91" s="59">
        <v>2940.8016702093391</v>
      </c>
      <c r="M91" s="59">
        <v>2940.8016702093391</v>
      </c>
      <c r="N91" s="59"/>
      <c r="O91" s="59" t="s">
        <v>180</v>
      </c>
      <c r="P91" s="59">
        <v>3147.5684305610635</v>
      </c>
      <c r="Q91" s="59">
        <v>3147.5684305610635</v>
      </c>
      <c r="S91" t="s">
        <v>180</v>
      </c>
      <c r="T91" s="59">
        <v>13828.912872951118</v>
      </c>
      <c r="U91" s="59">
        <v>13828.912872951118</v>
      </c>
      <c r="V91" s="59"/>
      <c r="W91" s="59" t="s">
        <v>180</v>
      </c>
      <c r="X91" s="68">
        <v>34834.691759996618</v>
      </c>
      <c r="Y91" s="68"/>
      <c r="Z91" s="68"/>
      <c r="AA91" s="59"/>
      <c r="AB91" s="59"/>
      <c r="AC91" s="59"/>
      <c r="AE91" t="s">
        <v>277</v>
      </c>
      <c r="AG91" s="7">
        <f t="shared" si="6"/>
        <v>74669.257707439654</v>
      </c>
      <c r="AH91" s="59">
        <v>20788.473738746172</v>
      </c>
      <c r="AJ91" s="7">
        <f t="shared" si="5"/>
        <v>95457.731446185819</v>
      </c>
    </row>
    <row r="92" spans="4:36" x14ac:dyDescent="0.3">
      <c r="D92" s="59"/>
      <c r="E92" s="59"/>
      <c r="F92" s="59"/>
      <c r="G92" s="59"/>
      <c r="H92" s="59"/>
      <c r="I92" s="59"/>
      <c r="J92" s="59"/>
      <c r="K92" s="59" t="s">
        <v>181</v>
      </c>
      <c r="L92" s="59">
        <v>2940.8016702093391</v>
      </c>
      <c r="M92" s="59">
        <v>2940.8016702093391</v>
      </c>
      <c r="N92" s="59"/>
      <c r="O92" s="59" t="s">
        <v>181</v>
      </c>
      <c r="P92" s="59">
        <v>3147.5684305610635</v>
      </c>
      <c r="Q92" s="59">
        <v>3147.5684305610635</v>
      </c>
      <c r="T92" s="59"/>
      <c r="U92" s="59"/>
      <c r="V92" s="59"/>
      <c r="W92" s="59"/>
      <c r="Z92" s="59"/>
      <c r="AA92" s="59"/>
      <c r="AB92" s="59"/>
      <c r="AC92" s="59"/>
      <c r="AE92" t="s">
        <v>278</v>
      </c>
      <c r="AG92" s="7">
        <f t="shared" si="6"/>
        <v>12176.740201540804</v>
      </c>
      <c r="AH92" s="59">
        <v>8928.6601864150089</v>
      </c>
      <c r="AJ92" s="7">
        <f t="shared" si="5"/>
        <v>21105.400387955815</v>
      </c>
    </row>
    <row r="93" spans="4:36" x14ac:dyDescent="0.3">
      <c r="D93" s="59"/>
      <c r="E93" s="59"/>
      <c r="F93" s="59"/>
      <c r="G93" s="59"/>
      <c r="H93" s="59"/>
      <c r="I93" s="59"/>
      <c r="J93" s="59"/>
      <c r="K93" s="59" t="s">
        <v>182</v>
      </c>
      <c r="L93" s="59">
        <v>2940.8016702093391</v>
      </c>
      <c r="M93" s="59">
        <v>2940.8016702093391</v>
      </c>
      <c r="N93" s="59"/>
      <c r="O93" s="59" t="s">
        <v>182</v>
      </c>
      <c r="P93" s="59">
        <v>3147.5684305610635</v>
      </c>
      <c r="Q93" s="59">
        <v>3147.5684305610635</v>
      </c>
      <c r="S93" t="s">
        <v>182</v>
      </c>
      <c r="T93" s="59">
        <v>13828.912872951118</v>
      </c>
      <c r="U93" s="59">
        <v>13828.912872951118</v>
      </c>
      <c r="V93" s="59"/>
      <c r="W93" s="59" t="s">
        <v>182</v>
      </c>
      <c r="X93" s="68">
        <v>34834.691759996611</v>
      </c>
      <c r="Y93" s="68"/>
      <c r="Z93" s="68"/>
      <c r="AA93" s="59"/>
      <c r="AB93" s="59"/>
      <c r="AC93" s="59"/>
      <c r="AE93" t="s">
        <v>279</v>
      </c>
      <c r="AG93" s="7">
        <f t="shared" si="6"/>
        <v>74669.257707439654</v>
      </c>
      <c r="AH93" s="59">
        <v>18715.649844948755</v>
      </c>
      <c r="AJ93" s="7">
        <f t="shared" si="5"/>
        <v>93384.907552388409</v>
      </c>
    </row>
    <row r="94" spans="4:36" x14ac:dyDescent="0.3">
      <c r="D94" s="59"/>
      <c r="E94" s="59"/>
      <c r="F94" s="59"/>
      <c r="G94" s="59"/>
      <c r="H94" s="59"/>
      <c r="I94" s="59"/>
      <c r="J94" s="59"/>
      <c r="K94" s="59" t="s">
        <v>183</v>
      </c>
      <c r="L94" s="59">
        <v>3379.7298497293336</v>
      </c>
      <c r="M94" s="59">
        <v>3379.7298497293336</v>
      </c>
      <c r="N94" s="59"/>
      <c r="O94" s="59" t="s">
        <v>183</v>
      </c>
      <c r="P94" s="59">
        <v>4374.5279124417712</v>
      </c>
      <c r="Q94" s="59">
        <v>4374.53</v>
      </c>
      <c r="S94" t="s">
        <v>183</v>
      </c>
      <c r="T94" s="59">
        <v>13828.912872951118</v>
      </c>
      <c r="U94" s="59">
        <v>13828.912872951118</v>
      </c>
      <c r="V94" s="59"/>
      <c r="W94" s="59" t="s">
        <v>183</v>
      </c>
      <c r="X94" s="68">
        <v>46040.665192837259</v>
      </c>
      <c r="Y94" s="68"/>
      <c r="Z94" s="68"/>
      <c r="AA94" s="59"/>
      <c r="AB94" s="59"/>
      <c r="AC94" s="59"/>
      <c r="AE94" t="s">
        <v>280</v>
      </c>
      <c r="AG94" s="7">
        <f t="shared" si="6"/>
        <v>89207.008550639934</v>
      </c>
      <c r="AH94" s="59">
        <v>20954.026998816644</v>
      </c>
      <c r="AJ94" s="7">
        <f t="shared" si="5"/>
        <v>110161.03554945657</v>
      </c>
    </row>
    <row r="95" spans="4:36" x14ac:dyDescent="0.3">
      <c r="D95" s="59"/>
      <c r="E95" s="59"/>
      <c r="F95" s="59"/>
      <c r="G95" s="59"/>
      <c r="H95" s="59"/>
      <c r="I95" s="59"/>
      <c r="J95" s="59"/>
      <c r="K95" s="59" t="s">
        <v>188</v>
      </c>
      <c r="L95" s="59">
        <v>28643.843915809168</v>
      </c>
      <c r="M95" s="59">
        <v>28643.843915809168</v>
      </c>
      <c r="N95" s="59"/>
      <c r="O95" s="59"/>
      <c r="P95" s="59"/>
      <c r="Q95" s="59"/>
      <c r="S95" t="s">
        <v>188</v>
      </c>
      <c r="T95" s="59">
        <v>71360.606003353954</v>
      </c>
      <c r="U95" s="59">
        <v>71360.606003353954</v>
      </c>
      <c r="V95" s="59"/>
      <c r="W95" s="59" t="s">
        <v>188</v>
      </c>
      <c r="X95" s="68">
        <v>390203.2665922317</v>
      </c>
      <c r="Y95" s="68"/>
      <c r="Z95" s="68"/>
      <c r="AA95" s="59"/>
      <c r="AB95" s="59"/>
      <c r="AC95" s="59"/>
      <c r="AE95" t="s">
        <v>281</v>
      </c>
      <c r="AG95" s="7">
        <f t="shared" si="6"/>
        <v>590212.16643055796</v>
      </c>
      <c r="AH95" s="59">
        <v>206258.7056205452</v>
      </c>
      <c r="AJ95" s="7">
        <f t="shared" si="5"/>
        <v>796470.87205110316</v>
      </c>
    </row>
    <row r="96" spans="4:36" x14ac:dyDescent="0.3">
      <c r="D96" s="59"/>
      <c r="E96" s="59"/>
      <c r="F96" s="59"/>
      <c r="G96" s="59"/>
      <c r="H96" s="59"/>
      <c r="I96" s="59"/>
      <c r="J96" s="59"/>
      <c r="K96" s="59" t="s">
        <v>189</v>
      </c>
      <c r="L96" s="59">
        <v>1176.3206680837357</v>
      </c>
      <c r="M96" s="59">
        <v>1176.3206680837357</v>
      </c>
      <c r="N96" s="59"/>
      <c r="O96" s="59" t="s">
        <v>189</v>
      </c>
      <c r="P96" s="59">
        <v>1259.0273722244253</v>
      </c>
      <c r="Q96" s="59">
        <v>1259.0273722244253</v>
      </c>
      <c r="S96" t="s">
        <v>189</v>
      </c>
      <c r="T96" s="59">
        <v>5531.5651491804474</v>
      </c>
      <c r="U96" s="59">
        <v>5531.5651491804474</v>
      </c>
      <c r="V96" s="59"/>
      <c r="W96" s="59" t="s">
        <v>189</v>
      </c>
      <c r="X96" s="68">
        <v>13933.876703998645</v>
      </c>
      <c r="Y96" s="68"/>
      <c r="Z96" s="68"/>
      <c r="AA96" s="59"/>
      <c r="AB96" s="59"/>
      <c r="AC96" s="59"/>
      <c r="AE96" t="s">
        <v>282</v>
      </c>
      <c r="AG96" s="7">
        <f t="shared" si="6"/>
        <v>29867.703082975862</v>
      </c>
      <c r="AH96" s="59">
        <v>8414.3668216855731</v>
      </c>
      <c r="AJ96" s="7">
        <f t="shared" si="5"/>
        <v>38282.069904661432</v>
      </c>
    </row>
    <row r="97" spans="4:36" x14ac:dyDescent="0.3">
      <c r="D97" s="59"/>
      <c r="E97" s="59"/>
      <c r="F97" s="59"/>
      <c r="G97" s="59"/>
      <c r="H97" s="59"/>
      <c r="I97" s="59"/>
      <c r="J97" s="59"/>
      <c r="K97" s="59" t="s">
        <v>191</v>
      </c>
      <c r="L97" s="59">
        <v>39093.418747996533</v>
      </c>
      <c r="M97" s="59">
        <v>39093.418747996533</v>
      </c>
      <c r="N97" s="59"/>
      <c r="O97" s="59" t="s">
        <v>191</v>
      </c>
      <c r="P97" s="59">
        <v>50600.272539410522</v>
      </c>
      <c r="Q97" s="59">
        <v>50600.272539410522</v>
      </c>
      <c r="T97" s="59"/>
      <c r="U97" s="59"/>
      <c r="V97" s="59"/>
      <c r="W97" s="59"/>
      <c r="Z97" s="59"/>
      <c r="AA97" s="59"/>
      <c r="AB97" s="59"/>
      <c r="AC97" s="59"/>
      <c r="AE97" t="s">
        <v>283</v>
      </c>
      <c r="AG97" s="7">
        <f t="shared" si="6"/>
        <v>179387.38257481411</v>
      </c>
      <c r="AH97" s="59">
        <v>112899.11777716527</v>
      </c>
      <c r="AJ97" s="7">
        <f t="shared" si="5"/>
        <v>292286.5003519794</v>
      </c>
    </row>
    <row r="98" spans="4:36" x14ac:dyDescent="0.3">
      <c r="D98" s="59"/>
      <c r="E98" s="59"/>
      <c r="F98" s="59"/>
      <c r="G98" s="59"/>
      <c r="H98" s="59"/>
      <c r="I98" s="59"/>
      <c r="J98" s="59"/>
      <c r="K98" s="59" t="s">
        <v>192</v>
      </c>
      <c r="L98" s="59">
        <v>1176.3206680837357</v>
      </c>
      <c r="M98" s="59">
        <v>1176.3206680837357</v>
      </c>
      <c r="N98" s="59"/>
      <c r="O98" s="59" t="s">
        <v>192</v>
      </c>
      <c r="P98" s="59">
        <v>1259.0273722244253</v>
      </c>
      <c r="Q98" s="59">
        <v>1259.0273722244253</v>
      </c>
      <c r="S98" t="s">
        <v>192</v>
      </c>
      <c r="T98" s="59">
        <v>5531.5651491804474</v>
      </c>
      <c r="U98" s="59">
        <v>5531.5651491804474</v>
      </c>
      <c r="V98" s="59"/>
      <c r="W98" s="59" t="s">
        <v>192</v>
      </c>
      <c r="X98" s="68">
        <v>13933.876703998645</v>
      </c>
      <c r="Y98" s="68"/>
      <c r="Z98" s="68"/>
      <c r="AA98" s="59"/>
      <c r="AB98" s="59"/>
      <c r="AC98" s="59"/>
      <c r="AE98" t="s">
        <v>284</v>
      </c>
      <c r="AG98" s="7">
        <f t="shared" si="6"/>
        <v>29867.703082975862</v>
      </c>
      <c r="AH98" s="59">
        <v>8315.389495498468</v>
      </c>
      <c r="AJ98" s="7">
        <f t="shared" si="5"/>
        <v>38183.09257847433</v>
      </c>
    </row>
    <row r="99" spans="4:36" x14ac:dyDescent="0.3">
      <c r="D99" s="59"/>
      <c r="E99" s="59"/>
      <c r="F99" s="59"/>
      <c r="G99" s="59"/>
      <c r="H99" s="59"/>
      <c r="I99" s="59"/>
      <c r="J99" s="59"/>
      <c r="K99" s="59" t="s">
        <v>194</v>
      </c>
      <c r="L99" s="59">
        <v>1176.3206680837357</v>
      </c>
      <c r="M99" s="59">
        <v>1176.3206680837357</v>
      </c>
      <c r="N99" s="59"/>
      <c r="O99" s="59" t="s">
        <v>194</v>
      </c>
      <c r="P99" s="59">
        <v>1259.0273722244253</v>
      </c>
      <c r="Q99" s="59">
        <v>1259.0273722244253</v>
      </c>
      <c r="T99" s="59"/>
      <c r="U99" s="59"/>
      <c r="V99" s="59"/>
      <c r="W99" s="59"/>
      <c r="Z99" s="59"/>
      <c r="AA99" s="59"/>
      <c r="AB99" s="59"/>
      <c r="AC99" s="59"/>
      <c r="AE99" t="s">
        <v>285</v>
      </c>
      <c r="AG99" s="7">
        <f t="shared" si="6"/>
        <v>4870.6960806163224</v>
      </c>
      <c r="AH99" s="59">
        <v>3571.4640745660031</v>
      </c>
      <c r="AJ99" s="7">
        <f t="shared" si="5"/>
        <v>8442.160155182326</v>
      </c>
    </row>
    <row r="100" spans="4:36" x14ac:dyDescent="0.3">
      <c r="D100" s="59"/>
      <c r="E100" s="59"/>
      <c r="F100" s="59"/>
      <c r="G100" s="59"/>
      <c r="H100" s="59"/>
      <c r="I100" s="59"/>
      <c r="J100" s="59"/>
      <c r="K100" s="59" t="s">
        <v>195</v>
      </c>
      <c r="L100" s="59">
        <v>1176.3206680837357</v>
      </c>
      <c r="M100" s="59">
        <v>1176.3206680837357</v>
      </c>
      <c r="N100" s="59"/>
      <c r="O100" s="59" t="s">
        <v>195</v>
      </c>
      <c r="P100" s="59">
        <v>1259.0273722244253</v>
      </c>
      <c r="Q100" s="59">
        <v>1259.0273722244253</v>
      </c>
      <c r="T100" s="59"/>
      <c r="U100" s="59"/>
      <c r="V100" s="59"/>
      <c r="W100" s="59"/>
      <c r="Z100" s="59"/>
      <c r="AA100" s="59"/>
      <c r="AB100" s="59"/>
      <c r="AC100" s="59"/>
      <c r="AE100" t="s">
        <v>286</v>
      </c>
      <c r="AG100" s="7">
        <f t="shared" si="6"/>
        <v>4870.6960806163224</v>
      </c>
      <c r="AH100" s="59">
        <v>3571.4640745660031</v>
      </c>
      <c r="AJ100" s="7">
        <f t="shared" si="5"/>
        <v>8442.160155182326</v>
      </c>
    </row>
    <row r="101" spans="4:36" x14ac:dyDescent="0.3">
      <c r="D101" s="59"/>
      <c r="E101" s="59"/>
      <c r="F101" s="59"/>
      <c r="G101" s="59"/>
      <c r="H101" s="59"/>
      <c r="I101" s="59"/>
      <c r="J101" s="59"/>
      <c r="K101" s="59" t="s">
        <v>196</v>
      </c>
      <c r="L101" s="59">
        <v>3176.934713563131</v>
      </c>
      <c r="M101" s="59">
        <v>3176.934713563131</v>
      </c>
      <c r="N101" s="59"/>
      <c r="O101" s="59" t="s">
        <v>196</v>
      </c>
      <c r="P101" s="59">
        <v>4112.0415531436956</v>
      </c>
      <c r="Q101" s="59">
        <v>4112.0415531436956</v>
      </c>
      <c r="S101" t="s">
        <v>196</v>
      </c>
      <c r="T101" s="59">
        <v>13828.912872951118</v>
      </c>
      <c r="U101" s="59">
        <v>13828.912872951118</v>
      </c>
      <c r="V101" s="59"/>
      <c r="W101" s="59" t="s">
        <v>196</v>
      </c>
      <c r="X101" s="68">
        <v>43278.070730527863</v>
      </c>
      <c r="Y101" s="68"/>
      <c r="Z101" s="68"/>
      <c r="AA101" s="59"/>
      <c r="AB101" s="59"/>
      <c r="AC101" s="59"/>
      <c r="AE101" t="s">
        <v>287</v>
      </c>
      <c r="AG101" s="7">
        <f t="shared" si="6"/>
        <v>85513.849009843747</v>
      </c>
      <c r="AH101" s="59">
        <v>22811.232230983016</v>
      </c>
      <c r="AJ101" s="7">
        <f t="shared" si="5"/>
        <v>108325.08124082677</v>
      </c>
    </row>
    <row r="102" spans="4:36" x14ac:dyDescent="0.3">
      <c r="D102" s="59"/>
      <c r="E102" s="59"/>
      <c r="F102" s="59"/>
      <c r="G102" s="59"/>
      <c r="H102" s="59"/>
      <c r="I102" s="59"/>
      <c r="J102" s="59"/>
      <c r="K102" s="59" t="s">
        <v>197</v>
      </c>
      <c r="L102" s="59">
        <v>2940.8016702093391</v>
      </c>
      <c r="M102" s="59">
        <v>2940.8016702093391</v>
      </c>
      <c r="N102" s="59"/>
      <c r="O102" s="59" t="s">
        <v>197</v>
      </c>
      <c r="P102" s="59">
        <v>3137.4768140062256</v>
      </c>
      <c r="Q102" s="59">
        <v>3137.4768140062256</v>
      </c>
      <c r="S102" t="s">
        <v>197</v>
      </c>
      <c r="T102" s="59">
        <v>13828.912872951118</v>
      </c>
      <c r="U102" s="59">
        <v>13828.912872951118</v>
      </c>
      <c r="V102" s="59"/>
      <c r="W102" s="59" t="s">
        <v>197</v>
      </c>
      <c r="X102" s="68">
        <v>34834.691759996618</v>
      </c>
      <c r="Y102" s="68"/>
      <c r="Z102" s="68"/>
      <c r="AA102" s="59"/>
      <c r="AB102" s="59"/>
      <c r="AC102" s="59"/>
      <c r="AE102" t="s">
        <v>288</v>
      </c>
      <c r="AG102" s="7">
        <f t="shared" si="6"/>
        <v>74649.074474329973</v>
      </c>
      <c r="AH102" s="59">
        <v>21141.805268209355</v>
      </c>
      <c r="AJ102" s="7">
        <f t="shared" si="5"/>
        <v>95790.879742539328</v>
      </c>
    </row>
    <row r="103" spans="4:36" x14ac:dyDescent="0.3">
      <c r="D103" s="59"/>
      <c r="E103" s="59"/>
      <c r="F103" s="59"/>
      <c r="G103" s="59"/>
      <c r="H103" s="59"/>
      <c r="I103" s="59"/>
      <c r="J103" s="59"/>
      <c r="K103" s="59" t="s">
        <v>199</v>
      </c>
      <c r="L103" s="59">
        <v>2940.8016702093391</v>
      </c>
      <c r="M103" s="59">
        <v>2940.8016702093391</v>
      </c>
      <c r="N103" s="59"/>
      <c r="O103" s="59" t="s">
        <v>199</v>
      </c>
      <c r="P103" s="59">
        <v>3147.5684305610635</v>
      </c>
      <c r="Q103" s="59">
        <v>3147.5684305610635</v>
      </c>
      <c r="S103" t="s">
        <v>199</v>
      </c>
      <c r="T103" s="59">
        <v>13828.912872951118</v>
      </c>
      <c r="U103" s="59">
        <v>13828.912872951118</v>
      </c>
      <c r="V103" s="59"/>
      <c r="W103" s="59" t="s">
        <v>199</v>
      </c>
      <c r="X103" s="68">
        <v>34834.691759996618</v>
      </c>
      <c r="Y103" s="68"/>
      <c r="Z103" s="68"/>
      <c r="AA103" s="59"/>
      <c r="AB103" s="59"/>
      <c r="AC103" s="59"/>
      <c r="AE103" t="s">
        <v>289</v>
      </c>
      <c r="AG103" s="7">
        <f t="shared" si="6"/>
        <v>74669.257707439654</v>
      </c>
      <c r="AH103" s="59">
        <v>18715.649844948755</v>
      </c>
      <c r="AJ103" s="7">
        <f t="shared" si="5"/>
        <v>93384.907552388409</v>
      </c>
    </row>
    <row r="104" spans="4:36" x14ac:dyDescent="0.3">
      <c r="D104" s="59"/>
      <c r="E104" s="59"/>
      <c r="F104" s="59"/>
      <c r="G104" s="59"/>
      <c r="H104" s="59"/>
      <c r="I104" s="59"/>
      <c r="J104" s="59"/>
      <c r="K104" s="59" t="s">
        <v>200</v>
      </c>
      <c r="L104" s="59">
        <v>1176.3206680837357</v>
      </c>
      <c r="M104" s="59">
        <v>1176.3206680837357</v>
      </c>
      <c r="N104" s="59"/>
      <c r="O104" s="59" t="s">
        <v>200</v>
      </c>
      <c r="P104" s="59">
        <v>1259.0273722244253</v>
      </c>
      <c r="Q104" s="59">
        <v>1259.0273722244253</v>
      </c>
      <c r="S104" t="s">
        <v>200</v>
      </c>
      <c r="T104" s="59">
        <v>5531.5651491804474</v>
      </c>
      <c r="U104" s="59">
        <v>5531.5651491804474</v>
      </c>
      <c r="V104" s="59"/>
      <c r="W104" s="59" t="s">
        <v>200</v>
      </c>
      <c r="X104" s="68">
        <v>13933.876703998645</v>
      </c>
      <c r="Y104" s="68"/>
      <c r="Z104" s="68"/>
      <c r="AA104" s="59"/>
      <c r="AB104" s="59"/>
      <c r="AC104" s="59"/>
      <c r="AE104" t="s">
        <v>290</v>
      </c>
      <c r="AG104" s="7">
        <f t="shared" si="6"/>
        <v>29867.703082975862</v>
      </c>
      <c r="AH104" s="59">
        <v>8315.389495498468</v>
      </c>
      <c r="AJ104" s="7">
        <f t="shared" si="5"/>
        <v>38183.09257847433</v>
      </c>
    </row>
    <row r="105" spans="4:36" x14ac:dyDescent="0.3">
      <c r="D105" s="59"/>
      <c r="E105" s="59"/>
      <c r="F105" s="59"/>
      <c r="G105" s="59"/>
      <c r="H105" s="59"/>
      <c r="I105" s="59"/>
      <c r="J105" s="59"/>
      <c r="K105" s="59" t="s">
        <v>202</v>
      </c>
      <c r="L105" s="59">
        <v>1176.3206680837357</v>
      </c>
      <c r="M105" s="59">
        <v>1176.3206680837357</v>
      </c>
      <c r="N105" s="59"/>
      <c r="O105" s="59" t="s">
        <v>202</v>
      </c>
      <c r="P105" s="59">
        <v>1259.0273722244253</v>
      </c>
      <c r="Q105" s="59">
        <v>1259.0273722244253</v>
      </c>
      <c r="S105" t="s">
        <v>202</v>
      </c>
      <c r="T105" s="59">
        <v>5531.5651491804474</v>
      </c>
      <c r="U105" s="59">
        <v>5531.5651491804474</v>
      </c>
      <c r="V105" s="59"/>
      <c r="W105" s="59" t="s">
        <v>202</v>
      </c>
      <c r="X105" s="68">
        <v>13933.876703998645</v>
      </c>
      <c r="Y105" s="68"/>
      <c r="Z105" s="68"/>
      <c r="AA105" s="59"/>
      <c r="AB105" s="59"/>
      <c r="AC105" s="59"/>
      <c r="AE105" t="s">
        <v>320</v>
      </c>
      <c r="AG105" s="7">
        <f t="shared" si="6"/>
        <v>29867.703082975862</v>
      </c>
      <c r="AH105" s="59">
        <v>30177.924298852129</v>
      </c>
      <c r="AJ105" s="7">
        <f t="shared" si="5"/>
        <v>60045.627381827988</v>
      </c>
    </row>
    <row r="106" spans="4:36" x14ac:dyDescent="0.3">
      <c r="D106" s="59"/>
      <c r="E106" s="59"/>
      <c r="F106" s="59"/>
      <c r="G106" s="59"/>
      <c r="H106" s="59"/>
      <c r="I106" s="59"/>
      <c r="J106" s="59"/>
      <c r="K106" s="59" t="s">
        <v>203</v>
      </c>
      <c r="L106" s="59">
        <v>4190.9103943941454</v>
      </c>
      <c r="M106" s="59">
        <v>4190.9103943941454</v>
      </c>
      <c r="N106" s="59"/>
      <c r="O106" s="59" t="s">
        <v>203</v>
      </c>
      <c r="P106" s="59">
        <v>5424.4733496340723</v>
      </c>
      <c r="Q106" s="59">
        <v>5424.4733496340723</v>
      </c>
      <c r="S106" t="s">
        <v>203</v>
      </c>
      <c r="T106" s="59">
        <v>13828.912872951118</v>
      </c>
      <c r="U106" s="59">
        <v>13828.912872951118</v>
      </c>
      <c r="V106" s="59"/>
      <c r="W106" s="59" t="s">
        <v>203</v>
      </c>
      <c r="X106" s="68">
        <v>57091.043042074794</v>
      </c>
      <c r="Y106" s="68"/>
      <c r="Z106" s="68"/>
      <c r="AA106" s="59"/>
      <c r="AB106" s="59"/>
      <c r="AC106" s="59"/>
      <c r="AE106" t="s">
        <v>321</v>
      </c>
      <c r="AG106" s="7">
        <f t="shared" si="6"/>
        <v>103979.63627603347</v>
      </c>
      <c r="AH106" s="59">
        <v>8315.389495498468</v>
      </c>
      <c r="AJ106" s="7">
        <f t="shared" si="5"/>
        <v>112295.02577153195</v>
      </c>
    </row>
    <row r="107" spans="4:36" x14ac:dyDescent="0.3">
      <c r="D107" s="59"/>
      <c r="E107" s="59"/>
      <c r="F107" s="59"/>
      <c r="G107" s="59"/>
      <c r="H107" s="59"/>
      <c r="I107" s="59"/>
      <c r="J107" s="59"/>
      <c r="K107" s="59" t="s">
        <v>204</v>
      </c>
      <c r="L107" s="59">
        <v>1176.3206680837357</v>
      </c>
      <c r="M107" s="59">
        <v>1176.3206680837357</v>
      </c>
      <c r="N107" s="59"/>
      <c r="O107" s="59" t="s">
        <v>204</v>
      </c>
      <c r="P107" s="59">
        <v>1259.0273722244253</v>
      </c>
      <c r="Q107" s="59">
        <v>1259.0273722244253</v>
      </c>
      <c r="S107" t="s">
        <v>204</v>
      </c>
      <c r="T107" s="59">
        <v>5531.5651491804474</v>
      </c>
      <c r="U107" s="59">
        <v>5531.5651491804474</v>
      </c>
      <c r="V107" s="59"/>
      <c r="W107" s="59" t="s">
        <v>204</v>
      </c>
      <c r="X107" s="68">
        <v>13933.876703998645</v>
      </c>
      <c r="Y107" s="68"/>
      <c r="Z107" s="68"/>
      <c r="AA107" s="59"/>
      <c r="AB107" s="59"/>
      <c r="AC107" s="59"/>
      <c r="AE107" t="s">
        <v>291</v>
      </c>
      <c r="AG107" s="7">
        <f t="shared" si="6"/>
        <v>29867.703082975862</v>
      </c>
      <c r="AH107" s="59">
        <v>8315.389495498468</v>
      </c>
      <c r="AJ107" s="7">
        <f t="shared" si="5"/>
        <v>38183.09257847433</v>
      </c>
    </row>
    <row r="108" spans="4:36" x14ac:dyDescent="0.3">
      <c r="D108" s="59"/>
      <c r="E108" s="59"/>
      <c r="F108" s="59"/>
      <c r="G108" s="59"/>
      <c r="H108" s="59"/>
      <c r="I108" s="59"/>
      <c r="J108" s="59"/>
      <c r="K108" s="59" t="s">
        <v>205</v>
      </c>
      <c r="L108" s="59">
        <v>1176.3206680837357</v>
      </c>
      <c r="M108" s="59">
        <v>1176.3206680837357</v>
      </c>
      <c r="N108" s="59"/>
      <c r="O108" s="59" t="s">
        <v>205</v>
      </c>
      <c r="P108" s="59">
        <v>1259.0273722244253</v>
      </c>
      <c r="Q108" s="59">
        <v>1259.0273722244253</v>
      </c>
      <c r="S108" t="s">
        <v>205</v>
      </c>
      <c r="T108" s="59">
        <v>5531.5651491804474</v>
      </c>
      <c r="U108" s="59">
        <v>5531.5651491804474</v>
      </c>
      <c r="V108" s="59"/>
      <c r="W108" s="59" t="s">
        <v>205</v>
      </c>
      <c r="X108" s="68">
        <v>13933.876703998645</v>
      </c>
      <c r="Y108" s="68"/>
      <c r="Z108" s="68"/>
      <c r="AA108" s="59"/>
      <c r="AB108" s="59"/>
      <c r="AC108" s="59"/>
      <c r="AE108" t="s">
        <v>292</v>
      </c>
      <c r="AG108" s="7">
        <f t="shared" si="6"/>
        <v>29867.703082975862</v>
      </c>
      <c r="AH108" s="59">
        <v>8315.389495498468</v>
      </c>
      <c r="AJ108" s="7">
        <f t="shared" si="5"/>
        <v>38183.09257847433</v>
      </c>
    </row>
    <row r="109" spans="4:36" x14ac:dyDescent="0.3">
      <c r="D109" s="59"/>
      <c r="E109" s="59"/>
      <c r="F109" s="59"/>
      <c r="G109" s="59"/>
      <c r="H109" s="59"/>
      <c r="I109" s="59"/>
      <c r="J109" s="59"/>
      <c r="K109" s="59"/>
      <c r="L109" s="59"/>
      <c r="M109" s="59"/>
      <c r="N109" s="59"/>
      <c r="O109" s="59"/>
      <c r="P109" s="59"/>
      <c r="Q109" s="59"/>
      <c r="T109" s="59"/>
      <c r="U109" s="59"/>
      <c r="V109" s="59"/>
      <c r="W109" s="59"/>
      <c r="Z109" s="59"/>
      <c r="AA109" s="59"/>
      <c r="AB109" s="59"/>
      <c r="AC109" s="59"/>
      <c r="AG109" s="7">
        <f t="shared" si="6"/>
        <v>0</v>
      </c>
      <c r="AH109" s="59"/>
      <c r="AJ109" s="7">
        <f t="shared" si="5"/>
        <v>0</v>
      </c>
    </row>
    <row r="110" spans="4:36" x14ac:dyDescent="0.3">
      <c r="D110" s="59"/>
      <c r="E110" s="59"/>
      <c r="F110" s="59"/>
      <c r="G110" s="59"/>
      <c r="H110" s="59"/>
      <c r="I110" s="59"/>
      <c r="J110" s="59"/>
      <c r="K110" s="59"/>
      <c r="L110" s="59"/>
      <c r="M110" s="59"/>
      <c r="N110" s="59"/>
      <c r="O110" s="59"/>
      <c r="P110" s="59"/>
      <c r="Q110" s="59"/>
      <c r="T110" s="59"/>
      <c r="U110" s="59"/>
      <c r="V110" s="59"/>
      <c r="W110" s="59"/>
      <c r="Z110" s="59"/>
      <c r="AA110" s="59"/>
      <c r="AB110" s="59"/>
      <c r="AC110" s="59"/>
      <c r="AG110" s="7">
        <f t="shared" si="6"/>
        <v>0</v>
      </c>
      <c r="AH110" s="59"/>
      <c r="AJ110" s="7">
        <f t="shared" si="5"/>
        <v>0</v>
      </c>
    </row>
    <row r="111" spans="4:36" x14ac:dyDescent="0.3">
      <c r="D111" s="59"/>
      <c r="E111" s="59"/>
      <c r="F111" s="59"/>
      <c r="G111" s="59"/>
      <c r="H111" s="59"/>
      <c r="I111" s="59"/>
      <c r="J111" s="59"/>
      <c r="K111" s="59" t="s">
        <v>141</v>
      </c>
      <c r="L111" s="59">
        <v>0</v>
      </c>
      <c r="M111" s="59">
        <v>0</v>
      </c>
      <c r="N111" s="59"/>
      <c r="O111" s="59" t="s">
        <v>141</v>
      </c>
      <c r="P111" s="59">
        <v>0</v>
      </c>
      <c r="Q111" s="59">
        <v>0</v>
      </c>
      <c r="S111" t="s">
        <v>141</v>
      </c>
      <c r="T111" s="59">
        <v>0</v>
      </c>
      <c r="U111" s="59">
        <v>0</v>
      </c>
      <c r="V111" s="59"/>
      <c r="W111" s="59" t="s">
        <v>141</v>
      </c>
      <c r="X111" s="68">
        <v>0</v>
      </c>
      <c r="Y111" s="68"/>
      <c r="Z111" s="68"/>
      <c r="AA111" s="59"/>
      <c r="AB111" s="59"/>
      <c r="AC111" s="59"/>
      <c r="AE111" s="59" t="s">
        <v>141</v>
      </c>
      <c r="AG111" s="7">
        <f t="shared" si="6"/>
        <v>0</v>
      </c>
      <c r="AJ111" s="7">
        <f t="shared" si="5"/>
        <v>0</v>
      </c>
    </row>
    <row r="112" spans="4:36" x14ac:dyDescent="0.3">
      <c r="D112" s="59"/>
      <c r="E112" s="59"/>
      <c r="F112" s="59"/>
      <c r="G112" s="59"/>
      <c r="H112" s="59"/>
      <c r="I112" s="59"/>
      <c r="J112" s="59"/>
      <c r="K112" s="59"/>
      <c r="L112" s="59"/>
      <c r="M112" s="59"/>
      <c r="N112" s="59"/>
      <c r="O112" s="59"/>
      <c r="P112" s="59"/>
      <c r="Q112" s="59"/>
      <c r="S112" t="s">
        <v>219</v>
      </c>
      <c r="T112" s="59">
        <v>41425.659674005678</v>
      </c>
      <c r="U112" s="59">
        <v>41425.659674005678</v>
      </c>
      <c r="V112" s="59"/>
      <c r="W112" s="59" t="s">
        <v>219</v>
      </c>
      <c r="X112" s="68">
        <v>132044.7700238809</v>
      </c>
      <c r="Y112" s="68"/>
      <c r="Z112" s="68"/>
      <c r="AA112" s="59"/>
      <c r="AB112" s="59"/>
      <c r="AC112" s="59"/>
      <c r="AE112" s="59" t="s">
        <v>219</v>
      </c>
      <c r="AG112" s="7">
        <f t="shared" si="6"/>
        <v>214896.08937189227</v>
      </c>
      <c r="AJ112" s="7">
        <f t="shared" si="5"/>
        <v>214896.08937189227</v>
      </c>
    </row>
    <row r="113" spans="4:36" x14ac:dyDescent="0.3">
      <c r="D113" s="59"/>
      <c r="E113" s="59"/>
      <c r="F113" s="59"/>
      <c r="G113" s="59"/>
      <c r="H113" s="59"/>
      <c r="I113" s="59"/>
      <c r="J113" s="59"/>
      <c r="K113" s="59" t="s">
        <v>142</v>
      </c>
      <c r="L113" s="59">
        <v>25089.553709092437</v>
      </c>
      <c r="M113" s="59">
        <v>25089.553709092437</v>
      </c>
      <c r="N113" s="59"/>
      <c r="O113" s="59" t="s">
        <v>142</v>
      </c>
      <c r="P113" s="59">
        <v>32474.475147746376</v>
      </c>
      <c r="Q113" s="59">
        <v>32474.475147746376</v>
      </c>
      <c r="S113" t="s">
        <v>142</v>
      </c>
      <c r="T113" s="59">
        <v>85604.562472915102</v>
      </c>
      <c r="U113" s="59">
        <v>85604.562472915102</v>
      </c>
      <c r="V113" s="59"/>
      <c r="W113" s="59" t="s">
        <v>142</v>
      </c>
      <c r="X113" s="68">
        <v>336636.25467390724</v>
      </c>
      <c r="Y113" s="68"/>
      <c r="Z113" s="68"/>
      <c r="AA113" s="59"/>
      <c r="AB113" s="59"/>
      <c r="AC113" s="59"/>
      <c r="AE113" t="s">
        <v>270</v>
      </c>
      <c r="AG113" s="7">
        <f t="shared" si="6"/>
        <v>622973.43733341503</v>
      </c>
      <c r="AH113" s="54">
        <v>238760.59496536897</v>
      </c>
      <c r="AJ113" s="7">
        <f t="shared" si="5"/>
        <v>861734.032298784</v>
      </c>
    </row>
    <row r="114" spans="4:36" x14ac:dyDescent="0.3">
      <c r="D114" s="59"/>
      <c r="E114" s="59"/>
      <c r="F114" s="59"/>
      <c r="G114" s="59"/>
      <c r="H114" s="59"/>
      <c r="I114" s="59"/>
      <c r="J114" s="59"/>
      <c r="K114" s="59" t="s">
        <v>143</v>
      </c>
      <c r="L114" s="59">
        <v>37825.318179520531</v>
      </c>
      <c r="M114" s="59">
        <v>37825.318179520531</v>
      </c>
      <c r="N114" s="59"/>
      <c r="O114" s="59" t="s">
        <v>143</v>
      </c>
      <c r="P114" s="59">
        <v>48958.91610584061</v>
      </c>
      <c r="Q114" s="59">
        <v>48958.91610584061</v>
      </c>
      <c r="S114" t="s">
        <v>143</v>
      </c>
      <c r="T114" s="59">
        <v>129058.48588224196</v>
      </c>
      <c r="U114" s="59">
        <v>129058.48588224196</v>
      </c>
      <c r="V114" s="59"/>
      <c r="W114" s="59" t="s">
        <v>143</v>
      </c>
      <c r="X114" s="68">
        <v>507516.93678744423</v>
      </c>
      <c r="Y114" s="68"/>
      <c r="Z114" s="68"/>
      <c r="AA114" s="59"/>
      <c r="AB114" s="59"/>
      <c r="AC114" s="59"/>
      <c r="AE114" t="s">
        <v>263</v>
      </c>
      <c r="AG114" s="7">
        <f t="shared" si="6"/>
        <v>939202.37712265039</v>
      </c>
      <c r="AH114" s="54">
        <v>359093.29860740341</v>
      </c>
      <c r="AJ114" s="7">
        <f t="shared" si="5"/>
        <v>1298295.6757300538</v>
      </c>
    </row>
    <row r="115" spans="4:36" x14ac:dyDescent="0.3">
      <c r="D115" s="59"/>
      <c r="E115" s="59"/>
      <c r="F115" s="59"/>
      <c r="G115" s="59"/>
      <c r="H115" s="59"/>
      <c r="I115" s="59"/>
      <c r="J115" s="59"/>
      <c r="K115" s="59"/>
      <c r="L115" s="59"/>
      <c r="M115" s="59"/>
      <c r="N115" s="59"/>
      <c r="O115" s="59"/>
      <c r="P115" s="59"/>
      <c r="Q115" s="59"/>
      <c r="S115" t="s">
        <v>220</v>
      </c>
      <c r="T115" s="59">
        <v>44107.208567553993</v>
      </c>
      <c r="U115" s="59">
        <v>44107.208567553993</v>
      </c>
      <c r="V115" s="59"/>
      <c r="W115" s="59" t="s">
        <v>220</v>
      </c>
      <c r="X115" s="68">
        <v>152099.34175987419</v>
      </c>
      <c r="Y115" s="68"/>
      <c r="Z115" s="68"/>
      <c r="AA115" s="59"/>
      <c r="AB115" s="59"/>
      <c r="AC115" s="59"/>
      <c r="AE115" s="59" t="s">
        <v>220</v>
      </c>
      <c r="AG115" s="7">
        <f t="shared" si="6"/>
        <v>240313.75889498217</v>
      </c>
      <c r="AJ115" s="7">
        <f t="shared" si="5"/>
        <v>240313.75889498217</v>
      </c>
    </row>
    <row r="116" spans="4:36" x14ac:dyDescent="0.3">
      <c r="D116" s="59"/>
      <c r="E116" s="59"/>
      <c r="F116" s="59"/>
      <c r="G116" s="59"/>
      <c r="H116" s="59"/>
      <c r="I116" s="59"/>
      <c r="J116" s="59"/>
      <c r="K116" s="59" t="s">
        <v>144</v>
      </c>
      <c r="L116" s="59">
        <v>31265.512258014394</v>
      </c>
      <c r="M116" s="59">
        <v>31265.512258014394</v>
      </c>
      <c r="N116" s="59"/>
      <c r="O116" s="59" t="s">
        <v>144</v>
      </c>
      <c r="P116" s="59">
        <v>40468.280646877065</v>
      </c>
      <c r="Q116" s="59">
        <v>40468.280646877065</v>
      </c>
      <c r="S116" t="s">
        <v>144</v>
      </c>
      <c r="T116" s="59">
        <v>106676.68816958411</v>
      </c>
      <c r="U116" s="59">
        <v>106676.68816958411</v>
      </c>
      <c r="V116" s="59"/>
      <c r="W116" s="59" t="s">
        <v>144</v>
      </c>
      <c r="X116" s="68">
        <v>419501.48133503116</v>
      </c>
      <c r="Y116" s="68"/>
      <c r="Z116" s="68"/>
      <c r="AA116" s="59"/>
      <c r="AB116" s="59"/>
      <c r="AC116" s="59"/>
      <c r="AE116" t="s">
        <v>267</v>
      </c>
      <c r="AG116" s="7">
        <f t="shared" si="6"/>
        <v>776322.44348398224</v>
      </c>
      <c r="AH116" s="54">
        <v>297087.07433745137</v>
      </c>
      <c r="AJ116" s="7">
        <f t="shared" si="5"/>
        <v>1073409.5178214335</v>
      </c>
    </row>
    <row r="117" spans="4:36" x14ac:dyDescent="0.3">
      <c r="D117" s="59"/>
      <c r="E117" s="59"/>
      <c r="F117" s="59"/>
      <c r="G117" s="59"/>
      <c r="H117" s="59"/>
      <c r="I117" s="59"/>
      <c r="J117" s="59"/>
      <c r="K117" s="59" t="s">
        <v>145</v>
      </c>
      <c r="L117" s="59">
        <v>4713.2315241772849</v>
      </c>
      <c r="M117" s="59">
        <v>4713.2315241772849</v>
      </c>
      <c r="N117" s="59"/>
      <c r="O117" s="59" t="s">
        <v>145</v>
      </c>
      <c r="P117" s="59">
        <v>6100.535775652369</v>
      </c>
      <c r="Q117" s="59">
        <v>6100.535775652369</v>
      </c>
      <c r="S117" t="s">
        <v>145</v>
      </c>
      <c r="T117" s="59">
        <v>20422.6425457857</v>
      </c>
      <c r="U117" s="59">
        <v>20422.6425457857</v>
      </c>
      <c r="V117" s="59"/>
      <c r="W117" s="59" t="s">
        <v>145</v>
      </c>
      <c r="X117" s="68">
        <v>63239.251925594603</v>
      </c>
      <c r="Y117" s="68"/>
      <c r="Z117" s="68"/>
      <c r="AA117" s="59"/>
      <c r="AB117" s="59"/>
      <c r="AC117" s="59"/>
      <c r="AE117" t="s">
        <v>271</v>
      </c>
      <c r="AG117" s="7">
        <f t="shared" si="6"/>
        <v>125712.0716168253</v>
      </c>
      <c r="AH117" s="54">
        <v>44852.593828359277</v>
      </c>
      <c r="AJ117" s="7">
        <f t="shared" si="5"/>
        <v>170564.66544518457</v>
      </c>
    </row>
    <row r="118" spans="4:36" x14ac:dyDescent="0.3">
      <c r="D118" s="59"/>
      <c r="E118" s="59"/>
      <c r="F118" s="59"/>
      <c r="G118" s="59"/>
      <c r="H118" s="59"/>
      <c r="I118" s="59"/>
      <c r="J118" s="59"/>
      <c r="K118" s="59" t="s">
        <v>146</v>
      </c>
      <c r="L118" s="59">
        <v>16755.718847048222</v>
      </c>
      <c r="M118" s="59">
        <v>16755.718847048222</v>
      </c>
      <c r="N118" s="59"/>
      <c r="O118" s="59" t="s">
        <v>146</v>
      </c>
      <c r="P118" s="59">
        <v>21687.638671862842</v>
      </c>
      <c r="Q118" s="59">
        <v>21687.638671862842</v>
      </c>
      <c r="S118" t="s">
        <v>146</v>
      </c>
      <c r="T118" s="59">
        <v>78756.613384874378</v>
      </c>
      <c r="U118" s="59">
        <v>78756.613384874378</v>
      </c>
      <c r="V118" s="59"/>
      <c r="W118" s="59" t="s">
        <v>146</v>
      </c>
      <c r="X118" s="68">
        <v>224817.96617191998</v>
      </c>
      <c r="Y118" s="68"/>
      <c r="Z118" s="68"/>
      <c r="AA118" s="59"/>
      <c r="AB118" s="59"/>
      <c r="AC118" s="59"/>
      <c r="AE118" t="s">
        <v>269</v>
      </c>
      <c r="AG118" s="7">
        <f t="shared" si="6"/>
        <v>459217.90797949082</v>
      </c>
      <c r="AH118" s="54">
        <v>159069.86468561328</v>
      </c>
      <c r="AJ118" s="7">
        <f t="shared" si="5"/>
        <v>618287.77266510413</v>
      </c>
    </row>
    <row r="119" spans="4:36" x14ac:dyDescent="0.3">
      <c r="D119" s="59"/>
      <c r="E119" s="59"/>
      <c r="F119" s="59"/>
      <c r="G119" s="59"/>
      <c r="H119" s="59"/>
      <c r="I119" s="59"/>
      <c r="J119" s="59"/>
      <c r="K119" s="59" t="s">
        <v>147</v>
      </c>
      <c r="L119" s="59">
        <v>33747.093419865247</v>
      </c>
      <c r="M119" s="59">
        <v>33747.093419865247</v>
      </c>
      <c r="N119" s="59"/>
      <c r="O119" s="59" t="s">
        <v>147</v>
      </c>
      <c r="P119" s="59">
        <v>43680.296560035204</v>
      </c>
      <c r="Q119" s="59">
        <v>43680.296560035204</v>
      </c>
      <c r="S119" t="s">
        <v>147</v>
      </c>
      <c r="T119" s="59">
        <v>115143.74470093581</v>
      </c>
      <c r="U119" s="59">
        <v>115143.74470093581</v>
      </c>
      <c r="V119" s="59"/>
      <c r="W119" s="59" t="s">
        <v>147</v>
      </c>
      <c r="X119" s="68">
        <v>452797.81644250063</v>
      </c>
      <c r="Y119" s="68"/>
      <c r="Z119" s="68"/>
      <c r="AA119" s="59"/>
      <c r="AB119" s="59"/>
      <c r="AC119" s="59"/>
      <c r="AE119" t="s">
        <v>264</v>
      </c>
      <c r="AG119" s="7">
        <f t="shared" si="6"/>
        <v>837940.08580417302</v>
      </c>
      <c r="AH119" s="54">
        <v>321147.95682843629</v>
      </c>
      <c r="AJ119" s="7">
        <f t="shared" si="5"/>
        <v>1159088.0426326094</v>
      </c>
    </row>
    <row r="120" spans="4:36" x14ac:dyDescent="0.3">
      <c r="D120" s="59"/>
      <c r="E120" s="59"/>
      <c r="F120" s="59"/>
      <c r="G120" s="59"/>
      <c r="H120" s="59"/>
      <c r="I120" s="59"/>
      <c r="J120" s="59"/>
      <c r="K120" s="59" t="s">
        <v>148</v>
      </c>
      <c r="L120" s="59">
        <v>13223.061134310952</v>
      </c>
      <c r="M120" s="59">
        <v>13223.061134310952</v>
      </c>
      <c r="N120" s="59"/>
      <c r="O120" s="59" t="s">
        <v>148</v>
      </c>
      <c r="P120" s="59">
        <v>17115.169730089438</v>
      </c>
      <c r="Q120" s="59">
        <v>17115.169730089438</v>
      </c>
      <c r="S120" t="s">
        <v>148</v>
      </c>
      <c r="T120" s="59">
        <v>16876.963898819798</v>
      </c>
      <c r="U120" s="59">
        <v>16876.963898819798</v>
      </c>
      <c r="V120" s="59"/>
      <c r="W120" s="59" t="s">
        <v>148</v>
      </c>
      <c r="X120" s="68">
        <v>40086.223114947927</v>
      </c>
      <c r="Y120" s="68"/>
      <c r="Z120" s="68"/>
      <c r="AA120" s="59"/>
      <c r="AB120" s="59"/>
      <c r="AC120" s="59"/>
      <c r="AE120" t="s">
        <v>148</v>
      </c>
      <c r="AG120" s="7">
        <f t="shared" si="6"/>
        <v>134516.61264138829</v>
      </c>
      <c r="AH120" s="54">
        <v>150754.89000000001</v>
      </c>
      <c r="AJ120" s="7">
        <f t="shared" si="5"/>
        <v>285271.50264138833</v>
      </c>
    </row>
    <row r="121" spans="4:36" x14ac:dyDescent="0.3">
      <c r="D121" s="59"/>
      <c r="E121" s="59"/>
      <c r="F121" s="59"/>
      <c r="G121" s="59"/>
      <c r="H121" s="59"/>
      <c r="I121" s="59"/>
      <c r="J121" s="59"/>
      <c r="K121" s="59"/>
      <c r="L121" s="59"/>
      <c r="M121" s="59"/>
      <c r="N121" s="59"/>
      <c r="O121" s="59"/>
      <c r="P121" s="59"/>
      <c r="Q121" s="59"/>
      <c r="S121" t="s">
        <v>221</v>
      </c>
      <c r="T121" s="59">
        <v>20873.45388410864</v>
      </c>
      <c r="U121" s="59">
        <v>20873.45388410864</v>
      </c>
      <c r="V121" s="59"/>
      <c r="W121" s="59" t="s">
        <v>221</v>
      </c>
      <c r="X121" s="68">
        <v>67562.900787417486</v>
      </c>
      <c r="Y121" s="68"/>
      <c r="Z121" s="68"/>
      <c r="AA121" s="59"/>
      <c r="AB121" s="59"/>
      <c r="AC121" s="59"/>
      <c r="AE121" t="s">
        <v>221</v>
      </c>
      <c r="AG121" s="7">
        <f t="shared" si="6"/>
        <v>109309.80855563477</v>
      </c>
      <c r="AH121" s="54"/>
      <c r="AJ121" s="7">
        <f t="shared" si="5"/>
        <v>109309.80855563477</v>
      </c>
    </row>
    <row r="122" spans="4:36" x14ac:dyDescent="0.3">
      <c r="D122" s="59"/>
      <c r="E122" s="59"/>
      <c r="F122" s="59"/>
      <c r="G122" s="59"/>
      <c r="H122" s="59"/>
      <c r="I122" s="59"/>
      <c r="J122" s="59"/>
      <c r="K122" s="59" t="s">
        <v>149</v>
      </c>
      <c r="L122" s="59">
        <v>21913.232789668473</v>
      </c>
      <c r="M122" s="59">
        <v>21913.232789668473</v>
      </c>
      <c r="N122" s="59"/>
      <c r="O122" s="59" t="s">
        <v>149</v>
      </c>
      <c r="P122" s="59">
        <v>28363.228054430434</v>
      </c>
      <c r="Q122" s="59">
        <v>28363.228054430434</v>
      </c>
      <c r="S122" t="s">
        <v>149</v>
      </c>
      <c r="T122" s="59">
        <v>85971.886504191236</v>
      </c>
      <c r="U122" s="59">
        <v>85971.886504191236</v>
      </c>
      <c r="V122" s="59"/>
      <c r="W122" s="59" t="s">
        <v>149</v>
      </c>
      <c r="X122" s="68">
        <v>294018.32729444321</v>
      </c>
      <c r="Y122" s="68"/>
      <c r="Z122" s="68"/>
      <c r="AA122" s="59"/>
      <c r="AB122" s="59"/>
      <c r="AC122" s="59"/>
      <c r="AE122" t="s">
        <v>265</v>
      </c>
      <c r="AG122" s="7">
        <f t="shared" si="6"/>
        <v>566515.02199102356</v>
      </c>
      <c r="AH122" s="54">
        <v>311769.16591880505</v>
      </c>
      <c r="AJ122" s="7">
        <f t="shared" si="5"/>
        <v>878284.18790982862</v>
      </c>
    </row>
    <row r="123" spans="4:36" x14ac:dyDescent="0.3">
      <c r="D123" s="59"/>
      <c r="E123" s="59"/>
      <c r="F123" s="59"/>
      <c r="G123" s="59"/>
      <c r="H123" s="59"/>
      <c r="I123" s="59"/>
      <c r="J123" s="59"/>
      <c r="K123" s="59" t="s">
        <v>150</v>
      </c>
      <c r="L123" s="59">
        <v>18309.010683980112</v>
      </c>
      <c r="M123" s="59">
        <v>18309.010683980112</v>
      </c>
      <c r="N123" s="59"/>
      <c r="O123" s="59" t="s">
        <v>150</v>
      </c>
      <c r="P123" s="59">
        <v>23698.130278868255</v>
      </c>
      <c r="Q123" s="59">
        <v>23698.130278868255</v>
      </c>
      <c r="S123" t="s">
        <v>150</v>
      </c>
      <c r="T123" s="59">
        <v>80929.641894764369</v>
      </c>
      <c r="U123" s="59">
        <v>80929.641894764369</v>
      </c>
      <c r="V123" s="59"/>
      <c r="W123" s="59" t="s">
        <v>150</v>
      </c>
      <c r="X123" s="68">
        <v>245659.08405162176</v>
      </c>
      <c r="Y123" s="68"/>
      <c r="Z123" s="68"/>
      <c r="AA123" s="59"/>
      <c r="AB123" s="59"/>
      <c r="AC123" s="59"/>
      <c r="AE123" t="s">
        <v>268</v>
      </c>
      <c r="AG123" s="7">
        <f t="shared" si="6"/>
        <v>491532.64976684726</v>
      </c>
      <c r="AH123" s="54">
        <v>173872.10722895872</v>
      </c>
      <c r="AJ123" s="7">
        <f t="shared" si="5"/>
        <v>665404.756995806</v>
      </c>
    </row>
    <row r="124" spans="4:36" x14ac:dyDescent="0.3">
      <c r="D124" s="59"/>
      <c r="E124" s="59"/>
      <c r="F124" s="59"/>
      <c r="G124" s="59"/>
      <c r="H124" s="59"/>
      <c r="I124" s="59"/>
      <c r="J124" s="59"/>
      <c r="K124" s="59" t="s">
        <v>151</v>
      </c>
      <c r="L124" s="59">
        <v>93829.182229599042</v>
      </c>
      <c r="M124" s="59">
        <v>93829.182229599042</v>
      </c>
      <c r="N124" s="59"/>
      <c r="O124" s="59" t="s">
        <v>151</v>
      </c>
      <c r="P124" s="59">
        <v>121447.09634050724</v>
      </c>
      <c r="Q124" s="59">
        <v>121447.09634050724</v>
      </c>
      <c r="S124" t="s">
        <v>151</v>
      </c>
      <c r="T124" s="59">
        <v>0</v>
      </c>
      <c r="U124" s="59">
        <v>0</v>
      </c>
      <c r="V124" s="59"/>
      <c r="W124" s="59" t="s">
        <v>151</v>
      </c>
      <c r="X124" s="68">
        <v>1258942.4607198534</v>
      </c>
      <c r="Y124" s="68"/>
      <c r="Z124" s="68"/>
      <c r="AA124" s="59"/>
      <c r="AB124" s="59"/>
      <c r="AC124" s="59"/>
      <c r="AE124" t="s">
        <v>151</v>
      </c>
      <c r="AG124" s="7">
        <f t="shared" si="6"/>
        <v>1689495.0178600661</v>
      </c>
      <c r="AJ124" s="7">
        <f t="shared" si="5"/>
        <v>1689495.0178600661</v>
      </c>
    </row>
    <row r="125" spans="4:36" x14ac:dyDescent="0.3">
      <c r="D125" s="59"/>
      <c r="E125" s="59"/>
      <c r="F125" s="59"/>
      <c r="G125" s="59"/>
      <c r="H125" s="59"/>
      <c r="I125" s="59"/>
      <c r="J125" s="59"/>
      <c r="K125" s="59" t="s">
        <v>152</v>
      </c>
      <c r="L125" s="40">
        <v>20749.346243381351</v>
      </c>
      <c r="M125" s="40">
        <v>20749.346243381351</v>
      </c>
      <c r="N125" s="59"/>
      <c r="O125" s="59" t="s">
        <v>152</v>
      </c>
      <c r="P125" s="59">
        <v>26856.760256699137</v>
      </c>
      <c r="Q125" s="59">
        <v>26856.760256699137</v>
      </c>
      <c r="S125" t="s">
        <v>152</v>
      </c>
      <c r="T125" s="59">
        <v>84343.629284765571</v>
      </c>
      <c r="U125" s="59">
        <v>84343.629284765571</v>
      </c>
      <c r="V125" s="59"/>
      <c r="W125" s="59" t="s">
        <v>152</v>
      </c>
      <c r="X125" s="68">
        <v>278402.01094420638</v>
      </c>
      <c r="Y125" s="68"/>
      <c r="Z125" s="68"/>
      <c r="AA125" s="59"/>
      <c r="AB125" s="59"/>
      <c r="AC125" s="59"/>
      <c r="AE125" t="s">
        <v>266</v>
      </c>
      <c r="AG125" s="7">
        <f t="shared" si="6"/>
        <v>542301.48251389852</v>
      </c>
      <c r="AH125" s="54">
        <v>197185.09885792132</v>
      </c>
      <c r="AJ125" s="7">
        <f t="shared" si="5"/>
        <v>739486.58137181983</v>
      </c>
    </row>
    <row r="126" spans="4:36" x14ac:dyDescent="0.3">
      <c r="D126" s="59"/>
      <c r="E126" s="59"/>
      <c r="F126" s="59"/>
      <c r="G126" s="59"/>
      <c r="H126" s="59"/>
      <c r="I126" s="59"/>
      <c r="J126" s="59"/>
      <c r="K126" s="59" t="s">
        <v>153</v>
      </c>
      <c r="L126" s="69">
        <v>3233.629719171834</v>
      </c>
      <c r="M126" s="69">
        <v>3233.629719171834</v>
      </c>
      <c r="N126" s="59"/>
      <c r="O126" s="59" t="s">
        <v>153</v>
      </c>
      <c r="P126" s="69">
        <v>3526.5882134099465</v>
      </c>
      <c r="Q126" s="69">
        <v>3526.5882134099465</v>
      </c>
      <c r="S126" t="s">
        <v>153</v>
      </c>
      <c r="T126" s="69">
        <v>15962.573145053657</v>
      </c>
      <c r="U126" s="69">
        <v>15962.573145053657</v>
      </c>
      <c r="V126" s="59"/>
      <c r="W126" s="59" t="s">
        <v>153</v>
      </c>
      <c r="X126" s="72">
        <v>38510.806012895991</v>
      </c>
      <c r="Y126" s="68"/>
      <c r="Z126" s="72"/>
      <c r="AA126" s="69"/>
      <c r="AB126" s="69"/>
      <c r="AC126" s="69"/>
      <c r="AE126" t="s">
        <v>153</v>
      </c>
      <c r="AG126" s="62">
        <f t="shared" si="6"/>
        <v>83956.388168166857</v>
      </c>
      <c r="AH126" s="52"/>
      <c r="AJ126" s="62">
        <f t="shared" si="5"/>
        <v>83956.388168166857</v>
      </c>
    </row>
    <row r="127" spans="4:36" x14ac:dyDescent="0.3">
      <c r="D127" s="59"/>
      <c r="E127" s="59"/>
      <c r="F127" s="59"/>
      <c r="G127" s="59"/>
      <c r="H127" s="59"/>
      <c r="I127" s="59"/>
      <c r="J127" s="59"/>
      <c r="K127" s="59"/>
      <c r="L127" s="59"/>
      <c r="M127" s="59"/>
      <c r="N127" s="59"/>
      <c r="O127" s="59"/>
      <c r="P127" s="59"/>
      <c r="Q127" s="59"/>
      <c r="T127" s="59"/>
      <c r="U127" s="59"/>
      <c r="V127" s="59"/>
      <c r="W127" s="59" t="s">
        <v>312</v>
      </c>
      <c r="X127" s="7">
        <f>SUM(X75:X126)</f>
        <v>5806886.9279106483</v>
      </c>
      <c r="AA127" s="59"/>
      <c r="AB127" s="59"/>
      <c r="AC127" s="59"/>
      <c r="AJ127" s="7"/>
    </row>
    <row r="128" spans="4:36" x14ac:dyDescent="0.3">
      <c r="D128" s="59"/>
      <c r="E128" s="59"/>
      <c r="F128" s="59"/>
      <c r="G128" s="59"/>
      <c r="H128" s="59"/>
      <c r="I128" s="59"/>
      <c r="J128" s="59"/>
      <c r="K128" s="64" t="s">
        <v>304</v>
      </c>
      <c r="L128" s="64">
        <f>SUM(L5:L126)</f>
        <v>1414828.730491475</v>
      </c>
      <c r="M128" s="64">
        <f>SUM(M5:M126)</f>
        <v>1414828.730491475</v>
      </c>
      <c r="N128" s="64"/>
      <c r="O128" s="64"/>
      <c r="P128" s="64">
        <f>SUM(P5:P126)</f>
        <v>1514304.8516310942</v>
      </c>
      <c r="Q128" s="64">
        <f>SUM(Q5:Q126)</f>
        <v>1514304.8537186529</v>
      </c>
      <c r="R128" s="16"/>
      <c r="S128" s="16"/>
      <c r="T128" s="64">
        <f>SUM(T5:T126)</f>
        <v>3273341.1954636676</v>
      </c>
      <c r="U128" s="64">
        <f>SUM(U5:U126)</f>
        <v>3273341.1954636676</v>
      </c>
      <c r="V128" s="64"/>
      <c r="W128" s="64"/>
      <c r="X128" s="64">
        <f>SUM(X5:X126)-X72</f>
        <v>16759077.332112312</v>
      </c>
      <c r="Y128" s="16"/>
      <c r="Z128" s="64">
        <f>SUM(Z17:Z126)</f>
        <v>471609.57578598952</v>
      </c>
      <c r="AA128" s="64">
        <f>SUM(AA17:AA126)</f>
        <v>471609.57578598952</v>
      </c>
      <c r="AB128" s="64">
        <f>SUM(AB17:AB126)</f>
        <v>504768.2838770313</v>
      </c>
      <c r="AC128" s="64">
        <f>SUM(AC17:AC126)</f>
        <v>504768.2838770313</v>
      </c>
      <c r="AE128" s="7"/>
      <c r="AG128" s="64">
        <f>SUM(AG5:AG127)</f>
        <v>176324956.08752412</v>
      </c>
      <c r="AH128" s="73">
        <f>SUM(AH5:AH126)</f>
        <v>70653231.419232368</v>
      </c>
      <c r="AJ128" s="34">
        <f>SUM(AJ5:AJ127)</f>
        <v>246978187.50675631</v>
      </c>
    </row>
    <row r="129" spans="4:37" x14ac:dyDescent="0.3">
      <c r="D129" s="59"/>
      <c r="E129" s="59"/>
      <c r="F129" s="59"/>
      <c r="G129" s="59"/>
      <c r="H129" s="59"/>
      <c r="I129" s="59"/>
      <c r="J129" s="59"/>
      <c r="K129" s="59"/>
      <c r="L129" s="70"/>
      <c r="M129" s="70"/>
      <c r="N129" s="59"/>
      <c r="O129" s="59"/>
      <c r="P129" s="70"/>
      <c r="Q129" s="70"/>
      <c r="R129" s="16"/>
      <c r="S129" s="16"/>
      <c r="T129" s="70"/>
      <c r="U129" s="70"/>
      <c r="V129" s="64"/>
      <c r="W129" s="64"/>
      <c r="X129" s="74"/>
      <c r="Z129" s="70"/>
      <c r="AA129" s="70"/>
      <c r="AB129" s="70"/>
      <c r="AC129" s="70"/>
      <c r="AG129" s="74"/>
      <c r="AH129" s="74"/>
      <c r="AJ129" s="74"/>
    </row>
    <row r="130" spans="4:37" x14ac:dyDescent="0.3">
      <c r="D130" s="59"/>
      <c r="E130" s="59"/>
      <c r="F130" s="59"/>
      <c r="G130" s="59"/>
      <c r="H130" s="59"/>
      <c r="I130" s="59"/>
      <c r="J130" s="59"/>
      <c r="M130" s="59"/>
      <c r="N130" s="59"/>
      <c r="O130" s="59"/>
      <c r="P130" s="64"/>
      <c r="Q130" s="64"/>
      <c r="R130" s="16"/>
      <c r="S130" s="16"/>
      <c r="T130" s="64"/>
      <c r="U130" s="64"/>
      <c r="V130" s="64"/>
      <c r="W130" s="64"/>
      <c r="X130" s="16"/>
      <c r="Z130" s="64"/>
      <c r="AA130" s="64"/>
      <c r="AB130" s="64"/>
      <c r="AC130" s="64"/>
      <c r="AG130" s="7"/>
      <c r="AH130" s="64" t="s">
        <v>293</v>
      </c>
      <c r="AI130" s="59"/>
      <c r="AJ130" s="64">
        <v>12468215.630000001</v>
      </c>
      <c r="AK130" s="75"/>
    </row>
    <row r="131" spans="4:37" x14ac:dyDescent="0.3">
      <c r="D131" s="59"/>
      <c r="E131" s="59"/>
      <c r="F131" s="59"/>
      <c r="G131" s="59"/>
      <c r="H131" s="59"/>
      <c r="I131" s="59"/>
      <c r="J131" s="59"/>
      <c r="M131" s="59"/>
      <c r="N131" s="59"/>
      <c r="O131" s="59"/>
      <c r="P131" s="64"/>
      <c r="Q131" s="64"/>
      <c r="R131" s="16"/>
      <c r="S131" s="16"/>
      <c r="T131" s="64"/>
      <c r="U131" s="64"/>
      <c r="V131" s="64"/>
      <c r="W131" s="64"/>
      <c r="X131" s="16"/>
      <c r="Z131" s="64"/>
      <c r="AA131" s="64"/>
      <c r="AB131" s="64"/>
      <c r="AC131" s="64"/>
      <c r="AH131" s="64" t="s">
        <v>294</v>
      </c>
      <c r="AI131" s="59"/>
      <c r="AJ131" s="64">
        <v>11516328.51</v>
      </c>
      <c r="AK131" s="75"/>
    </row>
    <row r="132" spans="4:37" x14ac:dyDescent="0.3">
      <c r="D132" s="59"/>
      <c r="E132" s="59"/>
      <c r="F132" s="59"/>
      <c r="G132" s="59"/>
      <c r="H132" s="59"/>
      <c r="I132" s="59"/>
      <c r="J132" s="59"/>
      <c r="K132" s="59"/>
      <c r="L132" s="59"/>
      <c r="M132" s="59"/>
      <c r="N132" s="59"/>
      <c r="O132" s="59"/>
      <c r="P132" s="64"/>
      <c r="Q132" s="64"/>
      <c r="R132" s="16"/>
      <c r="S132" s="16"/>
      <c r="T132" s="64"/>
      <c r="U132" s="64"/>
      <c r="V132" s="64"/>
      <c r="W132" s="64"/>
      <c r="X132" s="16"/>
      <c r="Z132" s="59"/>
      <c r="AA132" s="59"/>
      <c r="AB132" s="59"/>
      <c r="AC132" s="59"/>
    </row>
    <row r="133" spans="4:37" x14ac:dyDescent="0.3">
      <c r="D133" s="59"/>
      <c r="E133" s="59"/>
      <c r="F133" s="59"/>
      <c r="G133" s="59"/>
      <c r="H133" s="59"/>
      <c r="I133" s="59"/>
      <c r="J133" s="59"/>
      <c r="K133" s="59"/>
      <c r="L133" s="59"/>
      <c r="M133" s="59"/>
      <c r="N133" s="59"/>
      <c r="O133" s="59"/>
      <c r="P133" s="64"/>
      <c r="Q133" s="64"/>
      <c r="R133" s="16"/>
      <c r="V133" s="64"/>
      <c r="W133" s="64"/>
      <c r="X133" s="16"/>
      <c r="Z133" s="59"/>
      <c r="AA133" s="59"/>
      <c r="AB133" s="59"/>
      <c r="AC133" s="59"/>
    </row>
    <row r="134" spans="4:37" x14ac:dyDescent="0.3">
      <c r="D134" s="59"/>
      <c r="E134" s="59"/>
      <c r="F134" s="59"/>
      <c r="G134" s="59"/>
      <c r="H134" s="59"/>
      <c r="I134" s="59"/>
      <c r="J134" s="59"/>
      <c r="K134" s="59"/>
      <c r="L134" s="59"/>
      <c r="M134" s="59"/>
      <c r="N134" s="59"/>
      <c r="O134" s="59"/>
      <c r="P134" s="64"/>
      <c r="Q134" s="64"/>
      <c r="R134" s="16"/>
      <c r="W134" s="64"/>
      <c r="X134" s="16"/>
      <c r="Z134" s="59"/>
      <c r="AA134" s="59"/>
      <c r="AB134" s="59"/>
      <c r="AC134" s="59"/>
      <c r="AG134" s="7"/>
    </row>
    <row r="135" spans="4:37" x14ac:dyDescent="0.3">
      <c r="D135" s="59"/>
      <c r="E135" s="59"/>
      <c r="F135" s="59"/>
      <c r="G135" s="59"/>
      <c r="H135" s="59"/>
      <c r="I135" s="59"/>
      <c r="J135" s="59"/>
      <c r="K135" s="59"/>
      <c r="L135" s="59"/>
      <c r="M135" s="59"/>
      <c r="N135" s="59"/>
      <c r="O135" s="59"/>
      <c r="P135" s="59"/>
      <c r="Q135" s="59"/>
      <c r="V135" s="59"/>
      <c r="W135" s="59"/>
      <c r="Z135" s="59"/>
      <c r="AA135" s="59"/>
      <c r="AB135" s="59"/>
      <c r="AC135" s="59"/>
      <c r="AG135" s="7"/>
    </row>
    <row r="136" spans="4:37" x14ac:dyDescent="0.3">
      <c r="D136" s="59"/>
      <c r="E136" s="59"/>
      <c r="F136" s="59"/>
      <c r="G136" s="59"/>
      <c r="H136" s="59"/>
      <c r="I136" s="59"/>
      <c r="J136" s="59"/>
      <c r="K136" s="59"/>
      <c r="L136" s="59"/>
      <c r="M136" s="59"/>
      <c r="N136" s="59"/>
      <c r="O136" s="59"/>
      <c r="P136" s="59"/>
      <c r="Q136" s="59"/>
      <c r="V136" s="59"/>
      <c r="W136" s="59"/>
      <c r="Z136" s="59"/>
      <c r="AA136" s="59"/>
      <c r="AB136" s="59"/>
      <c r="AC136" s="59"/>
      <c r="AG136" s="7"/>
    </row>
    <row r="137" spans="4:37" x14ac:dyDescent="0.3">
      <c r="D137" s="59"/>
      <c r="E137" s="59"/>
      <c r="F137" s="59"/>
      <c r="G137" s="59"/>
      <c r="H137" s="59"/>
      <c r="I137" s="59"/>
      <c r="J137" s="59"/>
      <c r="K137" s="59"/>
      <c r="L137" s="59"/>
      <c r="M137" s="59"/>
      <c r="N137" s="59"/>
      <c r="O137" s="59"/>
      <c r="P137" s="59"/>
      <c r="Q137" s="59"/>
      <c r="V137" s="59"/>
      <c r="W137" s="59"/>
      <c r="Z137" s="59"/>
      <c r="AA137" s="59"/>
      <c r="AB137" s="59"/>
      <c r="AC137" s="59"/>
    </row>
    <row r="138" spans="4:37" x14ac:dyDescent="0.3">
      <c r="V138" s="59"/>
      <c r="W138" s="59"/>
    </row>
    <row r="139" spans="4:37" x14ac:dyDescent="0.3">
      <c r="P139" s="7"/>
      <c r="V139" s="59"/>
      <c r="W139" s="59"/>
    </row>
    <row r="141" spans="4:37" x14ac:dyDescent="0.3">
      <c r="P141" s="7"/>
    </row>
    <row r="143" spans="4:37" x14ac:dyDescent="0.3">
      <c r="AH143"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3"/>
  <sheetViews>
    <sheetView workbookViewId="0">
      <selection activeCell="C26" sqref="C26"/>
    </sheetView>
  </sheetViews>
  <sheetFormatPr defaultRowHeight="14.4" x14ac:dyDescent="0.3"/>
  <cols>
    <col min="1" max="1" width="15.33203125" customWidth="1"/>
    <col min="2" max="2" width="17" customWidth="1"/>
    <col min="3" max="3" width="18.5546875" customWidth="1"/>
    <col min="4" max="7" width="19.6640625" customWidth="1"/>
    <col min="8" max="8" width="20.109375" customWidth="1"/>
    <col min="9" max="9" width="24.33203125" customWidth="1"/>
    <col min="10" max="13" width="21.6640625" customWidth="1"/>
    <col min="14" max="14" width="22" customWidth="1"/>
    <col min="15" max="15" width="21.88671875" customWidth="1"/>
    <col min="16" max="16" width="20.33203125" customWidth="1"/>
    <col min="17" max="17" width="17.44140625" customWidth="1"/>
    <col min="18" max="19" width="24.33203125" customWidth="1"/>
    <col min="20" max="20" width="23.88671875" customWidth="1"/>
    <col min="21" max="23" width="20" customWidth="1"/>
    <col min="24" max="24" width="20.88671875" customWidth="1"/>
    <col min="25" max="25" width="19" customWidth="1"/>
  </cols>
  <sheetData>
    <row r="1" spans="1:25" ht="15.6" x14ac:dyDescent="0.3">
      <c r="A1" s="1" t="s">
        <v>0</v>
      </c>
      <c r="B1" s="1" t="s">
        <v>1</v>
      </c>
      <c r="C1" s="1" t="s">
        <v>12</v>
      </c>
      <c r="D1" s="1" t="s">
        <v>13</v>
      </c>
      <c r="E1" s="1" t="s">
        <v>14</v>
      </c>
      <c r="F1" s="1" t="s">
        <v>15</v>
      </c>
      <c r="G1" s="1" t="s">
        <v>16</v>
      </c>
      <c r="H1" s="1" t="s">
        <v>17</v>
      </c>
      <c r="I1" s="1" t="s">
        <v>7</v>
      </c>
      <c r="J1" s="1" t="s">
        <v>8</v>
      </c>
      <c r="K1" s="1" t="s">
        <v>9</v>
      </c>
      <c r="L1" s="1" t="s">
        <v>10</v>
      </c>
      <c r="M1" s="1" t="s">
        <v>11</v>
      </c>
      <c r="N1" s="1" t="s">
        <v>2</v>
      </c>
      <c r="O1" s="1" t="s">
        <v>3</v>
      </c>
      <c r="P1" s="1" t="s">
        <v>4</v>
      </c>
      <c r="Q1" s="1" t="s">
        <v>5</v>
      </c>
      <c r="R1" s="1" t="s">
        <v>18</v>
      </c>
      <c r="S1" s="1" t="s">
        <v>19</v>
      </c>
      <c r="T1" s="3" t="s">
        <v>20</v>
      </c>
      <c r="U1" s="3" t="s">
        <v>21</v>
      </c>
      <c r="V1" s="3" t="s">
        <v>228</v>
      </c>
      <c r="W1" s="3" t="s">
        <v>229</v>
      </c>
      <c r="X1" s="3" t="s">
        <v>22</v>
      </c>
      <c r="Y1" s="3" t="s">
        <v>23</v>
      </c>
    </row>
    <row r="2" spans="1:25" s="9" customFormat="1" ht="15.6" x14ac:dyDescent="0.3">
      <c r="A2" s="3">
        <v>1</v>
      </c>
      <c r="B2" s="3">
        <v>2024</v>
      </c>
      <c r="C2" s="4">
        <f>+C36/2</f>
        <v>13189863.130000001</v>
      </c>
      <c r="D2" s="4">
        <f>+E36/2</f>
        <v>13976784.039999999</v>
      </c>
      <c r="E2" s="4">
        <f>+K36/2</f>
        <v>12470599.564999999</v>
      </c>
      <c r="F2" s="4">
        <f>+I36/2</f>
        <v>9828174.629999999</v>
      </c>
      <c r="G2" s="4">
        <v>119363767.41345163</v>
      </c>
      <c r="H2" s="4">
        <f>SUM(Table14[[#This Row],[Teva]:[Walmart]])</f>
        <v>168829188.77845162</v>
      </c>
      <c r="I2" s="4">
        <f>$I$17*0.2</f>
        <v>613607.77570694487</v>
      </c>
      <c r="J2" s="4">
        <f>$J$17*0.2</f>
        <v>516296.46994582843</v>
      </c>
      <c r="K2" s="4">
        <f>$K$17*0.2</f>
        <v>202373.58000331954</v>
      </c>
      <c r="L2" s="4">
        <f>$L$17*0.2</f>
        <v>274125.97857225256</v>
      </c>
      <c r="M2" s="4">
        <f>$M$17*0.4</f>
        <v>679265.975383766</v>
      </c>
      <c r="N2" s="4">
        <f>Table14[[#This Row],[Pre Fee Total]]-Table14[[#This Row],[Teva Attorney Fees]]-Table14[[#This Row],[Allergan Attorney Fees ]]-Table14[[#This Row],[Walgreens Attorney Fees]]-Table14[[#This Row],[CVS Attorney Fees]]-Table14[[#This Row],[Walmart Attorney Fees]]</f>
        <v>166543518.99883953</v>
      </c>
      <c r="O2" s="4">
        <f>Table14[[#This Row],[Total Less Fees]]*0.15</f>
        <v>24981527.84982593</v>
      </c>
      <c r="P2" s="4">
        <f>Table14[[#This Row],[Total Less Fees]]*0.7</f>
        <v>116580463.29918766</v>
      </c>
      <c r="Q2" s="4">
        <f>Table14[[#This Row],[Total Less Fees]]*0.15</f>
        <v>24981527.84982593</v>
      </c>
      <c r="R2" s="4">
        <f>((Table14[[#This Row],[Teva]]+Table14[[#This Row],[Allergan]])-(Table14[[#This Row],[Teva Attorney Fees]]+Table14[[#This Row],[Allergan Attorney Fees ]]))*0.15</f>
        <v>3905511.4386520842</v>
      </c>
      <c r="S2" s="4">
        <f>((Table14[[#This Row],[Walgreens]]+Table14[[#This Row],[CVS]]+Table14[[#This Row],[Walmart]])-(Table14[[#This Row],[Walgreens Attorney Fees]]+Table14[[#This Row],[CVS Attorney Fees]]+Table14[[#This Row],[Walmart Attorney Fees]]))*0.15</f>
        <v>21076016.411173847</v>
      </c>
      <c r="T2" s="9">
        <f>((Table14[[#This Row],[Teva]]-Table14[[#This Row],[Teva Attorney Fees]])*0.15)+((Table14[[#This Row],[Allergan]]-Table14[[#This Row],[Allergan Attorney Fees ]])*0.15)+((Table14[[#This Row],[Walmart]]-Table14[[#This Row],[Walmart Attorney Fees]])*0.15)</f>
        <v>21708186.654362261</v>
      </c>
      <c r="U2" s="9">
        <v>5917200</v>
      </c>
      <c r="V2" s="9">
        <f>Table14[[#This Row],[Subdivision Escrow Amount]]-W2</f>
        <v>4873602.1164021166</v>
      </c>
      <c r="W2" s="9">
        <f>Table14[[#This Row],[Subdivision Escrow Amount]]/5.67</f>
        <v>1043597.8835978836</v>
      </c>
      <c r="X2" s="9">
        <f>(Table14[[#This Row],[Teva Attorney Fees]]*0.15)+(Table14[[#This Row],[Allergan Attorney Fees ]]*0.15)+(Table14[[#This Row],[Walmart Attorney Fees]]*0.15)+(6000000*0.0138)</f>
        <v>354175.53315548087</v>
      </c>
      <c r="Y2" s="9">
        <f t="shared" ref="Y2:Y16" si="0">SUM(T2,U2,X2)</f>
        <v>27979562.187517744</v>
      </c>
    </row>
    <row r="3" spans="1:25" s="8" customFormat="1" ht="15.6" x14ac:dyDescent="0.3">
      <c r="A3" s="1">
        <v>2</v>
      </c>
      <c r="B3" s="2">
        <v>46006</v>
      </c>
      <c r="C3" s="4">
        <v>13189863.130000001</v>
      </c>
      <c r="D3" s="4">
        <v>13976784.039999999</v>
      </c>
      <c r="E3" s="4">
        <v>12470599.57</v>
      </c>
      <c r="F3" s="4">
        <v>9828174.6300000008</v>
      </c>
      <c r="G3" s="4">
        <v>0</v>
      </c>
      <c r="H3" s="4">
        <f>SUM(Table14[[#This Row],[Teva]:[Walmart]])</f>
        <v>49465421.370000005</v>
      </c>
      <c r="I3" s="4">
        <f t="shared" ref="I3:I6" si="1">$I$17*0.2</f>
        <v>613607.77570694487</v>
      </c>
      <c r="J3" s="4">
        <f t="shared" ref="J3:J6" si="2">$J$17*0.2</f>
        <v>516296.46994582843</v>
      </c>
      <c r="K3" s="4">
        <f t="shared" ref="K3:K6" si="3">$K$17*0.2</f>
        <v>202373.58000331954</v>
      </c>
      <c r="L3" s="4">
        <f t="shared" ref="L3:L6" si="4">$L$17*0.2</f>
        <v>274125.97857225256</v>
      </c>
      <c r="M3" s="4">
        <f>$M$17*0</f>
        <v>0</v>
      </c>
      <c r="N3" s="4">
        <f>Table14[[#This Row],[Pre Fee Total]]-Table14[[#This Row],[Teva Attorney Fees]]-Table14[[#This Row],[Allergan Attorney Fees ]]-Table14[[#This Row],[Walgreens Attorney Fees]]-Table14[[#This Row],[CVS Attorney Fees]]-Table14[[#This Row],[Walmart Attorney Fees]]</f>
        <v>47859017.565771662</v>
      </c>
      <c r="O3" s="4">
        <f>Table14[[#This Row],[Total Less Fees]]*0.15</f>
        <v>7178852.6348657487</v>
      </c>
      <c r="P3" s="4">
        <f>Table14[[#This Row],[Total Less Fees]]*0.7</f>
        <v>33501312.296040162</v>
      </c>
      <c r="Q3" s="4">
        <f>Table14[[#This Row],[Total Less Fees]]*0.15</f>
        <v>7178852.6348657487</v>
      </c>
      <c r="R3" s="4">
        <f>((Table14[[#This Row],[Teva]]+Table14[[#This Row],[Allergan]])-(Table14[[#This Row],[Teva Attorney Fees]]+Table14[[#This Row],[Allergan Attorney Fees ]]))*0.15</f>
        <v>3905511.4386520842</v>
      </c>
      <c r="S3" s="4">
        <f>((Table14[[#This Row],[Walgreens]]+Table14[[#This Row],[CVS]]+Table14[[#This Row],[Walmart]])-(Table14[[#This Row],[Walgreens Attorney Fees]]+Table14[[#This Row],[CVS Attorney Fees]]+Table14[[#This Row],[Walmart Attorney Fees]]))*0.15</f>
        <v>3273341.196213665</v>
      </c>
      <c r="T3" s="8">
        <f>((Table14[[#This Row],[Teva]]-Table14[[#This Row],[Teva Attorney Fees]])*0.15)+((Table14[[#This Row],[Allergan]]-Table14[[#This Row],[Allergan Attorney Fees ]])*0.15)+((Table14[[#This Row],[Walmart]]-Table14[[#This Row],[Walmart Attorney Fees]])*0.15)</f>
        <v>3905511.4386520837</v>
      </c>
      <c r="V3" s="8">
        <f>Table14[[#This Row],[Subdivision Escrow Amount]]-W3</f>
        <v>0</v>
      </c>
      <c r="W3" s="8">
        <f>Table14[[#This Row],[Subdivision Escrow Amount]]/5.67</f>
        <v>0</v>
      </c>
      <c r="X3" s="8">
        <f>(Table14[[#This Row],[Teva Attorney Fees]]*0.15)+(Table14[[#This Row],[Allergan Attorney Fees ]]*0.15)+(Table14[[#This Row],[Walmart Attorney Fees]]*0.15)</f>
        <v>169485.636847916</v>
      </c>
      <c r="Y3" s="8">
        <f t="shared" si="0"/>
        <v>4074997.0754999998</v>
      </c>
    </row>
    <row r="4" spans="1:25" s="7" customFormat="1" ht="15.6" x14ac:dyDescent="0.3">
      <c r="A4" s="1">
        <v>3</v>
      </c>
      <c r="B4" s="2">
        <v>46371</v>
      </c>
      <c r="C4" s="8">
        <v>10396000.192104774</v>
      </c>
      <c r="D4" s="8">
        <v>11793005.910428513</v>
      </c>
      <c r="E4" s="8">
        <v>6237776.3067822102</v>
      </c>
      <c r="F4" s="8">
        <v>10420025.759128511</v>
      </c>
      <c r="G4" s="8">
        <v>922915.72742359492</v>
      </c>
      <c r="H4" s="8">
        <f>SUM(Table14[[#This Row],[Teva]:[Walmart]])</f>
        <v>39769723.895867601</v>
      </c>
      <c r="I4" s="4">
        <f t="shared" si="1"/>
        <v>613607.77570694487</v>
      </c>
      <c r="J4" s="4">
        <f t="shared" si="2"/>
        <v>516296.46994582843</v>
      </c>
      <c r="K4" s="4">
        <f t="shared" si="3"/>
        <v>202373.58000331954</v>
      </c>
      <c r="L4" s="4">
        <f t="shared" si="4"/>
        <v>274125.97857225256</v>
      </c>
      <c r="M4" s="4">
        <f t="shared" ref="M4:M6" si="5">$M$17*0.2</f>
        <v>339632.987691883</v>
      </c>
      <c r="N4" s="8">
        <f>Table14[[#This Row],[Pre Fee Total]]-Table14[[#This Row],[Teva Attorney Fees]]-Table14[[#This Row],[Allergan Attorney Fees ]]-Table14[[#This Row],[Walgreens Attorney Fees]]-Table14[[#This Row],[CVS Attorney Fees]]-Table14[[#This Row],[Walmart Attorney Fees]]</f>
        <v>37823687.103947371</v>
      </c>
      <c r="O4" s="8">
        <f>Table14[[#This Row],[Total Less Fees]]*0.15</f>
        <v>5673553.0655921055</v>
      </c>
      <c r="P4" s="8">
        <f>Table14[[#This Row],[Total Less Fees]]*0.7</f>
        <v>26476580.972763158</v>
      </c>
      <c r="Q4" s="8">
        <f>Table14[[#This Row],[Total Less Fees]]*0.15</f>
        <v>5673553.0655921055</v>
      </c>
      <c r="R4" s="8">
        <f>((Table14[[#This Row],[Teva]]+Table14[[#This Row],[Allergan]])-(Table14[[#This Row],[Teva Attorney Fees]]+Table14[[#This Row],[Allergan Attorney Fees ]]))*0.15</f>
        <v>3158865.2785320771</v>
      </c>
      <c r="S4" s="10">
        <f>((Table14[[#This Row],[Walgreens]]+Table14[[#This Row],[CVS]]+Table14[[#This Row],[Walmart]])-(Table14[[#This Row],[Walgreens Attorney Fees]]+Table14[[#This Row],[CVS Attorney Fees]]+Table14[[#This Row],[Walmart Attorney Fees]]))*0.15</f>
        <v>2514687.7870600289</v>
      </c>
      <c r="T4" s="9">
        <f>((Table14[[#This Row],[Teva]]-Table14[[#This Row],[Teva Attorney Fees]])*0.15)+((Table14[[#This Row],[Allergan]]-Table14[[#This Row],[Allergan Attorney Fees ]])*0.15)+((Table14[[#This Row],[Walmart]]-Table14[[#This Row],[Walmart Attorney Fees]])*0.15)</f>
        <v>3246357.6894918336</v>
      </c>
      <c r="U4" s="9"/>
      <c r="V4" s="9">
        <f>Table14[[#This Row],[Subdivision Escrow Amount]]-W4</f>
        <v>0</v>
      </c>
      <c r="W4" s="9">
        <f>Table14[[#This Row],[Subdivision Escrow Amount]]/5.67</f>
        <v>0</v>
      </c>
      <c r="X4" s="9">
        <f>(Table14[[#This Row],[Teva Attorney Fees]]*0.15)+(Table14[[#This Row],[Allergan Attorney Fees ]]*0.15)+(Table14[[#This Row],[Walmart Attorney Fees]]*0.15)</f>
        <v>220430.58500169846</v>
      </c>
      <c r="Y4" s="9">
        <f t="shared" si="0"/>
        <v>3466788.2744935323</v>
      </c>
    </row>
    <row r="5" spans="1:25" s="7" customFormat="1" ht="15.6" x14ac:dyDescent="0.3">
      <c r="A5" s="1">
        <v>4</v>
      </c>
      <c r="B5" s="2">
        <v>46736</v>
      </c>
      <c r="C5" s="8">
        <v>10396000.192104774</v>
      </c>
      <c r="D5" s="8">
        <v>11793005.910887336</v>
      </c>
      <c r="E5" s="8">
        <v>6237776.3067822102</v>
      </c>
      <c r="F5" s="8">
        <v>10420025.759128511</v>
      </c>
      <c r="G5" s="8">
        <v>922915.72742359492</v>
      </c>
      <c r="H5" s="8">
        <f>SUM(Table14[[#This Row],[Teva]:[Walmart]])</f>
        <v>39769723.896326423</v>
      </c>
      <c r="I5" s="4">
        <f t="shared" si="1"/>
        <v>613607.77570694487</v>
      </c>
      <c r="J5" s="4">
        <f t="shared" si="2"/>
        <v>516296.46994582843</v>
      </c>
      <c r="K5" s="4">
        <f t="shared" si="3"/>
        <v>202373.58000331954</v>
      </c>
      <c r="L5" s="4">
        <f t="shared" si="4"/>
        <v>274125.97857225256</v>
      </c>
      <c r="M5" s="4">
        <f t="shared" si="5"/>
        <v>339632.987691883</v>
      </c>
      <c r="N5" s="8">
        <f>Table14[[#This Row],[Pre Fee Total]]-Table14[[#This Row],[Teva Attorney Fees]]-Table14[[#This Row],[Allergan Attorney Fees ]]-Table14[[#This Row],[Walgreens Attorney Fees]]-Table14[[#This Row],[CVS Attorney Fees]]-Table14[[#This Row],[Walmart Attorney Fees]]</f>
        <v>37823687.104406193</v>
      </c>
      <c r="O5" s="8">
        <f>Table14[[#This Row],[Total Less Fees]]*0.15</f>
        <v>5673553.0656609284</v>
      </c>
      <c r="P5" s="8">
        <f>Table14[[#This Row],[Total Less Fees]]*0.7</f>
        <v>26476580.973084334</v>
      </c>
      <c r="Q5" s="8">
        <f>Table14[[#This Row],[Total Less Fees]]*0.15</f>
        <v>5673553.0656609284</v>
      </c>
      <c r="R5" s="8">
        <f>((Table14[[#This Row],[Teva]]+Table14[[#This Row],[Allergan]])-(Table14[[#This Row],[Teva Attorney Fees]]+Table14[[#This Row],[Allergan Attorney Fees ]]))*0.15</f>
        <v>3158865.2786009004</v>
      </c>
      <c r="S5" s="8">
        <f>((Table14[[#This Row],[Walgreens]]+Table14[[#This Row],[CVS]]+Table14[[#This Row],[Walmart]])-(Table14[[#This Row],[Walgreens Attorney Fees]]+Table14[[#This Row],[CVS Attorney Fees]]+Table14[[#This Row],[Walmart Attorney Fees]]))*0.15</f>
        <v>2514687.7870600289</v>
      </c>
      <c r="T5" s="9">
        <f>((Table14[[#This Row],[Teva]]-Table14[[#This Row],[Teva Attorney Fees]])*0.15)+((Table14[[#This Row],[Allergan]]-Table14[[#This Row],[Allergan Attorney Fees ]])*0.15)+((Table14[[#This Row],[Walmart]]-Table14[[#This Row],[Walmart Attorney Fees]])*0.15)</f>
        <v>3246357.6895606574</v>
      </c>
      <c r="U5" s="9"/>
      <c r="V5" s="9">
        <f>Table14[[#This Row],[Subdivision Escrow Amount]]-W5</f>
        <v>0</v>
      </c>
      <c r="W5" s="9">
        <f>Table14[[#This Row],[Subdivision Escrow Amount]]/5.67</f>
        <v>0</v>
      </c>
      <c r="X5" s="9">
        <f>(Table14[[#This Row],[Teva Attorney Fees]]*0.15)+(Table14[[#This Row],[Allergan Attorney Fees ]]*0.15)+(Table14[[#This Row],[Walmart Attorney Fees]]*0.15)</f>
        <v>220430.58500169846</v>
      </c>
      <c r="Y5" s="9">
        <f t="shared" si="0"/>
        <v>3466788.2745623561</v>
      </c>
    </row>
    <row r="6" spans="1:25" s="7" customFormat="1" ht="15.6" x14ac:dyDescent="0.3">
      <c r="A6" s="1">
        <v>5</v>
      </c>
      <c r="B6" s="2">
        <v>47102</v>
      </c>
      <c r="C6" s="8">
        <v>10396000.192104774</v>
      </c>
      <c r="D6" s="8">
        <v>11793005.910887336</v>
      </c>
      <c r="E6" s="8">
        <v>6237776.3067822102</v>
      </c>
      <c r="F6" s="8">
        <v>10420025.759128511</v>
      </c>
      <c r="G6" s="8">
        <v>922915.72742359492</v>
      </c>
      <c r="H6" s="8">
        <f>SUM(Table14[[#This Row],[Teva]:[Walmart]])</f>
        <v>39769723.896326423</v>
      </c>
      <c r="I6" s="4">
        <f t="shared" si="1"/>
        <v>613607.77570694487</v>
      </c>
      <c r="J6" s="4">
        <f t="shared" si="2"/>
        <v>516296.46994582843</v>
      </c>
      <c r="K6" s="4">
        <f t="shared" si="3"/>
        <v>202373.58000331954</v>
      </c>
      <c r="L6" s="4">
        <f t="shared" si="4"/>
        <v>274125.97857225256</v>
      </c>
      <c r="M6" s="4">
        <f t="shared" si="5"/>
        <v>339632.987691883</v>
      </c>
      <c r="N6" s="8">
        <f>Table14[[#This Row],[Pre Fee Total]]-Table14[[#This Row],[Teva Attorney Fees]]-Table14[[#This Row],[Allergan Attorney Fees ]]-Table14[[#This Row],[Walgreens Attorney Fees]]-Table14[[#This Row],[CVS Attorney Fees]]-Table14[[#This Row],[Walmart Attorney Fees]]</f>
        <v>37823687.104406193</v>
      </c>
      <c r="O6" s="8">
        <f>Table14[[#This Row],[Total Less Fees]]*0.15</f>
        <v>5673553.0656609284</v>
      </c>
      <c r="P6" s="8">
        <f>Table14[[#This Row],[Total Less Fees]]*0.7</f>
        <v>26476580.973084334</v>
      </c>
      <c r="Q6" s="8">
        <f>Table14[[#This Row],[Total Less Fees]]*0.15</f>
        <v>5673553.0656609284</v>
      </c>
      <c r="R6" s="8">
        <f>((Table14[[#This Row],[Teva]]+Table14[[#This Row],[Allergan]])-(Table14[[#This Row],[Teva Attorney Fees]]+Table14[[#This Row],[Allergan Attorney Fees ]]))*0.15</f>
        <v>3158865.2786009004</v>
      </c>
      <c r="S6" s="8">
        <f>((Table14[[#This Row],[Walgreens]]+Table14[[#This Row],[CVS]]+Table14[[#This Row],[Walmart]])-(Table14[[#This Row],[Walgreens Attorney Fees]]+Table14[[#This Row],[CVS Attorney Fees]]+Table14[[#This Row],[Walmart Attorney Fees]]))*0.15</f>
        <v>2514687.7870600289</v>
      </c>
      <c r="T6" s="9">
        <f>((Table14[[#This Row],[Teva]]-Table14[[#This Row],[Teva Attorney Fees]])*0.15)+((Table14[[#This Row],[Allergan]]-Table14[[#This Row],[Allergan Attorney Fees ]])*0.15)+((Table14[[#This Row],[Walmart]]-Table14[[#This Row],[Walmart Attorney Fees]])*0.15)</f>
        <v>3246357.6895606574</v>
      </c>
      <c r="U6" s="9"/>
      <c r="V6" s="9">
        <f>Table14[[#This Row],[Subdivision Escrow Amount]]-W6</f>
        <v>0</v>
      </c>
      <c r="W6" s="9">
        <f>Table14[[#This Row],[Subdivision Escrow Amount]]/5.67</f>
        <v>0</v>
      </c>
      <c r="X6" s="9">
        <f>(Table14[[#This Row],[Teva Attorney Fees]]*0.15)+(Table14[[#This Row],[Allergan Attorney Fees ]]*0.15)+(Table14[[#This Row],[Walmart Attorney Fees]]*0.15)</f>
        <v>220430.58500169846</v>
      </c>
      <c r="Y6" s="9">
        <f t="shared" si="0"/>
        <v>3466788.2745623561</v>
      </c>
    </row>
    <row r="7" spans="1:25" s="7" customFormat="1" ht="15.6" x14ac:dyDescent="0.3">
      <c r="A7" s="1">
        <v>6</v>
      </c>
      <c r="B7" s="2">
        <v>47467</v>
      </c>
      <c r="C7" s="8">
        <v>10396000.192104774</v>
      </c>
      <c r="D7" s="8">
        <v>11793005.910887336</v>
      </c>
      <c r="E7" s="8">
        <v>8269933.0440857112</v>
      </c>
      <c r="F7" s="8">
        <v>12304872.975783542</v>
      </c>
      <c r="G7" s="8">
        <v>922915.72742359492</v>
      </c>
      <c r="H7" s="8">
        <f>SUM(Table14[[#This Row],[Teva]:[Walmart]])</f>
        <v>43686727.850284956</v>
      </c>
      <c r="I7" s="8"/>
      <c r="J7" s="8"/>
      <c r="K7" s="8"/>
      <c r="L7" s="8"/>
      <c r="M7" s="8"/>
      <c r="N7" s="8">
        <f>Table14[[#This Row],[Pre Fee Total]]-Table14[[#This Row],[Teva Attorney Fees]]-Table14[[#This Row],[Allergan Attorney Fees ]]-Table14[[#This Row],[Walgreens Attorney Fees]]-Table14[[#This Row],[CVS Attorney Fees]]-Table14[[#This Row],[Walmart Attorney Fees]]</f>
        <v>43686727.850284956</v>
      </c>
      <c r="O7" s="8">
        <f>Table14[[#This Row],[Total Less Fees]]*0.15</f>
        <v>6553009.1775427433</v>
      </c>
      <c r="P7" s="8">
        <f>Table14[[#This Row],[Total Less Fees]]*0.7</f>
        <v>30580709.495199468</v>
      </c>
      <c r="Q7" s="8">
        <f>Table14[[#This Row],[Total Less Fees]]*0.15</f>
        <v>6553009.1775427433</v>
      </c>
      <c r="R7" s="8">
        <f>((Table14[[#This Row],[Teva]]+Table14[[#This Row],[Allergan]])-(Table14[[#This Row],[Teva Attorney Fees]]+Table14[[#This Row],[Allergan Attorney Fees ]]))*0.15</f>
        <v>3328350.9154488165</v>
      </c>
      <c r="S7" s="8">
        <f>((Table14[[#This Row],[Walgreens]]+Table14[[#This Row],[CVS]]+Table14[[#This Row],[Walmart]])-(Table14[[#This Row],[Walgreens Attorney Fees]]+Table14[[#This Row],[CVS Attorney Fees]]+Table14[[#This Row],[Walmart Attorney Fees]]))*0.15</f>
        <v>3224658.2620939268</v>
      </c>
      <c r="T7" s="9">
        <f>((Table14[[#This Row],[Teva]]-Table14[[#This Row],[Teva Attorney Fees]])*0.15)+((Table14[[#This Row],[Allergan]]-Table14[[#This Row],[Allergan Attorney Fees ]])*0.15)+((Table14[[#This Row],[Walmart]]-Table14[[#This Row],[Walmart Attorney Fees]])*0.15)</f>
        <v>3466788.2745623556</v>
      </c>
      <c r="U7" s="9"/>
      <c r="V7" s="9">
        <f>Table14[[#This Row],[Subdivision Escrow Amount]]-W7</f>
        <v>0</v>
      </c>
      <c r="W7" s="9">
        <f>Table14[[#This Row],[Subdivision Escrow Amount]]/5.67</f>
        <v>0</v>
      </c>
      <c r="X7" s="9"/>
      <c r="Y7" s="9">
        <f t="shared" si="0"/>
        <v>3466788.2745623556</v>
      </c>
    </row>
    <row r="8" spans="1:25" s="7" customFormat="1" ht="15.6" x14ac:dyDescent="0.3">
      <c r="A8" s="1">
        <v>7</v>
      </c>
      <c r="B8" s="2">
        <v>47832</v>
      </c>
      <c r="C8" s="8">
        <v>10396000.192104772</v>
      </c>
      <c r="D8" s="8">
        <v>11793005.910887336</v>
      </c>
      <c r="E8" s="8">
        <v>8269933.0440857112</v>
      </c>
      <c r="F8" s="8">
        <v>11784284.816807389</v>
      </c>
      <c r="G8" s="8"/>
      <c r="H8" s="8">
        <f>SUM(Table14[[#This Row],[Teva]:[Walmart]])</f>
        <v>42243223.96388521</v>
      </c>
      <c r="I8" s="8"/>
      <c r="J8" s="8"/>
      <c r="K8" s="8"/>
      <c r="L8" s="8"/>
      <c r="M8" s="8"/>
      <c r="N8" s="8">
        <f>Table14[[#This Row],[Pre Fee Total]]-Table14[[#This Row],[Teva Attorney Fees]]-Table14[[#This Row],[Allergan Attorney Fees ]]-Table14[[#This Row],[Walgreens Attorney Fees]]-Table14[[#This Row],[CVS Attorney Fees]]-Table14[[#This Row],[Walmart Attorney Fees]]</f>
        <v>42243223.96388521</v>
      </c>
      <c r="O8" s="8">
        <f>Table14[[#This Row],[Total Less Fees]]*0.15</f>
        <v>6336483.5945827812</v>
      </c>
      <c r="P8" s="8">
        <f>Table14[[#This Row],[Total Less Fees]]*0.7</f>
        <v>29570256.774719644</v>
      </c>
      <c r="Q8" s="8">
        <f>Table14[[#This Row],[Total Less Fees]]*0.15</f>
        <v>6336483.5945827812</v>
      </c>
      <c r="R8" s="8">
        <f>((Table14[[#This Row],[Teva]]+Table14[[#This Row],[Allergan]])-(Table14[[#This Row],[Teva Attorney Fees]]+Table14[[#This Row],[Allergan Attorney Fees ]]))*0.15</f>
        <v>3328350.9154488165</v>
      </c>
      <c r="S8" s="8">
        <f>((Table14[[#This Row],[Walgreens]]+Table14[[#This Row],[CVS]]+Table14[[#This Row],[Walmart]])-(Table14[[#This Row],[Walgreens Attorney Fees]]+Table14[[#This Row],[CVS Attorney Fees]]+Table14[[#This Row],[Walmart Attorney Fees]]))*0.15</f>
        <v>3008132.6791339652</v>
      </c>
      <c r="T8" s="9">
        <f>((Table14[[#This Row],[Teva]]-Table14[[#This Row],[Teva Attorney Fees]])*0.15)+((Table14[[#This Row],[Allergan]]-Table14[[#This Row],[Allergan Attorney Fees ]])*0.15)+((Table14[[#This Row],[Walmart]]-Table14[[#This Row],[Walmart Attorney Fees]])*0.15)</f>
        <v>3328350.9154488165</v>
      </c>
      <c r="U8" s="9"/>
      <c r="V8" s="9">
        <f>Table14[[#This Row],[Subdivision Escrow Amount]]-W8</f>
        <v>0</v>
      </c>
      <c r="W8" s="9">
        <f>Table14[[#This Row],[Subdivision Escrow Amount]]/5.67</f>
        <v>0</v>
      </c>
      <c r="X8" s="9"/>
      <c r="Y8" s="9">
        <f t="shared" si="0"/>
        <v>3328350.9154488165</v>
      </c>
    </row>
    <row r="9" spans="1:25" s="7" customFormat="1" ht="15.6" x14ac:dyDescent="0.3">
      <c r="A9" s="1">
        <v>8</v>
      </c>
      <c r="B9" s="2">
        <v>48197</v>
      </c>
      <c r="C9" s="8">
        <v>10396000.192104772</v>
      </c>
      <c r="D9" s="8"/>
      <c r="E9" s="8">
        <v>10544770.375213776</v>
      </c>
      <c r="F9" s="8">
        <v>11263696.657831237</v>
      </c>
      <c r="G9" s="8"/>
      <c r="H9" s="8">
        <f>SUM(Table14[[#This Row],[Teva]:[Walmart]])</f>
        <v>32204467.225149784</v>
      </c>
      <c r="I9" s="8"/>
      <c r="J9" s="8"/>
      <c r="K9" s="8"/>
      <c r="L9" s="8"/>
      <c r="M9" s="8"/>
      <c r="N9" s="8">
        <f>Table14[[#This Row],[Pre Fee Total]]-Table14[[#This Row],[Teva Attorney Fees]]-Table14[[#This Row],[Allergan Attorney Fees ]]-Table14[[#This Row],[Walgreens Attorney Fees]]-Table14[[#This Row],[CVS Attorney Fees]]-Table14[[#This Row],[Walmart Attorney Fees]]</f>
        <v>32204467.225149784</v>
      </c>
      <c r="O9" s="8">
        <f>Table14[[#This Row],[Total Less Fees]]*0.15</f>
        <v>4830670.0837724674</v>
      </c>
      <c r="P9" s="8">
        <f>Table14[[#This Row],[Total Less Fees]]*0.7</f>
        <v>22543127.057604849</v>
      </c>
      <c r="Q9" s="8">
        <f>Table14[[#This Row],[Total Less Fees]]*0.15</f>
        <v>4830670.0837724674</v>
      </c>
      <c r="R9" s="8">
        <f>((Table14[[#This Row],[Teva]]+Table14[[#This Row],[Allergan]])-(Table14[[#This Row],[Teva Attorney Fees]]+Table14[[#This Row],[Allergan Attorney Fees ]]))*0.15</f>
        <v>1559400.0288157158</v>
      </c>
      <c r="S9" s="8">
        <f>((Table14[[#This Row],[Walgreens]]+Table14[[#This Row],[CVS]]+Table14[[#This Row],[Walmart]])-(Table14[[#This Row],[Walgreens Attorney Fees]]+Table14[[#This Row],[CVS Attorney Fees]]+Table14[[#This Row],[Walmart Attorney Fees]]))*0.15</f>
        <v>3271270.0549567519</v>
      </c>
      <c r="T9" s="9">
        <f>((Table14[[#This Row],[Teva]]-Table14[[#This Row],[Teva Attorney Fees]])*0.15)+((Table14[[#This Row],[Allergan]]-Table14[[#This Row],[Allergan Attorney Fees ]])*0.15)+((Table14[[#This Row],[Walmart]]-Table14[[#This Row],[Walmart Attorney Fees]])*0.15)</f>
        <v>1559400.0288157158</v>
      </c>
      <c r="U9" s="9"/>
      <c r="V9" s="9">
        <f>Table14[[#This Row],[Subdivision Escrow Amount]]-W9</f>
        <v>0</v>
      </c>
      <c r="W9" s="9">
        <f>Table14[[#This Row],[Subdivision Escrow Amount]]/5.67</f>
        <v>0</v>
      </c>
      <c r="X9" s="9"/>
      <c r="Y9" s="9">
        <f t="shared" si="0"/>
        <v>1559400.0288157158</v>
      </c>
    </row>
    <row r="10" spans="1:25" s="7" customFormat="1" ht="15.6" x14ac:dyDescent="0.3">
      <c r="A10" s="1">
        <v>9</v>
      </c>
      <c r="B10" s="2">
        <v>48563</v>
      </c>
      <c r="C10" s="8">
        <v>10396000.192104772</v>
      </c>
      <c r="D10" s="8"/>
      <c r="E10" s="8">
        <v>10544770.375213776</v>
      </c>
      <c r="F10" s="8">
        <v>11255434.610461835</v>
      </c>
      <c r="G10" s="8"/>
      <c r="H10" s="8">
        <f>SUM(Table14[[#This Row],[Teva]:[Walmart]])</f>
        <v>32196205.177780382</v>
      </c>
      <c r="I10" s="8"/>
      <c r="J10" s="8"/>
      <c r="K10" s="8"/>
      <c r="L10" s="8"/>
      <c r="M10" s="8"/>
      <c r="N10" s="8">
        <f>Table14[[#This Row],[Pre Fee Total]]-Table14[[#This Row],[Teva Attorney Fees]]-Table14[[#This Row],[Allergan Attorney Fees ]]-Table14[[#This Row],[Walgreens Attorney Fees]]-Table14[[#This Row],[CVS Attorney Fees]]-Table14[[#This Row],[Walmart Attorney Fees]]</f>
        <v>32196205.177780382</v>
      </c>
      <c r="O10" s="8">
        <f>Table14[[#This Row],[Total Less Fees]]*0.15</f>
        <v>4829430.7766670575</v>
      </c>
      <c r="P10" s="8">
        <f>Table14[[#This Row],[Total Less Fees]]*0.7</f>
        <v>22537343.624446265</v>
      </c>
      <c r="Q10" s="8">
        <f>Table14[[#This Row],[Total Less Fees]]*0.15</f>
        <v>4829430.7766670575</v>
      </c>
      <c r="R10" s="8">
        <f>((Table14[[#This Row],[Teva]]+Table14[[#This Row],[Allergan]])-(Table14[[#This Row],[Teva Attorney Fees]]+Table14[[#This Row],[Allergan Attorney Fees ]]))*0.15</f>
        <v>1559400.0288157158</v>
      </c>
      <c r="S10" s="8">
        <f>((Table14[[#This Row],[Walgreens]]+Table14[[#This Row],[CVS]]+Table14[[#This Row],[Walmart]])-(Table14[[#This Row],[Walgreens Attorney Fees]]+Table14[[#This Row],[CVS Attorney Fees]]+Table14[[#This Row],[Walmart Attorney Fees]]))*0.15</f>
        <v>3270030.7478513415</v>
      </c>
      <c r="T10" s="9">
        <f>((Table14[[#This Row],[Teva]]-Table14[[#This Row],[Teva Attorney Fees]])*0.15)+((Table14[[#This Row],[Allergan]]-Table14[[#This Row],[Allergan Attorney Fees ]])*0.15)+((Table14[[#This Row],[Walmart]]-Table14[[#This Row],[Walmart Attorney Fees]])*0.15)</f>
        <v>1559400.0288157158</v>
      </c>
      <c r="U10" s="9"/>
      <c r="V10" s="9">
        <f>Table14[[#This Row],[Subdivision Escrow Amount]]-W10</f>
        <v>0</v>
      </c>
      <c r="W10" s="9">
        <f>Table14[[#This Row],[Subdivision Escrow Amount]]/5.67</f>
        <v>0</v>
      </c>
      <c r="X10" s="9"/>
      <c r="Y10" s="9">
        <f t="shared" si="0"/>
        <v>1559400.0288157158</v>
      </c>
    </row>
    <row r="11" spans="1:25" s="7" customFormat="1" ht="15.6" x14ac:dyDescent="0.3">
      <c r="A11" s="1">
        <v>10</v>
      </c>
      <c r="B11" s="2">
        <v>48928</v>
      </c>
      <c r="C11" s="8">
        <v>10396000.192104772</v>
      </c>
      <c r="D11" s="8"/>
      <c r="E11" s="8">
        <v>10544770.375213776</v>
      </c>
      <c r="F11" s="8">
        <v>11255434.628814805</v>
      </c>
      <c r="G11" s="8"/>
      <c r="H11" s="8">
        <f>SUM(Table14[[#This Row],[Teva]:[Walmart]])</f>
        <v>32196205.196133353</v>
      </c>
      <c r="I11" s="8"/>
      <c r="J11" s="8"/>
      <c r="K11" s="8"/>
      <c r="L11" s="8"/>
      <c r="M11" s="8"/>
      <c r="N11" s="8">
        <f>Table14[[#This Row],[Pre Fee Total]]-Table14[[#This Row],[Teva Attorney Fees]]-Table14[[#This Row],[Allergan Attorney Fees ]]-Table14[[#This Row],[Walgreens Attorney Fees]]-Table14[[#This Row],[CVS Attorney Fees]]-Table14[[#This Row],[Walmart Attorney Fees]]</f>
        <v>32196205.196133353</v>
      </c>
      <c r="O11" s="8">
        <f>Table14[[#This Row],[Total Less Fees]]*0.15</f>
        <v>4829430.7794200024</v>
      </c>
      <c r="P11" s="8">
        <f>Table14[[#This Row],[Total Less Fees]]*0.7</f>
        <v>22537343.637293346</v>
      </c>
      <c r="Q11" s="8">
        <f>Table14[[#This Row],[Total Less Fees]]*0.15</f>
        <v>4829430.7794200024</v>
      </c>
      <c r="R11" s="8">
        <f>((Table14[[#This Row],[Teva]]+Table14[[#This Row],[Allergan]])-(Table14[[#This Row],[Teva Attorney Fees]]+Table14[[#This Row],[Allergan Attorney Fees ]]))*0.15</f>
        <v>1559400.0288157158</v>
      </c>
      <c r="S11" s="8">
        <f>((Table14[[#This Row],[Walgreens]]+Table14[[#This Row],[CVS]]+Table14[[#This Row],[Walmart]])-(Table14[[#This Row],[Walgreens Attorney Fees]]+Table14[[#This Row],[CVS Attorney Fees]]+Table14[[#This Row],[Walmart Attorney Fees]]))*0.15</f>
        <v>3270030.7506042873</v>
      </c>
      <c r="T11" s="9">
        <f>((Table14[[#This Row],[Teva]]-Table14[[#This Row],[Teva Attorney Fees]])*0.15)+((Table14[[#This Row],[Allergan]]-Table14[[#This Row],[Allergan Attorney Fees ]])*0.15)+((Table14[[#This Row],[Walmart]]-Table14[[#This Row],[Walmart Attorney Fees]])*0.15)</f>
        <v>1559400.0288157158</v>
      </c>
      <c r="U11" s="9"/>
      <c r="V11" s="9">
        <f>Table14[[#This Row],[Subdivision Escrow Amount]]-W11</f>
        <v>0</v>
      </c>
      <c r="W11" s="9">
        <f>Table14[[#This Row],[Subdivision Escrow Amount]]/5.67</f>
        <v>0</v>
      </c>
      <c r="X11" s="9"/>
      <c r="Y11" s="9">
        <f t="shared" si="0"/>
        <v>1559400.0288157158</v>
      </c>
    </row>
    <row r="12" spans="1:25" s="7" customFormat="1" ht="15.6" x14ac:dyDescent="0.3">
      <c r="A12" s="1">
        <v>11</v>
      </c>
      <c r="B12" s="2">
        <v>49293</v>
      </c>
      <c r="C12" s="8">
        <v>10396000.192104774</v>
      </c>
      <c r="D12" s="8"/>
      <c r="E12" s="8">
        <v>10544770.375213776</v>
      </c>
      <c r="F12" s="8"/>
      <c r="G12" s="8"/>
      <c r="H12" s="8">
        <f>SUM(Table14[[#This Row],[Teva]:[Walmart]])</f>
        <v>20940770.567318551</v>
      </c>
      <c r="I12" s="8"/>
      <c r="J12" s="8"/>
      <c r="K12" s="8"/>
      <c r="L12" s="8"/>
      <c r="M12" s="8"/>
      <c r="N12" s="8">
        <f>Table14[[#This Row],[Pre Fee Total]]-Table14[[#This Row],[Teva Attorney Fees]]-Table14[[#This Row],[Allergan Attorney Fees ]]-Table14[[#This Row],[Walgreens Attorney Fees]]-Table14[[#This Row],[CVS Attorney Fees]]-Table14[[#This Row],[Walmart Attorney Fees]]</f>
        <v>20940770.567318551</v>
      </c>
      <c r="O12" s="8">
        <f>Table14[[#This Row],[Total Less Fees]]*0.15</f>
        <v>3141115.5850977828</v>
      </c>
      <c r="P12" s="8">
        <f>Table14[[#This Row],[Total Less Fees]]*0.7</f>
        <v>14658539.397122985</v>
      </c>
      <c r="Q12" s="8">
        <f>Table14[[#This Row],[Total Less Fees]]*0.15</f>
        <v>3141115.5850977828</v>
      </c>
      <c r="R12" s="8">
        <f>((Table14[[#This Row],[Teva]]+Table14[[#This Row],[Allergan]])-(Table14[[#This Row],[Teva Attorney Fees]]+Table14[[#This Row],[Allergan Attorney Fees ]]))*0.15</f>
        <v>1559400.028815716</v>
      </c>
      <c r="S12" s="8">
        <f>((Table14[[#This Row],[Walgreens]]+Table14[[#This Row],[CVS]]+Table14[[#This Row],[Walmart]])-(Table14[[#This Row],[Walgreens Attorney Fees]]+Table14[[#This Row],[CVS Attorney Fees]]+Table14[[#This Row],[Walmart Attorney Fees]]))*0.15</f>
        <v>1581715.5562820663</v>
      </c>
      <c r="T12" s="9">
        <f>((Table14[[#This Row],[Teva]]-Table14[[#This Row],[Teva Attorney Fees]])*0.15)+((Table14[[#This Row],[Allergan]]-Table14[[#This Row],[Allergan Attorney Fees ]])*0.15)+((Table14[[#This Row],[Walmart]]-Table14[[#This Row],[Walmart Attorney Fees]])*0.15)</f>
        <v>1559400.028815716</v>
      </c>
      <c r="U12" s="9"/>
      <c r="V12" s="9">
        <f>Table14[[#This Row],[Subdivision Escrow Amount]]-W12</f>
        <v>0</v>
      </c>
      <c r="W12" s="9">
        <f>Table14[[#This Row],[Subdivision Escrow Amount]]/5.67</f>
        <v>0</v>
      </c>
      <c r="X12" s="9"/>
      <c r="Y12" s="9">
        <f t="shared" si="0"/>
        <v>1559400.028815716</v>
      </c>
    </row>
    <row r="13" spans="1:25" s="7" customFormat="1" ht="15.6" x14ac:dyDescent="0.3">
      <c r="A13" s="1">
        <v>12</v>
      </c>
      <c r="B13" s="2">
        <v>49658</v>
      </c>
      <c r="C13" s="8">
        <v>10396000.192104774</v>
      </c>
      <c r="D13" s="8"/>
      <c r="E13" s="8">
        <v>10544770.375213776</v>
      </c>
      <c r="F13" s="8"/>
      <c r="G13" s="8"/>
      <c r="H13" s="8">
        <f>SUM(Table14[[#This Row],[Teva]:[Walmart]])</f>
        <v>20940770.567318551</v>
      </c>
      <c r="I13" s="8"/>
      <c r="J13" s="8"/>
      <c r="K13" s="8"/>
      <c r="L13" s="8"/>
      <c r="M13" s="8"/>
      <c r="N13" s="8">
        <f>Table14[[#This Row],[Pre Fee Total]]-Table14[[#This Row],[Teva Attorney Fees]]-Table14[[#This Row],[Allergan Attorney Fees ]]-Table14[[#This Row],[Walgreens Attorney Fees]]-Table14[[#This Row],[CVS Attorney Fees]]-Table14[[#This Row],[Walmart Attorney Fees]]</f>
        <v>20940770.567318551</v>
      </c>
      <c r="O13" s="8">
        <f>Table14[[#This Row],[Total Less Fees]]*0.15</f>
        <v>3141115.5850977828</v>
      </c>
      <c r="P13" s="8">
        <f>Table14[[#This Row],[Total Less Fees]]*0.7</f>
        <v>14658539.397122985</v>
      </c>
      <c r="Q13" s="8">
        <f>Table14[[#This Row],[Total Less Fees]]*0.15</f>
        <v>3141115.5850977828</v>
      </c>
      <c r="R13" s="8">
        <f>((Table14[[#This Row],[Teva]]+Table14[[#This Row],[Allergan]])-(Table14[[#This Row],[Teva Attorney Fees]]+Table14[[#This Row],[Allergan Attorney Fees ]]))*0.15</f>
        <v>1559400.028815716</v>
      </c>
      <c r="S13" s="8">
        <f>((Table14[[#This Row],[Walgreens]]+Table14[[#This Row],[CVS]]+Table14[[#This Row],[Walmart]])-(Table14[[#This Row],[Walgreens Attorney Fees]]+Table14[[#This Row],[CVS Attorney Fees]]+Table14[[#This Row],[Walmart Attorney Fees]]))*0.15</f>
        <v>1581715.5562820663</v>
      </c>
      <c r="T13" s="9">
        <f>((Table14[[#This Row],[Teva]]-Table14[[#This Row],[Teva Attorney Fees]])*0.15)+((Table14[[#This Row],[Allergan]]-Table14[[#This Row],[Allergan Attorney Fees ]])*0.15)+((Table14[[#This Row],[Walmart]]-Table14[[#This Row],[Walmart Attorney Fees]])*0.15)</f>
        <v>1559400.028815716</v>
      </c>
      <c r="U13" s="9"/>
      <c r="V13" s="9">
        <f>Table14[[#This Row],[Subdivision Escrow Amount]]-W13</f>
        <v>0</v>
      </c>
      <c r="W13" s="9">
        <f>Table14[[#This Row],[Subdivision Escrow Amount]]/5.67</f>
        <v>0</v>
      </c>
      <c r="X13" s="9"/>
      <c r="Y13" s="9">
        <f t="shared" si="0"/>
        <v>1559400.028815716</v>
      </c>
    </row>
    <row r="14" spans="1:25" s="7" customFormat="1" ht="15.6" x14ac:dyDescent="0.3">
      <c r="A14" s="1">
        <v>13</v>
      </c>
      <c r="B14" s="2">
        <v>50024</v>
      </c>
      <c r="C14" s="8">
        <v>10396000.192104774</v>
      </c>
      <c r="D14" s="8"/>
      <c r="E14" s="8">
        <v>10544770.375213776</v>
      </c>
      <c r="F14" s="8"/>
      <c r="G14" s="8"/>
      <c r="H14" s="8">
        <f>SUM(Table14[[#This Row],[Teva]:[Walmart]])</f>
        <v>20940770.567318551</v>
      </c>
      <c r="I14" s="8"/>
      <c r="J14" s="8"/>
      <c r="K14" s="8"/>
      <c r="L14" s="8"/>
      <c r="M14" s="8"/>
      <c r="N14" s="8">
        <f>Table14[[#This Row],[Pre Fee Total]]-Table14[[#This Row],[Teva Attorney Fees]]-Table14[[#This Row],[Allergan Attorney Fees ]]-Table14[[#This Row],[Walgreens Attorney Fees]]-Table14[[#This Row],[CVS Attorney Fees]]-Table14[[#This Row],[Walmart Attorney Fees]]</f>
        <v>20940770.567318551</v>
      </c>
      <c r="O14" s="8">
        <f>Table14[[#This Row],[Total Less Fees]]*0.15</f>
        <v>3141115.5850977828</v>
      </c>
      <c r="P14" s="8">
        <f>Table14[[#This Row],[Total Less Fees]]*0.7</f>
        <v>14658539.397122985</v>
      </c>
      <c r="Q14" s="8">
        <f>Table14[[#This Row],[Total Less Fees]]*0.15</f>
        <v>3141115.5850977828</v>
      </c>
      <c r="R14" s="8">
        <f>((Table14[[#This Row],[Teva]]+Table14[[#This Row],[Allergan]])-(Table14[[#This Row],[Teva Attorney Fees]]+Table14[[#This Row],[Allergan Attorney Fees ]]))*0.15</f>
        <v>1559400.028815716</v>
      </c>
      <c r="S14" s="8">
        <f>((Table14[[#This Row],[Walgreens]]+Table14[[#This Row],[CVS]]+Table14[[#This Row],[Walmart]])-(Table14[[#This Row],[Walgreens Attorney Fees]]+Table14[[#This Row],[CVS Attorney Fees]]+Table14[[#This Row],[Walmart Attorney Fees]]))*0.15</f>
        <v>1581715.5562820663</v>
      </c>
      <c r="T14" s="9">
        <f>((Table14[[#This Row],[Teva]]-Table14[[#This Row],[Teva Attorney Fees]])*0.15)+((Table14[[#This Row],[Allergan]]-Table14[[#This Row],[Allergan Attorney Fees ]])*0.15)+((Table14[[#This Row],[Walmart]]-Table14[[#This Row],[Walmart Attorney Fees]])*0.15)</f>
        <v>1559400.028815716</v>
      </c>
      <c r="U14" s="9"/>
      <c r="V14" s="9">
        <f>Table14[[#This Row],[Subdivision Escrow Amount]]-W14</f>
        <v>0</v>
      </c>
      <c r="W14" s="9">
        <f>Table14[[#This Row],[Subdivision Escrow Amount]]/5.67</f>
        <v>0</v>
      </c>
      <c r="X14" s="9"/>
      <c r="Y14" s="9">
        <f t="shared" si="0"/>
        <v>1559400.028815716</v>
      </c>
    </row>
    <row r="15" spans="1:25" s="7" customFormat="1" ht="15.6" x14ac:dyDescent="0.3">
      <c r="A15" s="1">
        <v>14</v>
      </c>
      <c r="B15" s="2">
        <v>50389</v>
      </c>
      <c r="C15" s="8"/>
      <c r="D15" s="8"/>
      <c r="E15" s="8">
        <v>10544770.375213776</v>
      </c>
      <c r="F15" s="8"/>
      <c r="G15" s="8"/>
      <c r="H15" s="8">
        <f>SUM(Table14[[#This Row],[Teva]:[Walmart]])</f>
        <v>10544770.375213776</v>
      </c>
      <c r="I15" s="8"/>
      <c r="J15" s="8"/>
      <c r="K15" s="8"/>
      <c r="L15" s="8"/>
      <c r="M15" s="8"/>
      <c r="N15" s="8">
        <f>Table14[[#This Row],[Pre Fee Total]]-Table14[[#This Row],[Teva Attorney Fees]]-Table14[[#This Row],[Allergan Attorney Fees ]]-Table14[[#This Row],[Walgreens Attorney Fees]]-Table14[[#This Row],[CVS Attorney Fees]]-Table14[[#This Row],[Walmart Attorney Fees]]</f>
        <v>10544770.375213776</v>
      </c>
      <c r="O15" s="8">
        <f>Table14[[#This Row],[Total Less Fees]]*0.15</f>
        <v>1581715.5562820663</v>
      </c>
      <c r="P15" s="8">
        <f>Table14[[#This Row],[Total Less Fees]]*0.7</f>
        <v>7381339.2626496423</v>
      </c>
      <c r="Q15" s="8">
        <f>Table14[[#This Row],[Total Less Fees]]*0.15</f>
        <v>1581715.5562820663</v>
      </c>
      <c r="R15" s="8">
        <f>((Table14[[#This Row],[Teva]]+Table14[[#This Row],[Allergan]])-(Table14[[#This Row],[Teva Attorney Fees]]+Table14[[#This Row],[Allergan Attorney Fees ]]))*0.15</f>
        <v>0</v>
      </c>
      <c r="S15" s="8">
        <f>((Table14[[#This Row],[Walgreens]]+Table14[[#This Row],[CVS]]+Table14[[#This Row],[Walmart]])-(Table14[[#This Row],[Walgreens Attorney Fees]]+Table14[[#This Row],[CVS Attorney Fees]]+Table14[[#This Row],[Walmart Attorney Fees]]))*0.15</f>
        <v>1581715.5562820663</v>
      </c>
      <c r="T15" s="9">
        <f>((Table14[[#This Row],[Teva]]-Table14[[#This Row],[Teva Attorney Fees]])*0.15)+((Table14[[#This Row],[Allergan]]-Table14[[#This Row],[Allergan Attorney Fees ]])*0.15)+((Table14[[#This Row],[Walmart]]-Table14[[#This Row],[Walmart Attorney Fees]])*0.15)</f>
        <v>0</v>
      </c>
      <c r="U15" s="9"/>
      <c r="V15" s="9">
        <f>Table14[[#This Row],[Subdivision Escrow Amount]]-W15</f>
        <v>0</v>
      </c>
      <c r="W15" s="9">
        <f>Table14[[#This Row],[Subdivision Escrow Amount]]/5.67</f>
        <v>0</v>
      </c>
      <c r="X15" s="9"/>
      <c r="Y15" s="9">
        <f t="shared" si="0"/>
        <v>0</v>
      </c>
    </row>
    <row r="16" spans="1:25" s="7" customFormat="1" ht="15.6" x14ac:dyDescent="0.3">
      <c r="A16" s="1">
        <v>15</v>
      </c>
      <c r="B16" s="2">
        <v>50754</v>
      </c>
      <c r="C16" s="8"/>
      <c r="D16" s="8"/>
      <c r="E16" s="8">
        <v>10544770.375213776</v>
      </c>
      <c r="F16" s="8"/>
      <c r="G16" s="8"/>
      <c r="H16" s="8">
        <f>SUM(Table14[[#This Row],[Teva]:[Walmart]])</f>
        <v>10544770.375213776</v>
      </c>
      <c r="I16" s="8"/>
      <c r="J16" s="8"/>
      <c r="K16" s="8"/>
      <c r="L16" s="8"/>
      <c r="M16" s="8"/>
      <c r="N16" s="8">
        <f>Table14[[#This Row],[Pre Fee Total]]-Table14[[#This Row],[Teva Attorney Fees]]-Table14[[#This Row],[Allergan Attorney Fees ]]-Table14[[#This Row],[Walgreens Attorney Fees]]-Table14[[#This Row],[CVS Attorney Fees]]-Table14[[#This Row],[Walmart Attorney Fees]]</f>
        <v>10544770.375213776</v>
      </c>
      <c r="O16" s="8">
        <f>Table14[[#This Row],[Total Less Fees]]*0.15</f>
        <v>1581715.5562820663</v>
      </c>
      <c r="P16" s="8">
        <f>Table14[[#This Row],[Total Less Fees]]*0.7</f>
        <v>7381339.2626496423</v>
      </c>
      <c r="Q16" s="8">
        <f>Table14[[#This Row],[Total Less Fees]]*0.15</f>
        <v>1581715.5562820663</v>
      </c>
      <c r="R16" s="8">
        <f>((Table14[[#This Row],[Teva]]+Table14[[#This Row],[Allergan]])-(Table14[[#This Row],[Teva Attorney Fees]]+Table14[[#This Row],[Allergan Attorney Fees ]]))*0.15</f>
        <v>0</v>
      </c>
      <c r="S16" s="8">
        <f>((Table14[[#This Row],[Walgreens]]+Table14[[#This Row],[CVS]]+Table14[[#This Row],[Walmart]])-(Table14[[#This Row],[Walgreens Attorney Fees]]+Table14[[#This Row],[CVS Attorney Fees]]+Table14[[#This Row],[Walmart Attorney Fees]]))*0.15</f>
        <v>1581715.5562820663</v>
      </c>
      <c r="T16" s="9">
        <f>((Table14[[#This Row],[Teva]]-Table14[[#This Row],[Teva Attorney Fees]])*0.15)+((Table14[[#This Row],[Allergan]]-Table14[[#This Row],[Allergan Attorney Fees ]])*0.15)+((Table14[[#This Row],[Walmart]]-Table14[[#This Row],[Walmart Attorney Fees]])*0.15)</f>
        <v>0</v>
      </c>
      <c r="U16" s="9"/>
      <c r="V16" s="9">
        <f>Table14[[#This Row],[Subdivision Escrow Amount]]-W16</f>
        <v>0</v>
      </c>
      <c r="W16" s="9">
        <f>Table14[[#This Row],[Subdivision Escrow Amount]]/5.67</f>
        <v>0</v>
      </c>
      <c r="X16" s="9"/>
      <c r="Y16" s="9">
        <f t="shared" si="0"/>
        <v>0</v>
      </c>
    </row>
    <row r="17" spans="1:25" s="7" customFormat="1" ht="15.6" x14ac:dyDescent="0.3">
      <c r="A17" s="8" t="s">
        <v>6</v>
      </c>
      <c r="B17" s="8"/>
      <c r="C17" s="8">
        <f>SUM(C2:C16)</f>
        <v>140735728.37315249</v>
      </c>
      <c r="D17" s="8">
        <f>SUM(D2:D16)</f>
        <v>86918597.633977845</v>
      </c>
      <c r="E17" s="8">
        <f>SUM(E2:E16)</f>
        <v>144552557.14522824</v>
      </c>
      <c r="F17" s="8">
        <f>SUM(F2:F16)</f>
        <v>108780150.22708434</v>
      </c>
      <c r="G17" s="8">
        <f>SUM(G2:G16)</f>
        <v>123055430.323146</v>
      </c>
      <c r="H17" s="8">
        <f>SUM(Table14[[#This Row],[Teva]:[Walmart]])</f>
        <v>604042463.70258892</v>
      </c>
      <c r="I17" s="8">
        <f>Table14[[#This Row],[Teva]]*0.0218</f>
        <v>3068038.8785347245</v>
      </c>
      <c r="J17" s="8">
        <f>Table14[[#This Row],[Allergan]]*(0.0297)</f>
        <v>2581482.3497291422</v>
      </c>
      <c r="K17" s="8">
        <f>Table14[[#This Row],[Walgreens]]*0.007</f>
        <v>1011867.9000165977</v>
      </c>
      <c r="L17" s="8">
        <f>SUM(Table14[[#This Row],[CVS]]*0.0126)</f>
        <v>1370629.8928612627</v>
      </c>
      <c r="M17" s="8">
        <f>Table14[[#This Row],[Walmart]]*0.0138</f>
        <v>1698164.9384594148</v>
      </c>
      <c r="N17" s="8">
        <f>Table14[[#This Row],[Pre Fee Total]]-Table14[[#This Row],[Teva Attorney Fees]]-Table14[[#This Row],[Allergan Attorney Fees ]]-Table14[[#This Row],[Walgreens Attorney Fees]]-Table14[[#This Row],[CVS Attorney Fees]]-Table14[[#This Row],[Walmart Attorney Fees]]</f>
        <v>594312279.74298787</v>
      </c>
      <c r="O17" s="8">
        <f>Table14[[#This Row],[Total Less Fees]]*0.15</f>
        <v>89146841.961448178</v>
      </c>
      <c r="P17" s="8">
        <f>Table14[[#This Row],[Total Less Fees]]*0.7</f>
        <v>416018595.82009149</v>
      </c>
      <c r="Q17" s="8">
        <f>Table14[[#This Row],[Total Less Fees]]*0.15</f>
        <v>89146841.961448178</v>
      </c>
      <c r="R17" s="8">
        <f>((Table14[[#This Row],[Teva]]+Table14[[#This Row],[Allergan]])-(Table14[[#This Row],[Teva Attorney Fees]]+Table14[[#This Row],[Allergan Attorney Fees ]]))*0.15</f>
        <v>33300720.71682997</v>
      </c>
      <c r="S17" s="8">
        <f>((Table14[[#This Row],[Walgreens]]+Table14[[#This Row],[CVS]]+Table14[[#This Row],[Walmart]])-(Table14[[#This Row],[Walgreens Attorney Fees]]+Table14[[#This Row],[CVS Attorney Fees]]+Table14[[#This Row],[Walmart Attorney Fees]]))*0.15</f>
        <v>55846121.2446182</v>
      </c>
      <c r="T17" s="9">
        <f>((C17-I17)*0.15)+((D17-J17)*0.15)+((G17-M17)*0.15)</f>
        <v>51504310.524532959</v>
      </c>
      <c r="U17" s="9">
        <f>6000000-(6000000*0.0138)</f>
        <v>5917200</v>
      </c>
      <c r="V17" s="9">
        <f>Table14[[#This Row],[Subdivision Escrow Amount]]-W17</f>
        <v>4873602.1164021166</v>
      </c>
      <c r="W17" s="9">
        <f>Table14[[#This Row],[Subdivision Escrow Amount]]/5.67</f>
        <v>1043597.8835978836</v>
      </c>
      <c r="X17" s="9">
        <f>(Table14[[#This Row],[Teva Attorney Fees]]*0.15)+(Table14[[#This Row],[Allergan Attorney Fees ]]*0.15)+(Table14[[#This Row],[Walmart Attorney Fees]]*0.15)+(6000000*0.0138)</f>
        <v>1184952.9250084923</v>
      </c>
      <c r="Y17" s="9">
        <f>SUM(T17,U17,X17)</f>
        <v>58606463.44954145</v>
      </c>
    </row>
    <row r="18" spans="1:25" ht="15.6" x14ac:dyDescent="0.3">
      <c r="T18" s="3"/>
      <c r="U18" s="3"/>
      <c r="V18" s="3"/>
      <c r="W18" s="3"/>
      <c r="X18" s="3"/>
      <c r="Y18" s="3"/>
    </row>
    <row r="19" spans="1:25" ht="15.6" x14ac:dyDescent="0.3">
      <c r="A19" t="s">
        <v>237</v>
      </c>
      <c r="T19" s="3"/>
      <c r="U19" s="3"/>
      <c r="V19" s="3"/>
      <c r="W19" s="3"/>
      <c r="X19" s="11"/>
      <c r="Y19" s="3"/>
    </row>
    <row r="20" spans="1:25" ht="15.6" x14ac:dyDescent="0.3">
      <c r="T20" s="3"/>
      <c r="U20" s="3"/>
      <c r="V20" s="3"/>
      <c r="W20" s="3"/>
      <c r="X20" s="11"/>
      <c r="Y20" s="3"/>
    </row>
    <row r="21" spans="1:25" ht="15.6" x14ac:dyDescent="0.3">
      <c r="J21" s="16" t="s">
        <v>318</v>
      </c>
      <c r="T21" s="3"/>
      <c r="U21" s="3"/>
      <c r="V21" s="3"/>
      <c r="W21" s="3"/>
      <c r="X21" s="11"/>
      <c r="Y21" s="3"/>
    </row>
    <row r="22" spans="1:25" ht="15.6" x14ac:dyDescent="0.3">
      <c r="D22" s="51" t="s">
        <v>309</v>
      </c>
      <c r="E22" s="52"/>
      <c r="H22" s="51"/>
      <c r="I22" s="51" t="s">
        <v>242</v>
      </c>
      <c r="J22" s="53" t="s">
        <v>3</v>
      </c>
      <c r="K22" s="53" t="s">
        <v>294</v>
      </c>
      <c r="S22" s="7"/>
      <c r="T22" s="3"/>
      <c r="U22" s="3"/>
      <c r="V22" s="3"/>
      <c r="W22" s="3"/>
      <c r="X22" s="3"/>
      <c r="Y22" s="3"/>
    </row>
    <row r="23" spans="1:25" ht="15.6" x14ac:dyDescent="0.3">
      <c r="D23" s="62">
        <f>+H2+H3</f>
        <v>218294610.14845163</v>
      </c>
      <c r="E23" t="s">
        <v>313</v>
      </c>
      <c r="H23" s="7" t="s">
        <v>242</v>
      </c>
      <c r="I23" s="18">
        <f>+D26</f>
        <v>182242156.07991952</v>
      </c>
      <c r="J23" s="18">
        <f>+D25</f>
        <v>32160380.484691679</v>
      </c>
      <c r="K23" s="18">
        <f>+D24</f>
        <v>3892073.5838404573</v>
      </c>
      <c r="T23" s="3"/>
      <c r="U23" s="3"/>
      <c r="V23" s="3"/>
      <c r="W23" s="3"/>
      <c r="X23" s="3"/>
      <c r="Y23" s="3"/>
    </row>
    <row r="24" spans="1:25" ht="15.6" x14ac:dyDescent="0.3">
      <c r="D24" s="7">
        <f>+I2+J2+K2+L2+M2+I3+J3+K3+L3+M3</f>
        <v>3892073.5838404573</v>
      </c>
      <c r="E24" t="s">
        <v>314</v>
      </c>
      <c r="F24" s="7"/>
      <c r="H24" s="7" t="s">
        <v>322</v>
      </c>
      <c r="I24" s="18">
        <f>-+U2</f>
        <v>-5917200</v>
      </c>
      <c r="J24" s="18">
        <f>-(+T2+T3)</f>
        <v>-25613698.093014345</v>
      </c>
      <c r="K24" s="18">
        <f>-(+X2+X3)</f>
        <v>-523661.17000339687</v>
      </c>
      <c r="S24" s="7"/>
      <c r="T24" s="9"/>
      <c r="U24" s="3"/>
      <c r="V24" s="3"/>
      <c r="W24" s="3"/>
      <c r="X24" s="3"/>
      <c r="Y24" s="9"/>
    </row>
    <row r="25" spans="1:25" ht="15.6" x14ac:dyDescent="0.3">
      <c r="D25" s="7">
        <f>+O2+O3</f>
        <v>32160380.484691679</v>
      </c>
      <c r="E25" t="s">
        <v>316</v>
      </c>
      <c r="H25" s="7" t="s">
        <v>317</v>
      </c>
      <c r="I25" s="18"/>
      <c r="J25" s="18">
        <f>-389223+7784.4708</f>
        <v>-381438.52919999999</v>
      </c>
      <c r="K25" s="18">
        <f>-(389223.54*0.02)</f>
        <v>-7784.4708000000001</v>
      </c>
      <c r="S25" s="7"/>
      <c r="T25" s="3"/>
      <c r="U25" s="3"/>
      <c r="V25" s="3"/>
      <c r="W25" s="3"/>
      <c r="X25" s="9"/>
      <c r="Y25" s="3"/>
    </row>
    <row r="26" spans="1:25" ht="15.6" x14ac:dyDescent="0.3">
      <c r="D26" s="7">
        <f>+P2+Q2+P3+Q3</f>
        <v>182242156.07991952</v>
      </c>
      <c r="E26" t="s">
        <v>315</v>
      </c>
      <c r="H26" s="7" t="s">
        <v>248</v>
      </c>
      <c r="I26" s="58"/>
      <c r="J26" s="58">
        <f>+D28</f>
        <v>2597616.21</v>
      </c>
      <c r="K26" s="58"/>
      <c r="T26" s="3"/>
      <c r="U26" s="9"/>
      <c r="V26" s="9"/>
      <c r="W26" s="9"/>
      <c r="X26" s="3"/>
      <c r="Y26" s="3"/>
    </row>
    <row r="27" spans="1:25" x14ac:dyDescent="0.3">
      <c r="D27" s="7">
        <v>-32443782.870000001</v>
      </c>
      <c r="E27" t="s">
        <v>306</v>
      </c>
      <c r="H27" s="7" t="s">
        <v>6</v>
      </c>
      <c r="I27" s="18">
        <v>176324956</v>
      </c>
      <c r="J27" s="18">
        <f>SUM(J23:J26)</f>
        <v>8762860.0724773351</v>
      </c>
      <c r="K27" s="18">
        <f>SUM(K23:K26)</f>
        <v>3360627.9430370606</v>
      </c>
      <c r="L27" s="34"/>
      <c r="S27" s="7"/>
    </row>
    <row r="28" spans="1:25" x14ac:dyDescent="0.3">
      <c r="D28" s="62">
        <f>+C34+E34+G34+I34+K34</f>
        <v>2597616.21</v>
      </c>
      <c r="E28" t="s">
        <v>308</v>
      </c>
      <c r="S28" s="7"/>
    </row>
    <row r="29" spans="1:25" x14ac:dyDescent="0.3">
      <c r="D29" s="34">
        <f>+C33+E33+G33+I33+K33</f>
        <v>188448443.47999999</v>
      </c>
      <c r="E29" s="16" t="s">
        <v>305</v>
      </c>
      <c r="L29" s="7"/>
      <c r="R29" s="7"/>
      <c r="S29" s="7"/>
    </row>
    <row r="30" spans="1:25" x14ac:dyDescent="0.3">
      <c r="D30" s="7"/>
      <c r="L30" s="7"/>
      <c r="M30" s="7"/>
      <c r="R30" s="7"/>
      <c r="S30" s="7"/>
    </row>
    <row r="31" spans="1:25" x14ac:dyDescent="0.3">
      <c r="S31" s="7"/>
    </row>
    <row r="32" spans="1:25" x14ac:dyDescent="0.3">
      <c r="B32" s="16" t="s">
        <v>243</v>
      </c>
      <c r="D32" s="51" t="s">
        <v>244</v>
      </c>
      <c r="E32" s="52"/>
      <c r="F32" s="51" t="s">
        <v>245</v>
      </c>
      <c r="G32" s="52"/>
      <c r="H32" s="51" t="s">
        <v>324</v>
      </c>
      <c r="I32" s="52"/>
      <c r="J32" s="51" t="s">
        <v>246</v>
      </c>
      <c r="K32" s="52"/>
      <c r="S32" s="7"/>
    </row>
    <row r="33" spans="2:11" x14ac:dyDescent="0.3">
      <c r="B33" t="s">
        <v>247</v>
      </c>
      <c r="C33" s="43">
        <v>23091822.780000001</v>
      </c>
      <c r="D33" t="s">
        <v>247</v>
      </c>
      <c r="E33" s="18">
        <v>24239917.93</v>
      </c>
      <c r="F33" t="s">
        <v>247</v>
      </c>
      <c r="G33" s="18">
        <v>95849141.459999993</v>
      </c>
      <c r="H33" t="s">
        <v>247</v>
      </c>
      <c r="I33" s="18">
        <v>20095843.879999999</v>
      </c>
      <c r="J33" t="s">
        <v>247</v>
      </c>
      <c r="K33" s="18">
        <v>25171717.43</v>
      </c>
    </row>
    <row r="34" spans="2:11" x14ac:dyDescent="0.3">
      <c r="B34" t="s">
        <v>248</v>
      </c>
      <c r="C34" s="43">
        <v>503151.64</v>
      </c>
      <c r="D34" t="s">
        <v>248</v>
      </c>
      <c r="E34" s="18">
        <v>480763.05</v>
      </c>
      <c r="F34" t="s">
        <v>249</v>
      </c>
      <c r="G34" s="18">
        <v>943688.6</v>
      </c>
      <c r="H34" t="s">
        <v>249</v>
      </c>
      <c r="I34" s="18">
        <v>439494.62</v>
      </c>
      <c r="J34" t="s">
        <v>248</v>
      </c>
      <c r="K34" s="18">
        <v>230518.3</v>
      </c>
    </row>
    <row r="35" spans="2:11" x14ac:dyDescent="0.3">
      <c r="B35" t="s">
        <v>250</v>
      </c>
      <c r="C35" s="44">
        <v>3791055.12</v>
      </c>
      <c r="D35" t="s">
        <v>251</v>
      </c>
      <c r="E35" s="45">
        <v>4194413.2</v>
      </c>
      <c r="F35" t="s">
        <v>252</v>
      </c>
      <c r="G35" s="45">
        <v>24458314.550000001</v>
      </c>
      <c r="H35" t="s">
        <v>253</v>
      </c>
      <c r="I35" s="45">
        <v>1676164.46</v>
      </c>
      <c r="J35" t="s">
        <v>252</v>
      </c>
      <c r="K35" s="46">
        <v>0</v>
      </c>
    </row>
    <row r="36" spans="2:11" x14ac:dyDescent="0.3">
      <c r="B36" t="s">
        <v>254</v>
      </c>
      <c r="C36" s="47">
        <f>C33-C34+C35</f>
        <v>26379726.260000002</v>
      </c>
      <c r="D36" t="s">
        <v>255</v>
      </c>
      <c r="E36" s="48">
        <f>E33-E34+E35</f>
        <v>27953568.079999998</v>
      </c>
      <c r="F36" t="s">
        <v>255</v>
      </c>
      <c r="G36" s="48">
        <f>G33-G34+G35</f>
        <v>119363767.41</v>
      </c>
      <c r="H36" t="s">
        <v>256</v>
      </c>
      <c r="I36" s="49">
        <f>I33-I34</f>
        <v>19656349.259999998</v>
      </c>
      <c r="J36" t="s">
        <v>256</v>
      </c>
      <c r="K36" s="7">
        <f>K33-K34</f>
        <v>24941199.129999999</v>
      </c>
    </row>
    <row r="37" spans="2:11" x14ac:dyDescent="0.3">
      <c r="H37" s="7"/>
    </row>
    <row r="39" spans="2:11" x14ac:dyDescent="0.3">
      <c r="C39" s="50" t="s">
        <v>310</v>
      </c>
      <c r="D39" s="7">
        <f>C35+E35+G35</f>
        <v>32443782.870000001</v>
      </c>
    </row>
    <row r="40" spans="2:11" x14ac:dyDescent="0.3">
      <c r="C40" s="50"/>
      <c r="D40" s="62">
        <f>- (+Y2+Y3)</f>
        <v>-32054559.263017744</v>
      </c>
    </row>
    <row r="41" spans="2:11" x14ac:dyDescent="0.3">
      <c r="C41" t="s">
        <v>319</v>
      </c>
      <c r="D41" s="7">
        <f>+D39+D40</f>
        <v>389223.60698225722</v>
      </c>
    </row>
    <row r="43" spans="2:11" x14ac:dyDescent="0.3">
      <c r="C43" t="s">
        <v>325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5" sqref="B25"/>
    </sheetView>
  </sheetViews>
  <sheetFormatPr defaultRowHeight="14.4" x14ac:dyDescent="0.3"/>
  <cols>
    <col min="1" max="1" width="14.33203125" customWidth="1"/>
    <col min="2" max="2" width="20.6640625" customWidth="1"/>
    <col min="3" max="8" width="23.44140625" customWidth="1"/>
    <col min="9" max="9" width="25.6640625" customWidth="1"/>
    <col min="10" max="10" width="35" customWidth="1"/>
    <col min="11" max="11" width="22.5546875" customWidth="1"/>
  </cols>
  <sheetData>
    <row r="1" spans="1:11" ht="15.6" x14ac:dyDescent="0.3">
      <c r="A1" s="1" t="s">
        <v>0</v>
      </c>
      <c r="B1" s="1" t="s">
        <v>1</v>
      </c>
      <c r="C1" s="1" t="s">
        <v>4</v>
      </c>
      <c r="D1" s="1" t="s">
        <v>106</v>
      </c>
      <c r="E1" s="1" t="s">
        <v>107</v>
      </c>
      <c r="F1" s="1" t="s">
        <v>108</v>
      </c>
      <c r="G1" s="1" t="s">
        <v>109</v>
      </c>
      <c r="H1" s="1" t="s">
        <v>110</v>
      </c>
      <c r="I1" s="3" t="s">
        <v>111</v>
      </c>
      <c r="J1" s="3" t="s">
        <v>112</v>
      </c>
      <c r="K1" t="s">
        <v>113</v>
      </c>
    </row>
    <row r="2" spans="1:11" ht="15.6" x14ac:dyDescent="0.3">
      <c r="A2" s="3">
        <v>1</v>
      </c>
      <c r="B2" s="3">
        <v>2024</v>
      </c>
      <c r="C2" s="4">
        <f>Table14[[#This Row],[Total Less Fees]]*0.7</f>
        <v>116580463.29918766</v>
      </c>
      <c r="D2" s="4">
        <f>(Table14[[#This Row],[Teva]]-Table14[[#This Row],[Teva Attorney Fees]])*0.7</f>
        <v>8803378.7480051387</v>
      </c>
      <c r="E2" s="4">
        <f>(Table14[[#This Row],[Allergan]]-Table14[[#This Row],[Allergan Attorney Fees ]])*0.7</f>
        <v>9422341.2990379184</v>
      </c>
      <c r="F2" s="4">
        <f>(Table14[[#This Row],[Walgreens]]-Table14[[#This Row],[Walgreens Attorney Fees]])*0.7</f>
        <v>8587758.1894976757</v>
      </c>
      <c r="G2" s="4">
        <f>(Table14[[#This Row],[CVS]]-Table14[[#This Row],[CVS Attorney Fees]])*0.7</f>
        <v>6687834.0559994215</v>
      </c>
      <c r="H2" s="4">
        <f>(Table14[[#This Row],[Walmart]]-Table14[[#This Row],[Walmart Attorney Fees]])*0.7</f>
        <v>83079151.006647497</v>
      </c>
      <c r="I2" s="9">
        <f>Table14[[#This Row],[County Escrow]]</f>
        <v>4873602.1164021166</v>
      </c>
      <c r="J2" s="9">
        <f>(SUM(D2,E2,H2))-Table145[[#This Row],[Walmart Escrow Amount]]</f>
        <v>96431268.937288433</v>
      </c>
      <c r="K2" s="8">
        <f>SUM(Table145[[#This Row],[Walgreens County Amount]:[CVS County Amount]])</f>
        <v>15275592.245497096</v>
      </c>
    </row>
    <row r="3" spans="1:11" ht="15.6" x14ac:dyDescent="0.3">
      <c r="A3" s="1">
        <v>2</v>
      </c>
      <c r="B3" s="2">
        <v>46006</v>
      </c>
      <c r="C3" s="4">
        <f>Table14[[#This Row],[Total Less Fees]]*0.7</f>
        <v>33501312.296040162</v>
      </c>
      <c r="D3" s="4">
        <f>(Table14[[#This Row],[Teva]]-Table14[[#This Row],[Teva Attorney Fees]])*0.7</f>
        <v>8803378.7480051387</v>
      </c>
      <c r="E3" s="4">
        <f>(Table14[[#This Row],[Allergan]]-Table14[[#This Row],[Allergan Attorney Fees ]])*0.7</f>
        <v>9422341.2990379184</v>
      </c>
      <c r="F3" s="4">
        <f>(Table14[[#This Row],[Walgreens]]-Table14[[#This Row],[Walgreens Attorney Fees]])*0.7</f>
        <v>8587758.1929976754</v>
      </c>
      <c r="G3" s="4">
        <f>(Table14[[#This Row],[CVS]]-Table14[[#This Row],[CVS Attorney Fees]])*0.7</f>
        <v>6687834.0559994234</v>
      </c>
      <c r="H3" s="6">
        <f>(Table14[[#This Row],[Walmart]]-Table14[[#This Row],[Walmart Attorney Fees]])*0.7</f>
        <v>0</v>
      </c>
      <c r="I3" s="8">
        <v>0</v>
      </c>
      <c r="J3" s="8">
        <f>(SUM(D3,E3,H3))-Table145[[#This Row],[Walmart Escrow Amount]]</f>
        <v>18225720.047043055</v>
      </c>
      <c r="K3" s="8">
        <f>SUM(Table145[[#This Row],[Walgreens County Amount]:[CVS County Amount]])</f>
        <v>15275592.2489971</v>
      </c>
    </row>
    <row r="4" spans="1:11" ht="15.6" x14ac:dyDescent="0.3">
      <c r="A4" s="1">
        <v>3</v>
      </c>
      <c r="B4" s="2">
        <v>46371</v>
      </c>
      <c r="C4" s="8">
        <f>Table14[[#This Row],[Total Less Fees]]*0.7</f>
        <v>26476580.972763158</v>
      </c>
      <c r="D4" s="8">
        <f>(Table14[[#This Row],[Teva]]-Table14[[#This Row],[Teva Attorney Fees]])*0.7</f>
        <v>6847674.6914784797</v>
      </c>
      <c r="E4" s="8">
        <f>(Table14[[#This Row],[Allergan]]-Table14[[#This Row],[Allergan Attorney Fees ]])*0.7</f>
        <v>7893696.6083378782</v>
      </c>
      <c r="F4" s="8">
        <f>(Table14[[#This Row],[Walgreens]]-Table14[[#This Row],[Walgreens Attorney Fees]])*0.7</f>
        <v>4224781.9087452237</v>
      </c>
      <c r="G4" s="8">
        <f>(Table14[[#This Row],[CVS]]-Table14[[#This Row],[CVS Attorney Fees]])*0.7</f>
        <v>7102129.8463893803</v>
      </c>
      <c r="H4" s="8">
        <f>(Table14[[#This Row],[Walmart]]-Table14[[#This Row],[Walmart Attorney Fees]])*0.7</f>
        <v>408297.91781219834</v>
      </c>
      <c r="I4" s="9">
        <v>0</v>
      </c>
      <c r="J4" s="9">
        <f>(SUM(D4,E4,H4))-Table145[[#This Row],[Walmart Escrow Amount]]</f>
        <v>15149669.217628557</v>
      </c>
      <c r="K4" s="8">
        <f>SUM(Table145[[#This Row],[Walgreens County Amount]:[CVS County Amount]])</f>
        <v>11326911.755134605</v>
      </c>
    </row>
    <row r="5" spans="1:11" ht="15.6" x14ac:dyDescent="0.3">
      <c r="A5" s="1">
        <v>4</v>
      </c>
      <c r="B5" s="2">
        <v>46736</v>
      </c>
      <c r="C5" s="8">
        <f>Table14[[#This Row],[Total Less Fees]]*0.7</f>
        <v>26476580.973084334</v>
      </c>
      <c r="D5" s="8">
        <f>(Table14[[#This Row],[Teva]]-Table14[[#This Row],[Teva Attorney Fees]])*0.7</f>
        <v>6847674.6914784797</v>
      </c>
      <c r="E5" s="8">
        <f>(Table14[[#This Row],[Allergan]]-Table14[[#This Row],[Allergan Attorney Fees ]])*0.7</f>
        <v>7893696.608659056</v>
      </c>
      <c r="F5" s="8">
        <f>(Table14[[#This Row],[Walgreens]]-Table14[[#This Row],[Walgreens Attorney Fees]])*0.7</f>
        <v>4224781.9087452237</v>
      </c>
      <c r="G5" s="8">
        <f>(Table14[[#This Row],[CVS]]-Table14[[#This Row],[CVS Attorney Fees]])*0.7</f>
        <v>7102129.8463893803</v>
      </c>
      <c r="H5" s="8">
        <f>(Table14[[#This Row],[Walmart]]-Table14[[#This Row],[Walmart Attorney Fees]])*0.7</f>
        <v>408297.91781219834</v>
      </c>
      <c r="I5" s="9">
        <v>0</v>
      </c>
      <c r="J5" s="9">
        <f>(SUM(D5,E5,H5))-Table145[[#This Row],[Walmart Escrow Amount]]</f>
        <v>15149669.217949733</v>
      </c>
      <c r="K5" s="8">
        <f>SUM(Table145[[#This Row],[Walgreens County Amount]:[CVS County Amount]])</f>
        <v>11326911.755134605</v>
      </c>
    </row>
    <row r="6" spans="1:11" ht="15.6" x14ac:dyDescent="0.3">
      <c r="A6" s="1">
        <v>5</v>
      </c>
      <c r="B6" s="2">
        <v>47102</v>
      </c>
      <c r="C6" s="8">
        <f>Table14[[#This Row],[Total Less Fees]]*0.7</f>
        <v>26476580.973084334</v>
      </c>
      <c r="D6" s="8">
        <f>(Table14[[#This Row],[Teva]]-Table14[[#This Row],[Teva Attorney Fees]])*0.7</f>
        <v>6847674.6914784797</v>
      </c>
      <c r="E6" s="8">
        <f>(Table14[[#This Row],[Allergan]]-Table14[[#This Row],[Allergan Attorney Fees ]])*0.7</f>
        <v>7893696.608659056</v>
      </c>
      <c r="F6" s="8">
        <f>(Table14[[#This Row],[Walgreens]]-Table14[[#This Row],[Walgreens Attorney Fees]])*0.7</f>
        <v>4224781.9087452237</v>
      </c>
      <c r="G6" s="8">
        <f>(Table14[[#This Row],[CVS]]-Table14[[#This Row],[CVS Attorney Fees]])*0.7</f>
        <v>7102129.8463893803</v>
      </c>
      <c r="H6" s="8">
        <f>(Table14[[#This Row],[Walmart]]-Table14[[#This Row],[Walmart Attorney Fees]])*0.7</f>
        <v>408297.91781219834</v>
      </c>
      <c r="I6" s="9">
        <v>0</v>
      </c>
      <c r="J6" s="9">
        <f>(SUM(D6,E6,H6))-Table145[[#This Row],[Walmart Escrow Amount]]</f>
        <v>15149669.217949733</v>
      </c>
      <c r="K6" s="8">
        <f>SUM(Table145[[#This Row],[Walgreens County Amount]:[CVS County Amount]])</f>
        <v>11326911.755134605</v>
      </c>
    </row>
    <row r="7" spans="1:11" ht="15.6" x14ac:dyDescent="0.3">
      <c r="A7" s="1">
        <v>6</v>
      </c>
      <c r="B7" s="2">
        <v>47467</v>
      </c>
      <c r="C7" s="8">
        <f>Table14[[#This Row],[Total Less Fees]]*0.7</f>
        <v>30580709.495199468</v>
      </c>
      <c r="D7" s="8">
        <f>(Table14[[#This Row],[Teva]]-Table14[[#This Row],[Teva Attorney Fees]])*0.7</f>
        <v>7277200.1344733415</v>
      </c>
      <c r="E7" s="8">
        <f>(Table14[[#This Row],[Allergan]]-Table14[[#This Row],[Allergan Attorney Fees ]])*0.7</f>
        <v>8255104.1376211345</v>
      </c>
      <c r="F7" s="8">
        <f>(Table14[[#This Row],[Walgreens]]-Table14[[#This Row],[Walgreens Attorney Fees]])*0.7</f>
        <v>5788953.1308599971</v>
      </c>
      <c r="G7" s="8">
        <f>(Table14[[#This Row],[CVS]]-Table14[[#This Row],[CVS Attorney Fees]])*0.7</f>
        <v>8613411.0830484796</v>
      </c>
      <c r="H7" s="8">
        <f>(Table14[[#This Row],[Walmart]]-Table14[[#This Row],[Walmart Attorney Fees]])*0.7</f>
        <v>646041.00919651636</v>
      </c>
      <c r="I7" s="9">
        <v>0</v>
      </c>
      <c r="J7" s="9">
        <f>(SUM(D7,E7,H7))-Table145[[#This Row],[Walmart Escrow Amount]]</f>
        <v>16178345.281290993</v>
      </c>
      <c r="K7" s="8">
        <f>SUM(Table145[[#This Row],[Walgreens County Amount]:[CVS County Amount]])</f>
        <v>14402364.213908477</v>
      </c>
    </row>
    <row r="8" spans="1:11" ht="15.6" x14ac:dyDescent="0.3">
      <c r="A8" s="1">
        <v>7</v>
      </c>
      <c r="B8" s="2">
        <v>47832</v>
      </c>
      <c r="C8" s="8">
        <f>Table14[[#This Row],[Total Less Fees]]*0.7</f>
        <v>29570256.774719644</v>
      </c>
      <c r="D8" s="8">
        <f>(Table14[[#This Row],[Teva]]-Table14[[#This Row],[Teva Attorney Fees]])*0.7</f>
        <v>7277200.1344733397</v>
      </c>
      <c r="E8" s="8">
        <f>(Table14[[#This Row],[Allergan]]-Table14[[#This Row],[Allergan Attorney Fees ]])*0.7</f>
        <v>8255104.1376211345</v>
      </c>
      <c r="F8" s="8">
        <f>(Table14[[#This Row],[Walgreens]]-Table14[[#This Row],[Walgreens Attorney Fees]])*0.7</f>
        <v>5788953.1308599971</v>
      </c>
      <c r="G8" s="8">
        <f>(Table14[[#This Row],[CVS]]-Table14[[#This Row],[CVS Attorney Fees]])*0.7</f>
        <v>8248999.3717651721</v>
      </c>
      <c r="H8" s="8">
        <f>(Table14[[#This Row],[Walmart]]-Table14[[#This Row],[Walmart Attorney Fees]])*0.7</f>
        <v>0</v>
      </c>
      <c r="I8" s="9">
        <v>0</v>
      </c>
      <c r="J8" s="9">
        <f>(SUM(D8,E8,H8))-Table145[[#This Row],[Walmart Escrow Amount]]</f>
        <v>15532304.272094473</v>
      </c>
      <c r="K8" s="8">
        <f>SUM(Table145[[#This Row],[Walgreens County Amount]:[CVS County Amount]])</f>
        <v>14037952.502625169</v>
      </c>
    </row>
    <row r="9" spans="1:11" ht="15.6" x14ac:dyDescent="0.3">
      <c r="A9" s="1">
        <v>8</v>
      </c>
      <c r="B9" s="2">
        <v>48197</v>
      </c>
      <c r="C9" s="8">
        <f>Table14[[#This Row],[Total Less Fees]]*0.7</f>
        <v>22543127.057604849</v>
      </c>
      <c r="D9" s="8">
        <f>(Table14[[#This Row],[Teva]]-Table14[[#This Row],[Teva Attorney Fees]])*0.7</f>
        <v>7277200.1344733397</v>
      </c>
      <c r="E9" s="8">
        <f>(Table14[[#This Row],[Allergan]]-Table14[[#This Row],[Allergan Attorney Fees ]])*0.7</f>
        <v>0</v>
      </c>
      <c r="F9" s="8">
        <f>(Table14[[#This Row],[Walgreens]]-Table14[[#This Row],[Walgreens Attorney Fees]])*0.7</f>
        <v>7381339.2626496423</v>
      </c>
      <c r="G9" s="8">
        <f>(Table14[[#This Row],[CVS]]-Table14[[#This Row],[CVS Attorney Fees]])*0.7</f>
        <v>7884587.6604818655</v>
      </c>
      <c r="H9" s="8">
        <f>(Table14[[#This Row],[Walmart]]-Table14[[#This Row],[Walmart Attorney Fees]])*0.7</f>
        <v>0</v>
      </c>
      <c r="I9" s="9">
        <v>0</v>
      </c>
      <c r="J9" s="9">
        <f>(SUM(D9,E9,H9))-Table145[[#This Row],[Walmart Escrow Amount]]</f>
        <v>7277200.1344733397</v>
      </c>
      <c r="K9" s="8">
        <f>SUM(Table145[[#This Row],[Walgreens County Amount]:[CVS County Amount]])</f>
        <v>15265926.923131507</v>
      </c>
    </row>
    <row r="10" spans="1:11" ht="15.6" x14ac:dyDescent="0.3">
      <c r="A10" s="1">
        <v>9</v>
      </c>
      <c r="B10" s="2">
        <v>48563</v>
      </c>
      <c r="C10" s="8">
        <f>Table14[[#This Row],[Total Less Fees]]*0.7</f>
        <v>22537343.624446265</v>
      </c>
      <c r="D10" s="8">
        <f>(Table14[[#This Row],[Teva]]-Table14[[#This Row],[Teva Attorney Fees]])*0.7</f>
        <v>7277200.1344733397</v>
      </c>
      <c r="E10" s="8">
        <f>(Table14[[#This Row],[Allergan]]-Table14[[#This Row],[Allergan Attorney Fees ]])*0.7</f>
        <v>0</v>
      </c>
      <c r="F10" s="8">
        <f>(Table14[[#This Row],[Walgreens]]-Table14[[#This Row],[Walgreens Attorney Fees]])*0.7</f>
        <v>7381339.2626496423</v>
      </c>
      <c r="G10" s="8">
        <f>(Table14[[#This Row],[CVS]]-Table14[[#This Row],[CVS Attorney Fees]])*0.7</f>
        <v>7878804.2273232834</v>
      </c>
      <c r="H10" s="8">
        <f>(Table14[[#This Row],[Walmart]]-Table14[[#This Row],[Walmart Attorney Fees]])*0.7</f>
        <v>0</v>
      </c>
      <c r="I10" s="9">
        <v>0</v>
      </c>
      <c r="J10" s="9">
        <f>(SUM(D10,E10,H10))-Table145[[#This Row],[Walmart Escrow Amount]]</f>
        <v>7277200.1344733397</v>
      </c>
      <c r="K10" s="8">
        <f>SUM(Table145[[#This Row],[Walgreens County Amount]:[CVS County Amount]])</f>
        <v>15260143.489972927</v>
      </c>
    </row>
    <row r="11" spans="1:11" ht="15.6" x14ac:dyDescent="0.3">
      <c r="A11" s="1">
        <v>10</v>
      </c>
      <c r="B11" s="2">
        <v>48928</v>
      </c>
      <c r="C11" s="8">
        <f>Table14[[#This Row],[Total Less Fees]]*0.7</f>
        <v>22537343.637293346</v>
      </c>
      <c r="D11" s="8">
        <f>(Table14[[#This Row],[Teva]]-Table14[[#This Row],[Teva Attorney Fees]])*0.7</f>
        <v>7277200.1344733397</v>
      </c>
      <c r="E11" s="8">
        <f>(Table14[[#This Row],[Allergan]]-Table14[[#This Row],[Allergan Attorney Fees ]])*0.7</f>
        <v>0</v>
      </c>
      <c r="F11" s="8">
        <f>(Table14[[#This Row],[Walgreens]]-Table14[[#This Row],[Walgreens Attorney Fees]])*0.7</f>
        <v>7381339.2626496423</v>
      </c>
      <c r="G11" s="8">
        <f>(Table14[[#This Row],[CVS]]-Table14[[#This Row],[CVS Attorney Fees]])*0.7</f>
        <v>7878804.2401703633</v>
      </c>
      <c r="H11" s="8">
        <f>(Table14[[#This Row],[Walmart]]-Table14[[#This Row],[Walmart Attorney Fees]])*0.7</f>
        <v>0</v>
      </c>
      <c r="I11" s="9">
        <v>0</v>
      </c>
      <c r="J11" s="9">
        <f>(SUM(D11,E11,H11))-Table145[[#This Row],[Walmart Escrow Amount]]</f>
        <v>7277200.1344733397</v>
      </c>
      <c r="K11" s="8">
        <f>SUM(Table145[[#This Row],[Walgreens County Amount]:[CVS County Amount]])</f>
        <v>15260143.502820006</v>
      </c>
    </row>
    <row r="12" spans="1:11" ht="15.6" x14ac:dyDescent="0.3">
      <c r="A12" s="1">
        <v>11</v>
      </c>
      <c r="B12" s="2">
        <v>49293</v>
      </c>
      <c r="C12" s="8">
        <f>Table14[[#This Row],[Total Less Fees]]*0.7</f>
        <v>14658539.397122985</v>
      </c>
      <c r="D12" s="8">
        <f>(Table14[[#This Row],[Teva]]-Table14[[#This Row],[Teva Attorney Fees]])*0.7</f>
        <v>7277200.1344733415</v>
      </c>
      <c r="E12" s="8">
        <f>(Table14[[#This Row],[Allergan]]-Table14[[#This Row],[Allergan Attorney Fees ]])*0.7</f>
        <v>0</v>
      </c>
      <c r="F12" s="8">
        <f>(Table14[[#This Row],[Walgreens]]-Table14[[#This Row],[Walgreens Attorney Fees]])*0.7</f>
        <v>7381339.2626496423</v>
      </c>
      <c r="G12" s="8">
        <f>(Table14[[#This Row],[CVS]]-Table14[[#This Row],[CVS Attorney Fees]])*0.7</f>
        <v>0</v>
      </c>
      <c r="H12" s="8">
        <f>(Table14[[#This Row],[Walmart]]-Table14[[#This Row],[Walmart Attorney Fees]])*0.7</f>
        <v>0</v>
      </c>
      <c r="I12" s="9">
        <v>0</v>
      </c>
      <c r="J12" s="9">
        <f>(SUM(D12,E12,H12))-Table145[[#This Row],[Walmart Escrow Amount]]</f>
        <v>7277200.1344733415</v>
      </c>
      <c r="K12" s="8">
        <f>SUM(Table145[[#This Row],[Walgreens County Amount]:[CVS County Amount]])</f>
        <v>7381339.2626496423</v>
      </c>
    </row>
    <row r="13" spans="1:11" ht="15.6" x14ac:dyDescent="0.3">
      <c r="A13" s="1">
        <v>12</v>
      </c>
      <c r="B13" s="2">
        <v>49658</v>
      </c>
      <c r="C13" s="8">
        <f>Table14[[#This Row],[Total Less Fees]]*0.7</f>
        <v>14658539.397122985</v>
      </c>
      <c r="D13" s="8">
        <f>(Table14[[#This Row],[Teva]]-Table14[[#This Row],[Teva Attorney Fees]])*0.7</f>
        <v>7277200.1344733415</v>
      </c>
      <c r="E13" s="8">
        <f>(Table14[[#This Row],[Allergan]]-Table14[[#This Row],[Allergan Attorney Fees ]])*0.7</f>
        <v>0</v>
      </c>
      <c r="F13" s="8">
        <f>(Table14[[#This Row],[Walgreens]]-Table14[[#This Row],[Walgreens Attorney Fees]])*0.7</f>
        <v>7381339.2626496423</v>
      </c>
      <c r="G13" s="8">
        <f>(Table14[[#This Row],[CVS]]-Table14[[#This Row],[CVS Attorney Fees]])*0.7</f>
        <v>0</v>
      </c>
      <c r="H13" s="8">
        <f>(Table14[[#This Row],[Walmart]]-Table14[[#This Row],[Walmart Attorney Fees]])*0.7</f>
        <v>0</v>
      </c>
      <c r="I13" s="9">
        <v>0</v>
      </c>
      <c r="J13" s="9">
        <f>(SUM(D13,E13,H13))-Table145[[#This Row],[Walmart Escrow Amount]]</f>
        <v>7277200.1344733415</v>
      </c>
      <c r="K13" s="8">
        <f>SUM(Table145[[#This Row],[Walgreens County Amount]:[CVS County Amount]])</f>
        <v>7381339.2626496423</v>
      </c>
    </row>
    <row r="14" spans="1:11" ht="15.6" x14ac:dyDescent="0.3">
      <c r="A14" s="1">
        <v>13</v>
      </c>
      <c r="B14" s="2">
        <v>50024</v>
      </c>
      <c r="C14" s="8">
        <f>Table14[[#This Row],[Total Less Fees]]*0.7</f>
        <v>14658539.397122985</v>
      </c>
      <c r="D14" s="8">
        <f>(Table14[[#This Row],[Teva]]-Table14[[#This Row],[Teva Attorney Fees]])*0.7</f>
        <v>7277200.1344733415</v>
      </c>
      <c r="E14" s="8">
        <f>(Table14[[#This Row],[Allergan]]-Table14[[#This Row],[Allergan Attorney Fees ]])*0.7</f>
        <v>0</v>
      </c>
      <c r="F14" s="8">
        <f>(Table14[[#This Row],[Walgreens]]-Table14[[#This Row],[Walgreens Attorney Fees]])*0.7</f>
        <v>7381339.2626496423</v>
      </c>
      <c r="G14" s="8">
        <f>(Table14[[#This Row],[CVS]]-Table14[[#This Row],[CVS Attorney Fees]])*0.7</f>
        <v>0</v>
      </c>
      <c r="H14" s="8">
        <f>(Table14[[#This Row],[Walmart]]-Table14[[#This Row],[Walmart Attorney Fees]])*0.7</f>
        <v>0</v>
      </c>
      <c r="I14" s="9">
        <v>0</v>
      </c>
      <c r="J14" s="9">
        <f>(SUM(D14,E14,H14))-Table145[[#This Row],[Walmart Escrow Amount]]</f>
        <v>7277200.1344733415</v>
      </c>
      <c r="K14" s="8">
        <f>SUM(Table145[[#This Row],[Walgreens County Amount]:[CVS County Amount]])</f>
        <v>7381339.2626496423</v>
      </c>
    </row>
    <row r="15" spans="1:11" ht="15.6" x14ac:dyDescent="0.3">
      <c r="A15" s="1">
        <v>14</v>
      </c>
      <c r="B15" s="2">
        <v>50389</v>
      </c>
      <c r="C15" s="8">
        <f>Table14[[#This Row],[Total Less Fees]]*0.7</f>
        <v>7381339.2626496423</v>
      </c>
      <c r="D15" s="8">
        <f>(Table14[[#This Row],[Teva]]-Table14[[#This Row],[Teva Attorney Fees]])*0.7</f>
        <v>0</v>
      </c>
      <c r="E15" s="8">
        <f>(Table14[[#This Row],[Allergan]]-Table14[[#This Row],[Allergan Attorney Fees ]])*0.7</f>
        <v>0</v>
      </c>
      <c r="F15" s="8">
        <f>(Table14[[#This Row],[Walgreens]]-Table14[[#This Row],[Walgreens Attorney Fees]])*0.7</f>
        <v>7381339.2626496423</v>
      </c>
      <c r="G15" s="8">
        <f>(Table14[[#This Row],[CVS]]-Table14[[#This Row],[CVS Attorney Fees]])*0.7</f>
        <v>0</v>
      </c>
      <c r="H15" s="8">
        <f>(Table14[[#This Row],[Walmart]]-Table14[[#This Row],[Walmart Attorney Fees]])*0.7</f>
        <v>0</v>
      </c>
      <c r="I15" s="9">
        <v>0</v>
      </c>
      <c r="J15" s="9">
        <f>(SUM(D15,E15,H15))-Table145[[#This Row],[Walmart Escrow Amount]]</f>
        <v>0</v>
      </c>
      <c r="K15" s="8">
        <f>SUM(Table145[[#This Row],[Walgreens County Amount]:[CVS County Amount]])</f>
        <v>7381339.2626496423</v>
      </c>
    </row>
    <row r="16" spans="1:11" ht="15.6" x14ac:dyDescent="0.3">
      <c r="A16" s="1">
        <v>15</v>
      </c>
      <c r="B16" s="2">
        <v>50754</v>
      </c>
      <c r="C16" s="8">
        <f>Table14[[#This Row],[Total Less Fees]]*0.7</f>
        <v>7381339.2626496423</v>
      </c>
      <c r="D16" s="8">
        <f>(Table14[[#This Row],[Teva]]-Table14[[#This Row],[Teva Attorney Fees]])*0.7</f>
        <v>0</v>
      </c>
      <c r="E16" s="8">
        <f>(Table14[[#This Row],[Allergan]]-Table14[[#This Row],[Allergan Attorney Fees ]])*0.7</f>
        <v>0</v>
      </c>
      <c r="F16" s="8">
        <f>(Table14[[#This Row],[Walgreens]]-Table14[[#This Row],[Walgreens Attorney Fees]])*0.7</f>
        <v>7381339.2626496423</v>
      </c>
      <c r="G16" s="8">
        <f>(Table14[[#This Row],[CVS]]-Table14[[#This Row],[CVS Attorney Fees]])*0.7</f>
        <v>0</v>
      </c>
      <c r="H16" s="8">
        <f>(Table14[[#This Row],[Walmart]]-Table14[[#This Row],[Walmart Attorney Fees]])*0.7</f>
        <v>0</v>
      </c>
      <c r="I16" s="9">
        <v>0</v>
      </c>
      <c r="J16" s="9">
        <f>(SUM(D16,E16,H16))-Table145[[#This Row],[Walmart Escrow Amount]]</f>
        <v>0</v>
      </c>
      <c r="K16" s="8">
        <f>SUM(Table145[[#This Row],[Walgreens County Amount]:[CVS County Amount]])</f>
        <v>7381339.2626496423</v>
      </c>
    </row>
    <row r="17" spans="1:11" ht="15.6" x14ac:dyDescent="0.3">
      <c r="A17" s="8" t="s">
        <v>6</v>
      </c>
      <c r="B17" s="8"/>
      <c r="C17" s="8">
        <f>Table14[[#This Row],[Total Less Fees]]*0.7</f>
        <v>416018595.82009149</v>
      </c>
      <c r="D17" s="8">
        <f>(Table14[[#This Row],[Teva]]-Table14[[#This Row],[Teva Attorney Fees]])*0.7</f>
        <v>96367382.646232426</v>
      </c>
      <c r="E17" s="8">
        <f>(Table14[[#This Row],[Allergan]]-Table14[[#This Row],[Allergan Attorney Fees ]])*0.7</f>
        <v>59035980.698974095</v>
      </c>
      <c r="F17" s="8">
        <f>(Table14[[#This Row],[Walgreens]]-Table14[[#This Row],[Walgreens Attorney Fees]])*0.7</f>
        <v>100478482.47164814</v>
      </c>
      <c r="G17" s="8">
        <f>(Table14[[#This Row],[CVS]]-Table14[[#This Row],[CVS Attorney Fees]])*0.7</f>
        <v>75186664.233956143</v>
      </c>
      <c r="H17" s="8">
        <f>(Table14[[#This Row],[Walmart]]-Table14[[#This Row],[Walmart Attorney Fees]])*0.7</f>
        <v>84950085.769280612</v>
      </c>
      <c r="I17" s="9">
        <f>SUM(I2:I16)</f>
        <v>4873602.1164021166</v>
      </c>
      <c r="J17" s="9">
        <f>(SUM(D17,E17,H17))-Table145[[#This Row],[Walmart Escrow Amount]]</f>
        <v>235479846.99808502</v>
      </c>
      <c r="K17" s="8">
        <f>SUM(Table145[[#This Row],[Walgreens County Amount]:[CVS County Amount]])</f>
        <v>175665146.70560429</v>
      </c>
    </row>
    <row r="19" spans="1:11" x14ac:dyDescent="0.3">
      <c r="A19" t="s">
        <v>230</v>
      </c>
    </row>
    <row r="24" spans="1:11" x14ac:dyDescent="0.3">
      <c r="J24" s="7"/>
    </row>
    <row r="25" spans="1:11" x14ac:dyDescent="0.3">
      <c r="J25" s="7"/>
    </row>
  </sheetData>
  <pageMargins left="0.7" right="0.7" top="0.75" bottom="0.75" header="0.3" footer="0.3"/>
  <pageSetup orientation="portrait" horizontalDpi="200" verticalDpi="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0"/>
  <sheetViews>
    <sheetView topLeftCell="A54" workbookViewId="0">
      <selection activeCell="E85" sqref="E85"/>
    </sheetView>
  </sheetViews>
  <sheetFormatPr defaultRowHeight="14.4" x14ac:dyDescent="0.3"/>
  <cols>
    <col min="1" max="2" width="25.6640625" customWidth="1"/>
    <col min="3" max="15" width="15.6640625" customWidth="1"/>
    <col min="16" max="16" width="15.44140625" customWidth="1"/>
  </cols>
  <sheetData>
    <row r="1" spans="1:16" x14ac:dyDescent="0.3">
      <c r="A1" t="s">
        <v>4</v>
      </c>
      <c r="B1" t="s">
        <v>24</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26</v>
      </c>
      <c r="B2">
        <v>3.4185894747622387E-3</v>
      </c>
      <c r="C2" s="18">
        <f>Table1[[#This Row],[Adjusted % (W/Floors)]]*$C$70</f>
        <v>329658.92102698103</v>
      </c>
      <c r="D2" s="18">
        <f>Table1[[#This Row],[Adjusted % (W/Floors)]]*$D$70</f>
        <v>62306.254722784521</v>
      </c>
      <c r="E2" s="18">
        <f>Table1[[#This Row],[Adjusted % (W/Floors)]]*$E$70</f>
        <v>51790.499733514465</v>
      </c>
      <c r="F2" s="18">
        <f>Table1[[#This Row],[Adjusted % (W/Floors)]]*$F$70</f>
        <v>51790.499734612436</v>
      </c>
      <c r="G2" s="18">
        <f>Table1[[#This Row],[Adjusted % (W/Floors)]]*$G$70</f>
        <v>51790.499734612436</v>
      </c>
      <c r="H2" s="18">
        <f>Table1[[#This Row],[Adjusted % (W/Floors)]]*$H$70</f>
        <v>55307.120897690722</v>
      </c>
      <c r="I2" s="18">
        <f>Table1[[#This Row],[Adjusted % (W/Floors)]]*$I$70</f>
        <v>53098.571903386721</v>
      </c>
      <c r="J2" s="18">
        <f>Table1[[#This Row],[Adjusted % (W/Floors)]]*$J$70</f>
        <v>24877.759785448907</v>
      </c>
      <c r="K2" s="18">
        <f>Table1[[#This Row],[Adjusted % (W/Floors)]]*$K$70</f>
        <v>24877.759785448907</v>
      </c>
      <c r="L2" s="18">
        <f>Table1[[#This Row],[Adjusted % (W/Floors)]]*$L$70</f>
        <v>24877.759785448907</v>
      </c>
      <c r="M2" s="18">
        <f>Table1[[#This Row],[Adjusted % (W/Floors)]]*$M$70</f>
        <v>24877.759785448914</v>
      </c>
      <c r="N2" s="18">
        <f>Table1[[#This Row],[Adjusted % (W/Floors)]]*$N$70</f>
        <v>24877.759785448914</v>
      </c>
      <c r="O2" s="18">
        <f>Table1[[#This Row],[Adjusted % (W/Floors)]]*$O$70</f>
        <v>24877.759785448914</v>
      </c>
      <c r="P2" s="18">
        <f>SUM(Table1[[#This Row],[Payment 1]:[Payment 13]])</f>
        <v>805008.92646627571</v>
      </c>
    </row>
    <row r="3" spans="1:16" x14ac:dyDescent="0.3">
      <c r="A3" t="s">
        <v>27</v>
      </c>
      <c r="B3">
        <v>0.11452275526177516</v>
      </c>
      <c r="C3" s="18">
        <f>Table1[[#This Row],[Adjusted % (W/Floors)]]*$C$70</f>
        <v>11043574.612087505</v>
      </c>
      <c r="D3" s="18">
        <f>Table1[[#This Row],[Adjusted % (W/Floors)]]*$D$70</f>
        <v>2087259.676417141</v>
      </c>
      <c r="E3" s="18">
        <f>Table1[[#This Row],[Adjusted % (W/Floors)]]*$E$70</f>
        <v>1734981.8601073241</v>
      </c>
      <c r="F3" s="18">
        <f>Table1[[#This Row],[Adjusted % (W/Floors)]]*$F$70</f>
        <v>1734981.860144106</v>
      </c>
      <c r="G3" s="18">
        <f>Table1[[#This Row],[Adjusted % (W/Floors)]]*$G$70</f>
        <v>1734981.860144106</v>
      </c>
      <c r="H3" s="18">
        <f>Table1[[#This Row],[Adjusted % (W/Floors)]]*$H$70</f>
        <v>1852788.6771897834</v>
      </c>
      <c r="I3" s="18">
        <f>Table1[[#This Row],[Adjusted % (W/Floors)]]*$I$70</f>
        <v>1778802.2808045002</v>
      </c>
      <c r="J3" s="18">
        <f>Table1[[#This Row],[Adjusted % (W/Floors)]]*$J$70</f>
        <v>833405.00999124756</v>
      </c>
      <c r="K3" s="18">
        <f>Table1[[#This Row],[Adjusted % (W/Floors)]]*$K$70</f>
        <v>833405.00999124756</v>
      </c>
      <c r="L3" s="18">
        <f>Table1[[#This Row],[Adjusted % (W/Floors)]]*$L$70</f>
        <v>833405.00999124756</v>
      </c>
      <c r="M3" s="18">
        <f>Table1[[#This Row],[Adjusted % (W/Floors)]]*$M$70</f>
        <v>833405.00999124779</v>
      </c>
      <c r="N3" s="18">
        <f>Table1[[#This Row],[Adjusted % (W/Floors)]]*$N$70</f>
        <v>833405.00999124779</v>
      </c>
      <c r="O3" s="18">
        <f>Table1[[#This Row],[Adjusted % (W/Floors)]]*$O$70</f>
        <v>833405.00999124779</v>
      </c>
      <c r="P3" s="18">
        <f>SUM(Table1[[#This Row],[Payment 1]:[Payment 13]])</f>
        <v>26967800.886841949</v>
      </c>
    </row>
    <row r="4" spans="1:16" x14ac:dyDescent="0.3">
      <c r="A4" t="s">
        <v>28</v>
      </c>
      <c r="B4">
        <v>6.0222831445004236E-3</v>
      </c>
      <c r="C4" s="18">
        <f>Table1[[#This Row],[Adjusted % (W/Floors)]]*$C$70</f>
        <v>580736.40552381938</v>
      </c>
      <c r="D4" s="18">
        <f>Table1[[#This Row],[Adjusted % (W/Floors)]]*$D$70</f>
        <v>109760.44663569085</v>
      </c>
      <c r="E4" s="18">
        <f>Table1[[#This Row],[Adjusted % (W/Floors)]]*$E$70</f>
        <v>91235.597574081374</v>
      </c>
      <c r="F4" s="18">
        <f>Table1[[#This Row],[Adjusted % (W/Floors)]]*$F$70</f>
        <v>91235.597576015585</v>
      </c>
      <c r="G4" s="18">
        <f>Table1[[#This Row],[Adjusted % (W/Floors)]]*$G$70</f>
        <v>91235.597576015585</v>
      </c>
      <c r="H4" s="18">
        <f>Table1[[#This Row],[Adjusted % (W/Floors)]]*$H$70</f>
        <v>97430.576093426716</v>
      </c>
      <c r="I4" s="18">
        <f>Table1[[#This Row],[Adjusted % (W/Floors)]]*$I$70</f>
        <v>93539.934213086468</v>
      </c>
      <c r="J4" s="18">
        <f>Table1[[#This Row],[Adjusted % (W/Floors)]]*$J$70</f>
        <v>43825.359708995013</v>
      </c>
      <c r="K4" s="18">
        <f>Table1[[#This Row],[Adjusted % (W/Floors)]]*$K$70</f>
        <v>43825.359708995013</v>
      </c>
      <c r="L4" s="18">
        <f>Table1[[#This Row],[Adjusted % (W/Floors)]]*$L$70</f>
        <v>43825.359708995013</v>
      </c>
      <c r="M4" s="18">
        <f>Table1[[#This Row],[Adjusted % (W/Floors)]]*$M$70</f>
        <v>43825.35970899502</v>
      </c>
      <c r="N4" s="18">
        <f>Table1[[#This Row],[Adjusted % (W/Floors)]]*$N$70</f>
        <v>43825.35970899502</v>
      </c>
      <c r="O4" s="18">
        <f>Table1[[#This Row],[Adjusted % (W/Floors)]]*$O$70</f>
        <v>43825.35970899502</v>
      </c>
      <c r="P4" s="18">
        <f>SUM(Table1[[#This Row],[Payment 1]:[Payment 13]])</f>
        <v>1418126.3134461066</v>
      </c>
    </row>
    <row r="5" spans="1:16" x14ac:dyDescent="0.3">
      <c r="A5" t="s">
        <v>29</v>
      </c>
      <c r="B5">
        <v>1.2660706775723332E-2</v>
      </c>
      <c r="C5" s="18">
        <f>Table1[[#This Row],[Adjusted % (W/Floors)]]*$C$70</f>
        <v>1220888.0200259264</v>
      </c>
      <c r="D5" s="18">
        <f>Table1[[#This Row],[Adjusted % (W/Floors)]]*$D$70</f>
        <v>230750.49729203456</v>
      </c>
      <c r="E5" s="18">
        <f>Table1[[#This Row],[Adjusted % (W/Floors)]]*$E$70</f>
        <v>191805.51971359705</v>
      </c>
      <c r="F5" s="18">
        <f>Table1[[#This Row],[Adjusted % (W/Floors)]]*$F$70</f>
        <v>191805.51971766338</v>
      </c>
      <c r="G5" s="18">
        <f>Table1[[#This Row],[Adjusted % (W/Floors)]]*$G$70</f>
        <v>191805.51971766338</v>
      </c>
      <c r="H5" s="18">
        <f>Table1[[#This Row],[Adjusted % (W/Floors)]]*$H$70</f>
        <v>204829.28572283246</v>
      </c>
      <c r="I5" s="18">
        <f>Table1[[#This Row],[Adjusted % (W/Floors)]]*$I$70</f>
        <v>196649.94994030296</v>
      </c>
      <c r="J5" s="18">
        <f>Table1[[#This Row],[Adjusted % (W/Floors)]]*$J$70</f>
        <v>92134.497050821359</v>
      </c>
      <c r="K5" s="18">
        <f>Table1[[#This Row],[Adjusted % (W/Floors)]]*$K$70</f>
        <v>92134.497050821359</v>
      </c>
      <c r="L5" s="18">
        <f>Table1[[#This Row],[Adjusted % (W/Floors)]]*$L$70</f>
        <v>92134.497050821359</v>
      </c>
      <c r="M5" s="18">
        <f>Table1[[#This Row],[Adjusted % (W/Floors)]]*$M$70</f>
        <v>92134.497050821374</v>
      </c>
      <c r="N5" s="18">
        <f>Table1[[#This Row],[Adjusted % (W/Floors)]]*$N$70</f>
        <v>92134.497050821374</v>
      </c>
      <c r="O5" s="18">
        <f>Table1[[#This Row],[Adjusted % (W/Floors)]]*$O$70</f>
        <v>92134.497050821374</v>
      </c>
      <c r="P5" s="18">
        <f>SUM(Table1[[#This Row],[Payment 1]:[Payment 13]])</f>
        <v>2981341.2944349479</v>
      </c>
    </row>
    <row r="6" spans="1:16" x14ac:dyDescent="0.3">
      <c r="A6" t="s">
        <v>30</v>
      </c>
      <c r="B6">
        <v>1.9080507699772487E-3</v>
      </c>
      <c r="C6" s="18">
        <f>Table1[[#This Row],[Adjusted % (W/Floors)]]*$C$70</f>
        <v>183995.75694567634</v>
      </c>
      <c r="D6" s="18">
        <f>Table1[[#This Row],[Adjusted % (W/Floors)]]*$D$70</f>
        <v>34775.599169150279</v>
      </c>
      <c r="E6" s="18">
        <f>Table1[[#This Row],[Adjusted % (W/Floors)]]*$E$70</f>
        <v>28906.338015596793</v>
      </c>
      <c r="F6" s="18">
        <f>Table1[[#This Row],[Adjusted % (W/Floors)]]*$F$70</f>
        <v>28906.338016209611</v>
      </c>
      <c r="G6" s="18">
        <f>Table1[[#This Row],[Adjusted % (W/Floors)]]*$G$70</f>
        <v>28906.338016209611</v>
      </c>
      <c r="H6" s="18">
        <f>Table1[[#This Row],[Adjusted % (W/Floors)]]*$H$70</f>
        <v>30869.104170925068</v>
      </c>
      <c r="I6" s="18">
        <f>Table1[[#This Row],[Adjusted % (W/Floors)]]*$I$70</f>
        <v>29636.425125890768</v>
      </c>
      <c r="J6" s="18">
        <f>Table1[[#This Row],[Adjusted % (W/Floors)]]*$J$70</f>
        <v>13885.267319860393</v>
      </c>
      <c r="K6" s="18">
        <f>Table1[[#This Row],[Adjusted % (W/Floors)]]*$K$70</f>
        <v>13885.267319860393</v>
      </c>
      <c r="L6" s="18">
        <f>Table1[[#This Row],[Adjusted % (W/Floors)]]*$L$70</f>
        <v>13885.267319860393</v>
      </c>
      <c r="M6" s="18">
        <f>Table1[[#This Row],[Adjusted % (W/Floors)]]*$M$70</f>
        <v>13885.267319860397</v>
      </c>
      <c r="N6" s="18">
        <f>Table1[[#This Row],[Adjusted % (W/Floors)]]*$N$70</f>
        <v>13885.267319860397</v>
      </c>
      <c r="O6" s="18">
        <f>Table1[[#This Row],[Adjusted % (W/Floors)]]*$O$70</f>
        <v>13885.267319860397</v>
      </c>
      <c r="P6" s="18">
        <f>SUM(Table1[[#This Row],[Payment 1]:[Payment 13]])</f>
        <v>449307.50337882084</v>
      </c>
    </row>
    <row r="7" spans="1:16" x14ac:dyDescent="0.3">
      <c r="A7" t="s">
        <v>31</v>
      </c>
      <c r="B7">
        <v>1.8792305559577987E-2</v>
      </c>
      <c r="C7" s="18">
        <f>Table1[[#This Row],[Adjusted % (W/Floors)]]*$C$70</f>
        <v>1812165.8713673654</v>
      </c>
      <c r="D7" s="18">
        <f>Table1[[#This Row],[Adjusted % (W/Floors)]]*$D$70</f>
        <v>342503.30016735918</v>
      </c>
      <c r="E7" s="18">
        <f>Table1[[#This Row],[Adjusted % (W/Floors)]]*$E$70</f>
        <v>284697.21306420863</v>
      </c>
      <c r="F7" s="18">
        <f>Table1[[#This Row],[Adjusted % (W/Floors)]]*$F$70</f>
        <v>284697.21307024424</v>
      </c>
      <c r="G7" s="18">
        <f>Table1[[#This Row],[Adjusted % (W/Floors)]]*$G$70</f>
        <v>284697.21307024424</v>
      </c>
      <c r="H7" s="18">
        <f>Table1[[#This Row],[Adjusted % (W/Floors)]]*$H$70</f>
        <v>304028.40797437704</v>
      </c>
      <c r="I7" s="18">
        <f>Table1[[#This Row],[Adjusted % (W/Floors)]]*$I$70</f>
        <v>291887.80792553787</v>
      </c>
      <c r="J7" s="18">
        <f>Table1[[#This Row],[Adjusted % (W/Floors)]]*$J$70</f>
        <v>136755.36854522501</v>
      </c>
      <c r="K7" s="18">
        <f>Table1[[#This Row],[Adjusted % (W/Floors)]]*$K$70</f>
        <v>136755.36854522501</v>
      </c>
      <c r="L7" s="18">
        <f>Table1[[#This Row],[Adjusted % (W/Floors)]]*$L$70</f>
        <v>136755.36854522501</v>
      </c>
      <c r="M7" s="18">
        <f>Table1[[#This Row],[Adjusted % (W/Floors)]]*$M$70</f>
        <v>136755.36854522504</v>
      </c>
      <c r="N7" s="18">
        <f>Table1[[#This Row],[Adjusted % (W/Floors)]]*$N$70</f>
        <v>136755.36854522504</v>
      </c>
      <c r="O7" s="18">
        <f>Table1[[#This Row],[Adjusted % (W/Floors)]]*$O$70</f>
        <v>136755.36854522504</v>
      </c>
      <c r="P7" s="18">
        <f>SUM(Table1[[#This Row],[Payment 1]:[Payment 13]])</f>
        <v>4425209.2379106861</v>
      </c>
    </row>
    <row r="8" spans="1:16" x14ac:dyDescent="0.3">
      <c r="A8" t="s">
        <v>32</v>
      </c>
      <c r="B8">
        <v>8.0197735934250114E-3</v>
      </c>
      <c r="C8" s="18">
        <f>Table1[[#This Row],[Adjusted % (W/Floors)]]*$C$70</f>
        <v>773356.94420373137</v>
      </c>
      <c r="D8" s="18">
        <f>Table1[[#This Row],[Adjusted % (W/Floors)]]*$D$70</f>
        <v>146166.14835443275</v>
      </c>
      <c r="E8" s="18">
        <f>Table1[[#This Row],[Adjusted % (W/Floors)]]*$E$70</f>
        <v>121496.91714066126</v>
      </c>
      <c r="F8" s="18">
        <f>Table1[[#This Row],[Adjusted % (W/Floors)]]*$F$70</f>
        <v>121496.91714323702</v>
      </c>
      <c r="G8" s="18">
        <f>Table1[[#This Row],[Adjusted % (W/Floors)]]*$G$70</f>
        <v>121496.91714323702</v>
      </c>
      <c r="H8" s="18">
        <f>Table1[[#This Row],[Adjusted % (W/Floors)]]*$H$70</f>
        <v>129746.66627220965</v>
      </c>
      <c r="I8" s="18">
        <f>Table1[[#This Row],[Adjusted % (W/Floors)]]*$I$70</f>
        <v>124565.56364638575</v>
      </c>
      <c r="J8" s="18">
        <f>Table1[[#This Row],[Adjusted % (W/Floors)]]*$J$70</f>
        <v>58361.497472518233</v>
      </c>
      <c r="K8" s="18">
        <f>Table1[[#This Row],[Adjusted % (W/Floors)]]*$K$70</f>
        <v>58361.497472518233</v>
      </c>
      <c r="L8" s="18">
        <f>Table1[[#This Row],[Adjusted % (W/Floors)]]*$L$70</f>
        <v>58361.497472518233</v>
      </c>
      <c r="M8" s="18">
        <f>Table1[[#This Row],[Adjusted % (W/Floors)]]*$M$70</f>
        <v>58361.497472518247</v>
      </c>
      <c r="N8" s="18">
        <f>Table1[[#This Row],[Adjusted % (W/Floors)]]*$N$70</f>
        <v>58361.497472518247</v>
      </c>
      <c r="O8" s="18">
        <f>Table1[[#This Row],[Adjusted % (W/Floors)]]*$O$70</f>
        <v>58361.497472518247</v>
      </c>
      <c r="P8" s="18">
        <f>SUM(Table1[[#This Row],[Payment 1]:[Payment 13]])</f>
        <v>1888495.0587390044</v>
      </c>
    </row>
    <row r="9" spans="1:16" x14ac:dyDescent="0.3">
      <c r="A9" t="s">
        <v>33</v>
      </c>
      <c r="B9">
        <v>2.2359962594508242E-3</v>
      </c>
      <c r="C9" s="18">
        <f>Table1[[#This Row],[Adjusted % (W/Floors)]]*$C$70</f>
        <v>215619.9566378734</v>
      </c>
      <c r="D9" s="18">
        <f>Table1[[#This Row],[Adjusted % (W/Floors)]]*$D$70</f>
        <v>40752.641850986169</v>
      </c>
      <c r="E9" s="18">
        <f>Table1[[#This Row],[Adjusted % (W/Floors)]]*$E$70</f>
        <v>33874.603702534747</v>
      </c>
      <c r="F9" s="18">
        <f>Table1[[#This Row],[Adjusted % (W/Floors)]]*$F$70</f>
        <v>33874.603703252898</v>
      </c>
      <c r="G9" s="18">
        <f>Table1[[#This Row],[Adjusted % (W/Floors)]]*$G$70</f>
        <v>33874.603703252898</v>
      </c>
      <c r="H9" s="18">
        <f>Table1[[#This Row],[Adjusted % (W/Floors)]]*$H$70</f>
        <v>36174.719533070551</v>
      </c>
      <c r="I9" s="18">
        <f>Table1[[#This Row],[Adjusted % (W/Floors)]]*$I$70</f>
        <v>34730.174253055302</v>
      </c>
      <c r="J9" s="18">
        <f>Table1[[#This Row],[Adjusted % (W/Floors)]]*$J$70</f>
        <v>16271.792279957423</v>
      </c>
      <c r="K9" s="18">
        <f>Table1[[#This Row],[Adjusted % (W/Floors)]]*$K$70</f>
        <v>16271.792279957423</v>
      </c>
      <c r="L9" s="18">
        <f>Table1[[#This Row],[Adjusted % (W/Floors)]]*$L$70</f>
        <v>16271.792279957423</v>
      </c>
      <c r="M9" s="18">
        <f>Table1[[#This Row],[Adjusted % (W/Floors)]]*$M$70</f>
        <v>16271.792279957426</v>
      </c>
      <c r="N9" s="18">
        <f>Table1[[#This Row],[Adjusted % (W/Floors)]]*$N$70</f>
        <v>16271.792279957426</v>
      </c>
      <c r="O9" s="18">
        <f>Table1[[#This Row],[Adjusted % (W/Floors)]]*$O$70</f>
        <v>16271.792279957426</v>
      </c>
      <c r="P9" s="18">
        <f>SUM(Table1[[#This Row],[Payment 1]:[Payment 13]])</f>
        <v>526532.0570637706</v>
      </c>
    </row>
    <row r="10" spans="1:16" x14ac:dyDescent="0.3">
      <c r="A10" t="s">
        <v>34</v>
      </c>
      <c r="B10">
        <v>5.7668825533399602E-2</v>
      </c>
      <c r="C10" s="18">
        <f>Table1[[#This Row],[Adjusted % (W/Floors)]]*$C$70</f>
        <v>5561078.024308823</v>
      </c>
      <c r="D10" s="18">
        <f>Table1[[#This Row],[Adjusted % (W/Floors)]]*$D$70</f>
        <v>1051055.8696135096</v>
      </c>
      <c r="E10" s="18">
        <f>Table1[[#This Row],[Adjusted % (W/Floors)]]*$E$70</f>
        <v>873663.63100013568</v>
      </c>
      <c r="F10" s="18">
        <f>Table1[[#This Row],[Adjusted % (W/Floors)]]*$F$70</f>
        <v>873663.63101865759</v>
      </c>
      <c r="G10" s="18">
        <f>Table1[[#This Row],[Adjusted % (W/Floors)]]*$G$70</f>
        <v>873663.63101865759</v>
      </c>
      <c r="H10" s="18">
        <f>Table1[[#This Row],[Adjusted % (W/Floors)]]*$H$70</f>
        <v>932986.17144586903</v>
      </c>
      <c r="I10" s="18">
        <f>Table1[[#This Row],[Adjusted % (W/Floors)]]*$I$70</f>
        <v>895729.74519909348</v>
      </c>
      <c r="J10" s="18">
        <f>Table1[[#This Row],[Adjusted % (W/Floors)]]*$J$70</f>
        <v>419667.58492657513</v>
      </c>
      <c r="K10" s="18">
        <f>Table1[[#This Row],[Adjusted % (W/Floors)]]*$K$70</f>
        <v>419667.58492657513</v>
      </c>
      <c r="L10" s="18">
        <f>Table1[[#This Row],[Adjusted % (W/Floors)]]*$L$70</f>
        <v>419667.58492657513</v>
      </c>
      <c r="M10" s="18">
        <f>Table1[[#This Row],[Adjusted % (W/Floors)]]*$M$70</f>
        <v>419667.58492657525</v>
      </c>
      <c r="N10" s="18">
        <f>Table1[[#This Row],[Adjusted % (W/Floors)]]*$N$70</f>
        <v>419667.58492657525</v>
      </c>
      <c r="O10" s="18">
        <f>Table1[[#This Row],[Adjusted % (W/Floors)]]*$O$70</f>
        <v>419667.58492657525</v>
      </c>
      <c r="P10" s="18">
        <f>SUM(Table1[[#This Row],[Payment 1]:[Payment 13]])</f>
        <v>13579846.213164199</v>
      </c>
    </row>
    <row r="11" spans="1:16" x14ac:dyDescent="0.3">
      <c r="A11" t="s">
        <v>35</v>
      </c>
      <c r="B11">
        <v>1.3604794180508509E-2</v>
      </c>
      <c r="C11" s="18">
        <f>Table1[[#This Row],[Adjusted % (W/Floors)]]*$C$70</f>
        <v>1311927.5664570727</v>
      </c>
      <c r="D11" s="18">
        <f>Table1[[#This Row],[Adjusted % (W/Floors)]]*$D$70</f>
        <v>247957.17003158864</v>
      </c>
      <c r="E11" s="18">
        <f>Table1[[#This Row],[Adjusted % (W/Floors)]]*$E$70</f>
        <v>206108.13160862189</v>
      </c>
      <c r="F11" s="18">
        <f>Table1[[#This Row],[Adjusted % (W/Floors)]]*$F$70</f>
        <v>206108.13161299142</v>
      </c>
      <c r="G11" s="18">
        <f>Table1[[#This Row],[Adjusted % (W/Floors)]]*$G$70</f>
        <v>206108.13161299142</v>
      </c>
      <c r="H11" s="18">
        <f>Table1[[#This Row],[Adjusted % (W/Floors)]]*$H$70</f>
        <v>220103.05773316501</v>
      </c>
      <c r="I11" s="18">
        <f>Table1[[#This Row],[Adjusted % (W/Floors)]]*$I$70</f>
        <v>211313.80277087833</v>
      </c>
      <c r="J11" s="18">
        <f>Table1[[#This Row],[Adjusted % (W/Floors)]]*$J$70</f>
        <v>99004.810039878634</v>
      </c>
      <c r="K11" s="18">
        <f>Table1[[#This Row],[Adjusted % (W/Floors)]]*$K$70</f>
        <v>99004.810039878634</v>
      </c>
      <c r="L11" s="18">
        <f>Table1[[#This Row],[Adjusted % (W/Floors)]]*$L$70</f>
        <v>99004.810039878634</v>
      </c>
      <c r="M11" s="18">
        <f>Table1[[#This Row],[Adjusted % (W/Floors)]]*$M$70</f>
        <v>99004.810039878663</v>
      </c>
      <c r="N11" s="18">
        <f>Table1[[#This Row],[Adjusted % (W/Floors)]]*$N$70</f>
        <v>99004.810039878663</v>
      </c>
      <c r="O11" s="18">
        <f>Table1[[#This Row],[Adjusted % (W/Floors)]]*$O$70</f>
        <v>99004.810039878663</v>
      </c>
      <c r="P11" s="18">
        <f>SUM(Table1[[#This Row],[Payment 1]:[Payment 13]])</f>
        <v>3203654.8520665821</v>
      </c>
    </row>
    <row r="12" spans="1:16" x14ac:dyDescent="0.3">
      <c r="A12" t="s">
        <v>36</v>
      </c>
      <c r="B12">
        <v>1.5771226721418889E-2</v>
      </c>
      <c r="C12" s="18">
        <f>Table1[[#This Row],[Adjusted % (W/Floors)]]*$C$70</f>
        <v>1520839.4054440947</v>
      </c>
      <c r="D12" s="18">
        <f>Table1[[#This Row],[Adjusted % (W/Floors)]]*$D$70</f>
        <v>287441.96302302537</v>
      </c>
      <c r="E12" s="18">
        <f>Table1[[#This Row],[Adjusted % (W/Floors)]]*$E$70</f>
        <v>238928.86798572069</v>
      </c>
      <c r="F12" s="18">
        <f>Table1[[#This Row],[Adjusted % (W/Floors)]]*$F$70</f>
        <v>238928.86799078604</v>
      </c>
      <c r="G12" s="18">
        <f>Table1[[#This Row],[Adjusted % (W/Floors)]]*$G$70</f>
        <v>238928.86799078604</v>
      </c>
      <c r="H12" s="18">
        <f>Table1[[#This Row],[Adjusted % (W/Floors)]]*$H$70</f>
        <v>255152.35140863771</v>
      </c>
      <c r="I12" s="18">
        <f>Table1[[#This Row],[Adjusted % (W/Floors)]]*$I$70</f>
        <v>244963.49218126512</v>
      </c>
      <c r="J12" s="18">
        <f>Table1[[#This Row],[Adjusted % (W/Floors)]]*$J$70</f>
        <v>114770.37321791907</v>
      </c>
      <c r="K12" s="18">
        <f>Table1[[#This Row],[Adjusted % (W/Floors)]]*$K$70</f>
        <v>114770.37321791907</v>
      </c>
      <c r="L12" s="18">
        <f>Table1[[#This Row],[Adjusted % (W/Floors)]]*$L$70</f>
        <v>114770.37321791907</v>
      </c>
      <c r="M12" s="18">
        <f>Table1[[#This Row],[Adjusted % (W/Floors)]]*$M$70</f>
        <v>114770.3732179191</v>
      </c>
      <c r="N12" s="18">
        <f>Table1[[#This Row],[Adjusted % (W/Floors)]]*$N$70</f>
        <v>114770.3732179191</v>
      </c>
      <c r="O12" s="18">
        <f>Table1[[#This Row],[Adjusted % (W/Floors)]]*$O$70</f>
        <v>114770.3732179191</v>
      </c>
      <c r="P12" s="18">
        <f>SUM(Table1[[#This Row],[Payment 1]:[Payment 13]])</f>
        <v>3713806.0553318295</v>
      </c>
    </row>
    <row r="13" spans="1:16" x14ac:dyDescent="0.3">
      <c r="A13" t="s">
        <v>37</v>
      </c>
      <c r="B13">
        <v>1.4285891185863999E-3</v>
      </c>
      <c r="C13" s="18">
        <f>Table1[[#This Row],[Adjusted % (W/Floors)]]*$C$70</f>
        <v>137760.66149528898</v>
      </c>
      <c r="D13" s="18">
        <f>Table1[[#This Row],[Adjusted % (W/Floors)]]*$D$70</f>
        <v>26037.065337607717</v>
      </c>
      <c r="E13" s="18">
        <f>Table1[[#This Row],[Adjusted % (W/Floors)]]*$E$70</f>
        <v>21642.652594487496</v>
      </c>
      <c r="F13" s="18">
        <f>Table1[[#This Row],[Adjusted % (W/Floors)]]*$F$70</f>
        <v>21642.652594946325</v>
      </c>
      <c r="G13" s="18">
        <f>Table1[[#This Row],[Adjusted % (W/Floors)]]*$G$70</f>
        <v>21642.652594946325</v>
      </c>
      <c r="H13" s="18">
        <f>Table1[[#This Row],[Adjusted % (W/Floors)]]*$H$70</f>
        <v>23112.20802558594</v>
      </c>
      <c r="I13" s="18">
        <f>Table1[[#This Row],[Adjusted % (W/Floors)]]*$I$70</f>
        <v>22189.280869687216</v>
      </c>
      <c r="J13" s="18">
        <f>Table1[[#This Row],[Adjusted % (W/Floors)]]*$J$70</f>
        <v>10396.128925884099</v>
      </c>
      <c r="K13" s="18">
        <f>Table1[[#This Row],[Adjusted % (W/Floors)]]*$K$70</f>
        <v>10396.128925884099</v>
      </c>
      <c r="L13" s="18">
        <f>Table1[[#This Row],[Adjusted % (W/Floors)]]*$L$70</f>
        <v>10396.128925884099</v>
      </c>
      <c r="M13" s="18">
        <f>Table1[[#This Row],[Adjusted % (W/Floors)]]*$M$70</f>
        <v>10396.128925884103</v>
      </c>
      <c r="N13" s="18">
        <f>Table1[[#This Row],[Adjusted % (W/Floors)]]*$N$70</f>
        <v>10396.128925884103</v>
      </c>
      <c r="O13" s="18">
        <f>Table1[[#This Row],[Adjusted % (W/Floors)]]*$O$70</f>
        <v>10396.128925884103</v>
      </c>
      <c r="P13" s="18">
        <f>SUM(Table1[[#This Row],[Payment 1]:[Payment 13]])</f>
        <v>336403.94706785452</v>
      </c>
    </row>
    <row r="14" spans="1:16" x14ac:dyDescent="0.3">
      <c r="A14" t="s">
        <v>38</v>
      </c>
      <c r="B14">
        <v>6.399917820696671E-3</v>
      </c>
      <c r="C14" s="18">
        <f>Table1[[#This Row],[Adjusted % (W/Floors)]]*$C$70</f>
        <v>617152.19654414558</v>
      </c>
      <c r="D14" s="18">
        <f>Table1[[#This Row],[Adjusted % (W/Floors)]]*$D$70</f>
        <v>116643.11052409942</v>
      </c>
      <c r="E14" s="18">
        <f>Table1[[#This Row],[Adjusted % (W/Floors)]]*$E$70</f>
        <v>96956.638003560802</v>
      </c>
      <c r="F14" s="18">
        <f>Table1[[#This Row],[Adjusted % (W/Floors)]]*$F$70</f>
        <v>96956.638005616289</v>
      </c>
      <c r="G14" s="18">
        <f>Table1[[#This Row],[Adjusted % (W/Floors)]]*$G$70</f>
        <v>96956.638005616289</v>
      </c>
      <c r="H14" s="18">
        <f>Table1[[#This Row],[Adjusted % (W/Floors)]]*$H$70</f>
        <v>103540.08027511812</v>
      </c>
      <c r="I14" s="18">
        <f>Table1[[#This Row],[Adjusted % (W/Floors)]]*$I$70</f>
        <v>99405.470907460447</v>
      </c>
      <c r="J14" s="18">
        <f>Table1[[#This Row],[Adjusted % (W/Floors)]]*$J$70</f>
        <v>46573.482825392137</v>
      </c>
      <c r="K14" s="18">
        <f>Table1[[#This Row],[Adjusted % (W/Floors)]]*$K$70</f>
        <v>46573.482825392137</v>
      </c>
      <c r="L14" s="18">
        <f>Table1[[#This Row],[Adjusted % (W/Floors)]]*$L$70</f>
        <v>46573.482825392137</v>
      </c>
      <c r="M14" s="18">
        <f>Table1[[#This Row],[Adjusted % (W/Floors)]]*$M$70</f>
        <v>46573.482825392151</v>
      </c>
      <c r="N14" s="18">
        <f>Table1[[#This Row],[Adjusted % (W/Floors)]]*$N$70</f>
        <v>46573.482825392151</v>
      </c>
      <c r="O14" s="18">
        <f>Table1[[#This Row],[Adjusted % (W/Floors)]]*$O$70</f>
        <v>46573.482825392151</v>
      </c>
      <c r="P14" s="18">
        <f>SUM(Table1[[#This Row],[Payment 1]:[Payment 13]])</f>
        <v>1507051.6692179698</v>
      </c>
    </row>
    <row r="15" spans="1:16" x14ac:dyDescent="0.3">
      <c r="A15" t="s">
        <v>39</v>
      </c>
      <c r="B15">
        <v>2.4844407644750662E-3</v>
      </c>
      <c r="C15" s="18">
        <f>Table1[[#This Row],[Adjusted % (W/Floors)]]*$C$70</f>
        <v>239577.77551785758</v>
      </c>
      <c r="D15" s="18">
        <f>Table1[[#This Row],[Adjusted % (W/Floors)]]*$D$70</f>
        <v>45280.721846784189</v>
      </c>
      <c r="E15" s="18">
        <f>Table1[[#This Row],[Adjusted % (W/Floors)]]*$E$70</f>
        <v>37638.45577258947</v>
      </c>
      <c r="F15" s="18">
        <f>Table1[[#This Row],[Adjusted % (W/Floors)]]*$F$70</f>
        <v>37638.455773387417</v>
      </c>
      <c r="G15" s="18">
        <f>Table1[[#This Row],[Adjusted % (W/Floors)]]*$G$70</f>
        <v>37638.455773387417</v>
      </c>
      <c r="H15" s="18">
        <f>Table1[[#This Row],[Adjusted % (W/Floors)]]*$H$70</f>
        <v>40194.140518592176</v>
      </c>
      <c r="I15" s="18">
        <f>Table1[[#This Row],[Adjusted % (W/Floors)]]*$I$70</f>
        <v>38589.089899821731</v>
      </c>
      <c r="J15" s="18">
        <f>Table1[[#This Row],[Adjusted % (W/Floors)]]*$J$70</f>
        <v>18079.772665328997</v>
      </c>
      <c r="K15" s="18">
        <f>Table1[[#This Row],[Adjusted % (W/Floors)]]*$K$70</f>
        <v>18079.772665328997</v>
      </c>
      <c r="L15" s="18">
        <f>Table1[[#This Row],[Adjusted % (W/Floors)]]*$L$70</f>
        <v>18079.772665328997</v>
      </c>
      <c r="M15" s="18">
        <f>Table1[[#This Row],[Adjusted % (W/Floors)]]*$M$70</f>
        <v>18079.772665329005</v>
      </c>
      <c r="N15" s="18">
        <f>Table1[[#This Row],[Adjusted % (W/Floors)]]*$N$70</f>
        <v>18079.772665329005</v>
      </c>
      <c r="O15" s="18">
        <f>Table1[[#This Row],[Adjusted % (W/Floors)]]*$O$70</f>
        <v>18079.772665329005</v>
      </c>
      <c r="P15" s="18">
        <f>SUM(Table1[[#This Row],[Payment 1]:[Payment 13]])</f>
        <v>585035.731094394</v>
      </c>
    </row>
    <row r="16" spans="1:16" x14ac:dyDescent="0.3">
      <c r="A16" t="s">
        <v>40</v>
      </c>
      <c r="B16">
        <v>2.2161205847617552E-2</v>
      </c>
      <c r="C16" s="18">
        <f>Table1[[#This Row],[Adjusted % (W/Floors)]]*$C$70</f>
        <v>2137033.2010662174</v>
      </c>
      <c r="D16" s="18">
        <f>Table1[[#This Row],[Adjusted % (W/Floors)]]*$D$70</f>
        <v>403903.933683571</v>
      </c>
      <c r="E16" s="18">
        <f>Table1[[#This Row],[Adjusted % (W/Floors)]]*$E$70</f>
        <v>335734.93805518158</v>
      </c>
      <c r="F16" s="18">
        <f>Table1[[#This Row],[Adjusted % (W/Floors)]]*$F$70</f>
        <v>335734.93806229928</v>
      </c>
      <c r="G16" s="18">
        <f>Table1[[#This Row],[Adjusted % (W/Floors)]]*$G$70</f>
        <v>335734.93806229928</v>
      </c>
      <c r="H16" s="18">
        <f>Table1[[#This Row],[Adjusted % (W/Floors)]]*$H$70</f>
        <v>358531.64005252178</v>
      </c>
      <c r="I16" s="18">
        <f>Table1[[#This Row],[Adjusted % (W/Floors)]]*$I$70</f>
        <v>344214.59226171515</v>
      </c>
      <c r="J16" s="18">
        <f>Table1[[#This Row],[Adjusted % (W/Floors)]]*$J$70</f>
        <v>161271.53017437382</v>
      </c>
      <c r="K16" s="18">
        <f>Table1[[#This Row],[Adjusted % (W/Floors)]]*$K$70</f>
        <v>161271.53017437382</v>
      </c>
      <c r="L16" s="18">
        <f>Table1[[#This Row],[Adjusted % (W/Floors)]]*$L$70</f>
        <v>161271.53017437382</v>
      </c>
      <c r="M16" s="18">
        <f>Table1[[#This Row],[Adjusted % (W/Floors)]]*$M$70</f>
        <v>161271.53017437385</v>
      </c>
      <c r="N16" s="18">
        <f>Table1[[#This Row],[Adjusted % (W/Floors)]]*$N$70</f>
        <v>161271.53017437385</v>
      </c>
      <c r="O16" s="18">
        <f>Table1[[#This Row],[Adjusted % (W/Floors)]]*$O$70</f>
        <v>161271.53017437385</v>
      </c>
      <c r="P16" s="18">
        <f>SUM(Table1[[#This Row],[Payment 1]:[Payment 13]])</f>
        <v>5218517.3622900462</v>
      </c>
    </row>
    <row r="17" spans="1:16" x14ac:dyDescent="0.3">
      <c r="A17" t="s">
        <v>41</v>
      </c>
      <c r="B17">
        <v>1.4608509466514366E-3</v>
      </c>
      <c r="C17" s="18">
        <f>Table1[[#This Row],[Adjusted % (W/Floors)]]*$C$70</f>
        <v>140871.71051383708</v>
      </c>
      <c r="D17" s="18">
        <f>Table1[[#This Row],[Adjusted % (W/Floors)]]*$D$70</f>
        <v>26625.060384126911</v>
      </c>
      <c r="E17" s="18">
        <f>Table1[[#This Row],[Adjusted % (W/Floors)]]*$E$70</f>
        <v>22131.408618028807</v>
      </c>
      <c r="F17" s="18">
        <f>Table1[[#This Row],[Adjusted % (W/Floors)]]*$F$70</f>
        <v>22131.408618497997</v>
      </c>
      <c r="G17" s="18">
        <f>Table1[[#This Row],[Adjusted % (W/Floors)]]*$G$70</f>
        <v>22131.408618497997</v>
      </c>
      <c r="H17" s="18">
        <f>Table1[[#This Row],[Adjusted % (W/Floors)]]*$H$70</f>
        <v>23634.151019427751</v>
      </c>
      <c r="I17" s="18">
        <f>Table1[[#This Row],[Adjusted % (W/Floors)]]*$I$70</f>
        <v>22690.381399567363</v>
      </c>
      <c r="J17" s="18">
        <f>Table1[[#This Row],[Adjusted % (W/Floors)]]*$J$70</f>
        <v>10630.904705417341</v>
      </c>
      <c r="K17" s="18">
        <f>Table1[[#This Row],[Adjusted % (W/Floors)]]*$K$70</f>
        <v>10630.904705417341</v>
      </c>
      <c r="L17" s="18">
        <f>Table1[[#This Row],[Adjusted % (W/Floors)]]*$L$70</f>
        <v>10630.904705417341</v>
      </c>
      <c r="M17" s="18">
        <f>Table1[[#This Row],[Adjusted % (W/Floors)]]*$M$70</f>
        <v>10630.904705417342</v>
      </c>
      <c r="N17" s="18">
        <f>Table1[[#This Row],[Adjusted % (W/Floors)]]*$N$70</f>
        <v>10630.904705417342</v>
      </c>
      <c r="O17" s="18">
        <f>Table1[[#This Row],[Adjusted % (W/Floors)]]*$O$70</f>
        <v>10630.904705417342</v>
      </c>
      <c r="P17" s="18">
        <f>SUM(Table1[[#This Row],[Payment 1]:[Payment 13]])</f>
        <v>344000.95740448794</v>
      </c>
    </row>
    <row r="18" spans="1:16" x14ac:dyDescent="0.3">
      <c r="A18" t="s">
        <v>42</v>
      </c>
      <c r="B18">
        <v>2.9713910800255451E-3</v>
      </c>
      <c r="C18" s="18">
        <f>Table1[[#This Row],[Adjusted % (W/Floors)]]*$C$70</f>
        <v>286535.01235580328</v>
      </c>
      <c r="D18" s="18">
        <f>Table1[[#This Row],[Adjusted % (W/Floors)]]*$D$70</f>
        <v>54155.741974826495</v>
      </c>
      <c r="E18" s="18">
        <f>Table1[[#This Row],[Adjusted % (W/Floors)]]*$E$70</f>
        <v>45015.59197859907</v>
      </c>
      <c r="F18" s="18">
        <f>Table1[[#This Row],[Adjusted % (W/Floors)]]*$F$70</f>
        <v>45015.591979553414</v>
      </c>
      <c r="G18" s="18">
        <f>Table1[[#This Row],[Adjusted % (W/Floors)]]*$G$70</f>
        <v>45015.591979553414</v>
      </c>
      <c r="H18" s="18">
        <f>Table1[[#This Row],[Adjusted % (W/Floors)]]*$H$70</f>
        <v>48072.190858401424</v>
      </c>
      <c r="I18" s="18">
        <f>Table1[[#This Row],[Adjusted % (W/Floors)]]*$I$70</f>
        <v>46152.550366344185</v>
      </c>
      <c r="J18" s="18">
        <f>Table1[[#This Row],[Adjusted % (W/Floors)]]*$J$70</f>
        <v>21623.407567134778</v>
      </c>
      <c r="K18" s="18">
        <f>Table1[[#This Row],[Adjusted % (W/Floors)]]*$K$70</f>
        <v>21623.407567134778</v>
      </c>
      <c r="L18" s="18">
        <f>Table1[[#This Row],[Adjusted % (W/Floors)]]*$L$70</f>
        <v>21623.407567134778</v>
      </c>
      <c r="M18" s="18">
        <f>Table1[[#This Row],[Adjusted % (W/Floors)]]*$M$70</f>
        <v>21623.407567134785</v>
      </c>
      <c r="N18" s="18">
        <f>Table1[[#This Row],[Adjusted % (W/Floors)]]*$N$70</f>
        <v>21623.407567134785</v>
      </c>
      <c r="O18" s="18">
        <f>Table1[[#This Row],[Adjusted % (W/Floors)]]*$O$70</f>
        <v>21623.407567134785</v>
      </c>
      <c r="P18" s="18">
        <f>SUM(Table1[[#This Row],[Payment 1]:[Payment 13]])</f>
        <v>699702.71689589019</v>
      </c>
    </row>
    <row r="19" spans="1:16" x14ac:dyDescent="0.3">
      <c r="A19" t="s">
        <v>43</v>
      </c>
      <c r="B19">
        <v>1.4285891185863999E-3</v>
      </c>
      <c r="C19" s="18">
        <f>Table1[[#This Row],[Adjusted % (W/Floors)]]*$C$70</f>
        <v>137760.66149528898</v>
      </c>
      <c r="D19" s="18">
        <f>Table1[[#This Row],[Adjusted % (W/Floors)]]*$D$70</f>
        <v>26037.065337607717</v>
      </c>
      <c r="E19" s="18">
        <f>Table1[[#This Row],[Adjusted % (W/Floors)]]*$E$70</f>
        <v>21642.652594487496</v>
      </c>
      <c r="F19" s="18">
        <f>Table1[[#This Row],[Adjusted % (W/Floors)]]*$F$70</f>
        <v>21642.652594946325</v>
      </c>
      <c r="G19" s="18">
        <f>Table1[[#This Row],[Adjusted % (W/Floors)]]*$G$70</f>
        <v>21642.652594946325</v>
      </c>
      <c r="H19" s="18">
        <f>Table1[[#This Row],[Adjusted % (W/Floors)]]*$H$70</f>
        <v>23112.20802558594</v>
      </c>
      <c r="I19" s="18">
        <f>Table1[[#This Row],[Adjusted % (W/Floors)]]*$I$70</f>
        <v>22189.280869687216</v>
      </c>
      <c r="J19" s="18">
        <f>Table1[[#This Row],[Adjusted % (W/Floors)]]*$J$70</f>
        <v>10396.128925884099</v>
      </c>
      <c r="K19" s="18">
        <f>Table1[[#This Row],[Adjusted % (W/Floors)]]*$K$70</f>
        <v>10396.128925884099</v>
      </c>
      <c r="L19" s="18">
        <f>Table1[[#This Row],[Adjusted % (W/Floors)]]*$L$70</f>
        <v>10396.128925884099</v>
      </c>
      <c r="M19" s="18">
        <f>Table1[[#This Row],[Adjusted % (W/Floors)]]*$M$70</f>
        <v>10396.128925884103</v>
      </c>
      <c r="N19" s="18">
        <f>Table1[[#This Row],[Adjusted % (W/Floors)]]*$N$70</f>
        <v>10396.128925884103</v>
      </c>
      <c r="O19" s="18">
        <f>Table1[[#This Row],[Adjusted % (W/Floors)]]*$O$70</f>
        <v>10396.128925884103</v>
      </c>
      <c r="P19" s="18">
        <f>SUM(Table1[[#This Row],[Payment 1]:[Payment 13]])</f>
        <v>336403.94706785452</v>
      </c>
    </row>
    <row r="20" spans="1:16" x14ac:dyDescent="0.3">
      <c r="A20" t="s">
        <v>44</v>
      </c>
      <c r="B20">
        <v>3.2595860772744538E-3</v>
      </c>
      <c r="C20" s="18">
        <f>Table1[[#This Row],[Adjusted % (W/Floors)]]*$C$70</f>
        <v>314326.02164189389</v>
      </c>
      <c r="D20" s="18">
        <f>Table1[[#This Row],[Adjusted % (W/Floors)]]*$D$70</f>
        <v>59408.303313643446</v>
      </c>
      <c r="E20" s="18">
        <f>Table1[[#This Row],[Adjusted % (W/Floors)]]*$E$70</f>
        <v>49381.65085709541</v>
      </c>
      <c r="F20" s="18">
        <f>Table1[[#This Row],[Adjusted % (W/Floors)]]*$F$70</f>
        <v>49381.650858142311</v>
      </c>
      <c r="G20" s="18">
        <f>Table1[[#This Row],[Adjusted % (W/Floors)]]*$G$70</f>
        <v>49381.650858142311</v>
      </c>
      <c r="H20" s="18">
        <f>Table1[[#This Row],[Adjusted % (W/Floors)]]*$H$70</f>
        <v>52734.709032234976</v>
      </c>
      <c r="I20" s="18">
        <f>Table1[[#This Row],[Adjusted % (W/Floors)]]*$I$70</f>
        <v>50628.882753309663</v>
      </c>
      <c r="J20" s="18">
        <f>Table1[[#This Row],[Adjusted % (W/Floors)]]*$J$70</f>
        <v>23720.660239869081</v>
      </c>
      <c r="K20" s="18">
        <f>Table1[[#This Row],[Adjusted % (W/Floors)]]*$K$70</f>
        <v>23720.660239869081</v>
      </c>
      <c r="L20" s="18">
        <f>Table1[[#This Row],[Adjusted % (W/Floors)]]*$L$70</f>
        <v>23720.660239869081</v>
      </c>
      <c r="M20" s="18">
        <f>Table1[[#This Row],[Adjusted % (W/Floors)]]*$M$70</f>
        <v>23720.660239869088</v>
      </c>
      <c r="N20" s="18">
        <f>Table1[[#This Row],[Adjusted % (W/Floors)]]*$N$70</f>
        <v>23720.660239869088</v>
      </c>
      <c r="O20" s="18">
        <f>Table1[[#This Row],[Adjusted % (W/Floors)]]*$O$70</f>
        <v>23720.660239869088</v>
      </c>
      <c r="P20" s="18">
        <f>SUM(Table1[[#This Row],[Payment 1]:[Payment 13]])</f>
        <v>767566.83075367636</v>
      </c>
    </row>
    <row r="21" spans="1:16" x14ac:dyDescent="0.3">
      <c r="A21" t="s">
        <v>45</v>
      </c>
      <c r="B21">
        <v>6.6682368575386878E-3</v>
      </c>
      <c r="C21" s="18">
        <f>Table1[[#This Row],[Adjusted % (W/Floors)]]*$C$70</f>
        <v>643026.54174685234</v>
      </c>
      <c r="D21" s="18">
        <f>Table1[[#This Row],[Adjusted % (W/Floors)]]*$D$70</f>
        <v>121533.41817287424</v>
      </c>
      <c r="E21" s="18">
        <f>Table1[[#This Row],[Adjusted % (W/Floors)]]*$E$70</f>
        <v>101021.58265651004</v>
      </c>
      <c r="F21" s="18">
        <f>Table1[[#This Row],[Adjusted % (W/Floors)]]*$F$70</f>
        <v>101021.58265865172</v>
      </c>
      <c r="G21" s="18">
        <f>Table1[[#This Row],[Adjusted % (W/Floors)]]*$G$70</f>
        <v>101021.58265865172</v>
      </c>
      <c r="H21" s="18">
        <f>Table1[[#This Row],[Adjusted % (W/Floors)]]*$H$70</f>
        <v>107881.03829869171</v>
      </c>
      <c r="I21" s="18">
        <f>Table1[[#This Row],[Adjusted % (W/Floors)]]*$I$70</f>
        <v>103573.08382968599</v>
      </c>
      <c r="J21" s="18">
        <f>Table1[[#This Row],[Adjusted % (W/Floors)]]*$J$70</f>
        <v>48526.094156380619</v>
      </c>
      <c r="K21" s="18">
        <f>Table1[[#This Row],[Adjusted % (W/Floors)]]*$K$70</f>
        <v>48526.094156380619</v>
      </c>
      <c r="L21" s="18">
        <f>Table1[[#This Row],[Adjusted % (W/Floors)]]*$L$70</f>
        <v>48526.094156380619</v>
      </c>
      <c r="M21" s="18">
        <f>Table1[[#This Row],[Adjusted % (W/Floors)]]*$M$70</f>
        <v>48526.094156380634</v>
      </c>
      <c r="N21" s="18">
        <f>Table1[[#This Row],[Adjusted % (W/Floors)]]*$N$70</f>
        <v>48526.094156380634</v>
      </c>
      <c r="O21" s="18">
        <f>Table1[[#This Row],[Adjusted % (W/Floors)]]*$O$70</f>
        <v>48526.094156380634</v>
      </c>
      <c r="P21" s="18">
        <f>SUM(Table1[[#This Row],[Payment 1]:[Payment 13]])</f>
        <v>1570235.3949602016</v>
      </c>
    </row>
    <row r="22" spans="1:16" x14ac:dyDescent="0.3">
      <c r="A22" t="s">
        <v>46</v>
      </c>
      <c r="B22">
        <v>1.0414773250363621E-2</v>
      </c>
      <c r="C22" s="18">
        <f>Table1[[#This Row],[Adjusted % (W/Floors)]]*$C$70</f>
        <v>1004309.8002266919</v>
      </c>
      <c r="D22" s="18">
        <f>Table1[[#This Row],[Adjusted % (W/Floors)]]*$D$70</f>
        <v>189816.74161456001</v>
      </c>
      <c r="E22" s="18">
        <f>Table1[[#This Row],[Adjusted % (W/Floors)]]*$E$70</f>
        <v>157780.36971961506</v>
      </c>
      <c r="F22" s="18">
        <f>Table1[[#This Row],[Adjusted % (W/Floors)]]*$F$70</f>
        <v>157780.36972296005</v>
      </c>
      <c r="G22" s="18">
        <f>Table1[[#This Row],[Adjusted % (W/Floors)]]*$G$70</f>
        <v>157780.36972296005</v>
      </c>
      <c r="H22" s="18">
        <f>Table1[[#This Row],[Adjusted % (W/Floors)]]*$H$70</f>
        <v>168493.79767073595</v>
      </c>
      <c r="I22" s="18">
        <f>Table1[[#This Row],[Adjusted % (W/Floors)]]*$I$70</f>
        <v>161765.42704951813</v>
      </c>
      <c r="J22" s="18">
        <f>Table1[[#This Row],[Adjusted % (W/Floors)]]*$J$70</f>
        <v>75790.389298055481</v>
      </c>
      <c r="K22" s="18">
        <f>Table1[[#This Row],[Adjusted % (W/Floors)]]*$K$70</f>
        <v>75790.389298055481</v>
      </c>
      <c r="L22" s="18">
        <f>Table1[[#This Row],[Adjusted % (W/Floors)]]*$L$70</f>
        <v>75790.389298055481</v>
      </c>
      <c r="M22" s="18">
        <f>Table1[[#This Row],[Adjusted % (W/Floors)]]*$M$70</f>
        <v>75790.389298055496</v>
      </c>
      <c r="N22" s="18">
        <f>Table1[[#This Row],[Adjusted % (W/Floors)]]*$N$70</f>
        <v>75790.389298055496</v>
      </c>
      <c r="O22" s="18">
        <f>Table1[[#This Row],[Adjusted % (W/Floors)]]*$O$70</f>
        <v>75790.389298055496</v>
      </c>
      <c r="P22" s="18">
        <f>SUM(Table1[[#This Row],[Payment 1]:[Payment 13]])</f>
        <v>2452469.2115153731</v>
      </c>
    </row>
    <row r="23" spans="1:16" x14ac:dyDescent="0.3">
      <c r="A23" t="s">
        <v>47</v>
      </c>
      <c r="B23">
        <v>1.6009732531945126E-2</v>
      </c>
      <c r="C23" s="18">
        <f>Table1[[#This Row],[Adjusted % (W/Floors)]]*$C$70</f>
        <v>1543838.823402056</v>
      </c>
      <c r="D23" s="18">
        <f>Table1[[#This Row],[Adjusted % (W/Floors)]]*$D$70</f>
        <v>291788.90315526963</v>
      </c>
      <c r="E23" s="18">
        <f>Table1[[#This Row],[Adjusted % (W/Floors)]]*$E$70</f>
        <v>242542.15212167558</v>
      </c>
      <c r="F23" s="18">
        <f>Table1[[#This Row],[Adjusted % (W/Floors)]]*$F$70</f>
        <v>242542.1521268175</v>
      </c>
      <c r="G23" s="18">
        <f>Table1[[#This Row],[Adjusted % (W/Floors)]]*$G$70</f>
        <v>242542.1521268175</v>
      </c>
      <c r="H23" s="18">
        <f>Table1[[#This Row],[Adjusted % (W/Floors)]]*$H$70</f>
        <v>259010.98076292532</v>
      </c>
      <c r="I23" s="18">
        <f>Table1[[#This Row],[Adjusted % (W/Floors)]]*$I$70</f>
        <v>248668.03700102115</v>
      </c>
      <c r="J23" s="18">
        <f>Table1[[#This Row],[Adjusted % (W/Floors)]]*$J$70</f>
        <v>116506.02773435327</v>
      </c>
      <c r="K23" s="18">
        <f>Table1[[#This Row],[Adjusted % (W/Floors)]]*$K$70</f>
        <v>116506.02773435327</v>
      </c>
      <c r="L23" s="18">
        <f>Table1[[#This Row],[Adjusted % (W/Floors)]]*$L$70</f>
        <v>116506.02773435327</v>
      </c>
      <c r="M23" s="18">
        <f>Table1[[#This Row],[Adjusted % (W/Floors)]]*$M$70</f>
        <v>116506.02773435329</v>
      </c>
      <c r="N23" s="18">
        <f>Table1[[#This Row],[Adjusted % (W/Floors)]]*$N$70</f>
        <v>116506.02773435329</v>
      </c>
      <c r="O23" s="18">
        <f>Table1[[#This Row],[Adjusted % (W/Floors)]]*$O$70</f>
        <v>116506.02773435329</v>
      </c>
      <c r="P23" s="18">
        <f>SUM(Table1[[#This Row],[Payment 1]:[Payment 13]])</f>
        <v>3769969.3671027021</v>
      </c>
    </row>
    <row r="24" spans="1:16" x14ac:dyDescent="0.3">
      <c r="A24" t="s">
        <v>48</v>
      </c>
      <c r="B24">
        <v>6.4277437366895854E-2</v>
      </c>
      <c r="C24" s="18">
        <f>Table1[[#This Row],[Adjusted % (W/Floors)]]*$C$70</f>
        <v>6198354.8493268471</v>
      </c>
      <c r="D24" s="18">
        <f>Table1[[#This Row],[Adjusted % (W/Floors)]]*$D$70</f>
        <v>1171502.5787903881</v>
      </c>
      <c r="E24" s="18">
        <f>Table1[[#This Row],[Adjusted % (W/Floors)]]*$E$70</f>
        <v>973781.91426530969</v>
      </c>
      <c r="F24" s="18">
        <f>Table1[[#This Row],[Adjusted % (W/Floors)]]*$F$70</f>
        <v>973781.91428595409</v>
      </c>
      <c r="G24" s="18">
        <f>Table1[[#This Row],[Adjusted % (W/Floors)]]*$G$70</f>
        <v>973781.91428595409</v>
      </c>
      <c r="H24" s="18">
        <f>Table1[[#This Row],[Adjusted % (W/Floors)]]*$H$70</f>
        <v>1039902.5755181969</v>
      </c>
      <c r="I24" s="18">
        <f>Table1[[#This Row],[Adjusted % (W/Floors)]]*$I$70</f>
        <v>998376.71501312137</v>
      </c>
      <c r="J24" s="18">
        <f>Table1[[#This Row],[Adjusted % (W/Floors)]]*$J$70</f>
        <v>467759.77584997617</v>
      </c>
      <c r="K24" s="18">
        <f>Table1[[#This Row],[Adjusted % (W/Floors)]]*$K$70</f>
        <v>467759.77584997617</v>
      </c>
      <c r="L24" s="18">
        <f>Table1[[#This Row],[Adjusted % (W/Floors)]]*$L$70</f>
        <v>467759.77584997617</v>
      </c>
      <c r="M24" s="18">
        <f>Table1[[#This Row],[Adjusted % (W/Floors)]]*$M$70</f>
        <v>467759.77584997629</v>
      </c>
      <c r="N24" s="18">
        <f>Table1[[#This Row],[Adjusted % (W/Floors)]]*$N$70</f>
        <v>467759.77584997629</v>
      </c>
      <c r="O24" s="18">
        <f>Table1[[#This Row],[Adjusted % (W/Floors)]]*$O$70</f>
        <v>467759.77584997629</v>
      </c>
      <c r="P24" s="18">
        <f>SUM(Table1[[#This Row],[Payment 1]:[Payment 13]])</f>
        <v>15136041.116585625</v>
      </c>
    </row>
    <row r="25" spans="1:16" x14ac:dyDescent="0.3">
      <c r="A25" t="s">
        <v>49</v>
      </c>
      <c r="B25">
        <v>1.6695435308618936E-3</v>
      </c>
      <c r="C25" s="18">
        <f>Table1[[#This Row],[Adjusted % (W/Floors)]]*$C$70</f>
        <v>160996.20122705339</v>
      </c>
      <c r="D25" s="18">
        <f>Table1[[#This Row],[Adjusted % (W/Floors)]]*$D$70</f>
        <v>30428.632999840662</v>
      </c>
      <c r="E25" s="18">
        <f>Table1[[#This Row],[Adjusted % (W/Floors)]]*$E$70</f>
        <v>25293.032236989322</v>
      </c>
      <c r="F25" s="18">
        <f>Table1[[#This Row],[Adjusted % (W/Floors)]]*$F$70</f>
        <v>25293.032237525542</v>
      </c>
      <c r="G25" s="18">
        <f>Table1[[#This Row],[Adjusted % (W/Floors)]]*$G$70</f>
        <v>25293.032237525542</v>
      </c>
      <c r="H25" s="18">
        <f>Table1[[#This Row],[Adjusted % (W/Floors)]]*$H$70</f>
        <v>27010.451704429419</v>
      </c>
      <c r="I25" s="18">
        <f>Table1[[#This Row],[Adjusted % (W/Floors)]]*$I$70</f>
        <v>25931.85811685388</v>
      </c>
      <c r="J25" s="18">
        <f>Table1[[#This Row],[Adjusted % (W/Floors)]]*$J$70</f>
        <v>12149.602407297267</v>
      </c>
      <c r="K25" s="18">
        <f>Table1[[#This Row],[Adjusted % (W/Floors)]]*$K$70</f>
        <v>12149.602407297267</v>
      </c>
      <c r="L25" s="18">
        <f>Table1[[#This Row],[Adjusted % (W/Floors)]]*$L$70</f>
        <v>12149.602407297267</v>
      </c>
      <c r="M25" s="18">
        <f>Table1[[#This Row],[Adjusted % (W/Floors)]]*$M$70</f>
        <v>12149.60240729727</v>
      </c>
      <c r="N25" s="18">
        <f>Table1[[#This Row],[Adjusted % (W/Floors)]]*$N$70</f>
        <v>12149.60240729727</v>
      </c>
      <c r="O25" s="18">
        <f>Table1[[#This Row],[Adjusted % (W/Floors)]]*$O$70</f>
        <v>12149.60240729727</v>
      </c>
      <c r="P25" s="18">
        <f>SUM(Table1[[#This Row],[Payment 1]:[Payment 13]])</f>
        <v>393143.85520400148</v>
      </c>
    </row>
    <row r="26" spans="1:16" x14ac:dyDescent="0.3">
      <c r="A26" t="s">
        <v>50</v>
      </c>
      <c r="B26">
        <v>2.0382346677401429E-2</v>
      </c>
      <c r="C26" s="18">
        <f>Table1[[#This Row],[Adjusted % (W/Floors)]]*$C$70</f>
        <v>1965495.5540215445</v>
      </c>
      <c r="D26" s="18">
        <f>Table1[[#This Row],[Adjusted % (W/Floors)]]*$D$70</f>
        <v>371482.94444409665</v>
      </c>
      <c r="E26" s="18">
        <f>Table1[[#This Row],[Adjusted % (W/Floors)]]*$E$70</f>
        <v>308785.81004166213</v>
      </c>
      <c r="F26" s="18">
        <f>Table1[[#This Row],[Adjusted % (W/Floors)]]*$F$70</f>
        <v>308785.81004820846</v>
      </c>
      <c r="G26" s="18">
        <f>Table1[[#This Row],[Adjusted % (W/Floors)]]*$G$70</f>
        <v>308785.81004820846</v>
      </c>
      <c r="H26" s="18">
        <f>Table1[[#This Row],[Adjusted % (W/Floors)]]*$H$70</f>
        <v>329752.64218997455</v>
      </c>
      <c r="I26" s="18">
        <f>Table1[[#This Row],[Adjusted % (W/Floors)]]*$I$70</f>
        <v>316584.81037271279</v>
      </c>
      <c r="J26" s="18">
        <f>Table1[[#This Row],[Adjusted % (W/Floors)]]*$J$70</f>
        <v>148326.4159816679</v>
      </c>
      <c r="K26" s="18">
        <f>Table1[[#This Row],[Adjusted % (W/Floors)]]*$K$70</f>
        <v>148326.4159816679</v>
      </c>
      <c r="L26" s="18">
        <f>Table1[[#This Row],[Adjusted % (W/Floors)]]*$L$70</f>
        <v>148326.4159816679</v>
      </c>
      <c r="M26" s="18">
        <f>Table1[[#This Row],[Adjusted % (W/Floors)]]*$M$70</f>
        <v>148326.41598166796</v>
      </c>
      <c r="N26" s="18">
        <f>Table1[[#This Row],[Adjusted % (W/Floors)]]*$N$70</f>
        <v>148326.41598166796</v>
      </c>
      <c r="O26" s="18">
        <f>Table1[[#This Row],[Adjusted % (W/Floors)]]*$O$70</f>
        <v>148326.41598166796</v>
      </c>
      <c r="P26" s="18">
        <f>SUM(Table1[[#This Row],[Payment 1]:[Payment 13]])</f>
        <v>4799631.8770564161</v>
      </c>
    </row>
    <row r="27" spans="1:16" x14ac:dyDescent="0.3">
      <c r="A27" t="s">
        <v>51</v>
      </c>
      <c r="B27">
        <v>1.3396101596298053E-2</v>
      </c>
      <c r="C27" s="18">
        <f>Table1[[#This Row],[Adjusted % (W/Floors)]]*$C$70</f>
        <v>1291803.0757438564</v>
      </c>
      <c r="D27" s="18">
        <f>Table1[[#This Row],[Adjusted % (W/Floors)]]*$D$70</f>
        <v>244153.59741587489</v>
      </c>
      <c r="E27" s="18">
        <f>Table1[[#This Row],[Adjusted % (W/Floors)]]*$E$70</f>
        <v>202946.50798966139</v>
      </c>
      <c r="F27" s="18">
        <f>Table1[[#This Row],[Adjusted % (W/Floors)]]*$F$70</f>
        <v>202946.5079939639</v>
      </c>
      <c r="G27" s="18">
        <f>Table1[[#This Row],[Adjusted % (W/Floors)]]*$G$70</f>
        <v>202946.5079939639</v>
      </c>
      <c r="H27" s="18">
        <f>Table1[[#This Row],[Adjusted % (W/Floors)]]*$H$70</f>
        <v>216726.75704816336</v>
      </c>
      <c r="I27" s="18">
        <f>Table1[[#This Row],[Adjusted % (W/Floors)]]*$I$70</f>
        <v>208072.32605359185</v>
      </c>
      <c r="J27" s="18">
        <f>Table1[[#This Row],[Adjusted % (W/Floors)]]*$J$70</f>
        <v>97486.112337998711</v>
      </c>
      <c r="K27" s="18">
        <f>Table1[[#This Row],[Adjusted % (W/Floors)]]*$K$70</f>
        <v>97486.112337998711</v>
      </c>
      <c r="L27" s="18">
        <f>Table1[[#This Row],[Adjusted % (W/Floors)]]*$L$70</f>
        <v>97486.112337998711</v>
      </c>
      <c r="M27" s="18">
        <f>Table1[[#This Row],[Adjusted % (W/Floors)]]*$M$70</f>
        <v>97486.11233799874</v>
      </c>
      <c r="N27" s="18">
        <f>Table1[[#This Row],[Adjusted % (W/Floors)]]*$N$70</f>
        <v>97486.11233799874</v>
      </c>
      <c r="O27" s="18">
        <f>Table1[[#This Row],[Adjusted % (W/Floors)]]*$O$70</f>
        <v>97486.11233799874</v>
      </c>
      <c r="P27" s="18">
        <f>SUM(Table1[[#This Row],[Payment 1]:[Payment 13]])</f>
        <v>3154511.9542670674</v>
      </c>
    </row>
    <row r="28" spans="1:16" x14ac:dyDescent="0.3">
      <c r="A28" t="s">
        <v>52</v>
      </c>
      <c r="B28">
        <v>1.4285891185863999E-3</v>
      </c>
      <c r="C28" s="18">
        <f>Table1[[#This Row],[Adjusted % (W/Floors)]]*$C$70</f>
        <v>137760.66149528898</v>
      </c>
      <c r="D28" s="18">
        <f>Table1[[#This Row],[Adjusted % (W/Floors)]]*$D$70</f>
        <v>26037.065337607717</v>
      </c>
      <c r="E28" s="18">
        <f>Table1[[#This Row],[Adjusted % (W/Floors)]]*$E$70</f>
        <v>21642.652594487496</v>
      </c>
      <c r="F28" s="18">
        <f>Table1[[#This Row],[Adjusted % (W/Floors)]]*$F$70</f>
        <v>21642.652594946325</v>
      </c>
      <c r="G28" s="18">
        <f>Table1[[#This Row],[Adjusted % (W/Floors)]]*$G$70</f>
        <v>21642.652594946325</v>
      </c>
      <c r="H28" s="18">
        <f>Table1[[#This Row],[Adjusted % (W/Floors)]]*$H$70</f>
        <v>23112.20802558594</v>
      </c>
      <c r="I28" s="18">
        <f>Table1[[#This Row],[Adjusted % (W/Floors)]]*$I$70</f>
        <v>22189.280869687216</v>
      </c>
      <c r="J28" s="18">
        <f>Table1[[#This Row],[Adjusted % (W/Floors)]]*$J$70</f>
        <v>10396.128925884099</v>
      </c>
      <c r="K28" s="18">
        <f>Table1[[#This Row],[Adjusted % (W/Floors)]]*$K$70</f>
        <v>10396.128925884099</v>
      </c>
      <c r="L28" s="18">
        <f>Table1[[#This Row],[Adjusted % (W/Floors)]]*$L$70</f>
        <v>10396.128925884099</v>
      </c>
      <c r="M28" s="18">
        <f>Table1[[#This Row],[Adjusted % (W/Floors)]]*$M$70</f>
        <v>10396.128925884103</v>
      </c>
      <c r="N28" s="18">
        <f>Table1[[#This Row],[Adjusted % (W/Floors)]]*$N$70</f>
        <v>10396.128925884103</v>
      </c>
      <c r="O28" s="18">
        <f>Table1[[#This Row],[Adjusted % (W/Floors)]]*$O$70</f>
        <v>10396.128925884103</v>
      </c>
      <c r="P28" s="18">
        <f>SUM(Table1[[#This Row],[Payment 1]:[Payment 13]])</f>
        <v>336403.94706785452</v>
      </c>
    </row>
    <row r="29" spans="1:16" x14ac:dyDescent="0.3">
      <c r="A29" t="s">
        <v>53</v>
      </c>
      <c r="B29">
        <v>5.108008966031025E-3</v>
      </c>
      <c r="C29" s="18">
        <f>Table1[[#This Row],[Adjusted % (W/Floors)]]*$C$70</f>
        <v>492571.78633741837</v>
      </c>
      <c r="D29" s="18">
        <f>Table1[[#This Row],[Adjusted % (W/Floors)]]*$D$70</f>
        <v>93097.141412667319</v>
      </c>
      <c r="E29" s="18">
        <f>Table1[[#This Row],[Adjusted % (W/Floors)]]*$E$70</f>
        <v>77384.64619605089</v>
      </c>
      <c r="F29" s="18">
        <f>Table1[[#This Row],[Adjusted % (W/Floors)]]*$F$70</f>
        <v>77384.646197691458</v>
      </c>
      <c r="G29" s="18">
        <f>Table1[[#This Row],[Adjusted % (W/Floors)]]*$G$70</f>
        <v>77384.646197691458</v>
      </c>
      <c r="H29" s="18">
        <f>Table1[[#This Row],[Adjusted % (W/Floors)]]*$H$70</f>
        <v>82639.132752380116</v>
      </c>
      <c r="I29" s="18">
        <f>Table1[[#This Row],[Adjusted % (W/Floors)]]*$I$70</f>
        <v>79339.14948498056</v>
      </c>
      <c r="J29" s="18">
        <f>Table1[[#This Row],[Adjusted % (W/Floors)]]*$J$70</f>
        <v>37172.003534491996</v>
      </c>
      <c r="K29" s="18">
        <f>Table1[[#This Row],[Adjusted % (W/Floors)]]*$K$70</f>
        <v>37172.003534491996</v>
      </c>
      <c r="L29" s="18">
        <f>Table1[[#This Row],[Adjusted % (W/Floors)]]*$L$70</f>
        <v>37172.003534491996</v>
      </c>
      <c r="M29" s="18">
        <f>Table1[[#This Row],[Adjusted % (W/Floors)]]*$M$70</f>
        <v>37172.003534492011</v>
      </c>
      <c r="N29" s="18">
        <f>Table1[[#This Row],[Adjusted % (W/Floors)]]*$N$70</f>
        <v>37172.003534492011</v>
      </c>
      <c r="O29" s="18">
        <f>Table1[[#This Row],[Adjusted % (W/Floors)]]*$O$70</f>
        <v>37172.003534492011</v>
      </c>
      <c r="P29" s="18">
        <f>SUM(Table1[[#This Row],[Payment 1]:[Payment 13]])</f>
        <v>1202833.1697858325</v>
      </c>
    </row>
    <row r="30" spans="1:16" x14ac:dyDescent="0.3">
      <c r="A30" t="s">
        <v>54</v>
      </c>
      <c r="B30">
        <v>1.4285891185863999E-3</v>
      </c>
      <c r="C30" s="18">
        <f>Table1[[#This Row],[Adjusted % (W/Floors)]]*$C$70</f>
        <v>137760.66149528898</v>
      </c>
      <c r="D30" s="18">
        <f>Table1[[#This Row],[Adjusted % (W/Floors)]]*$D$70</f>
        <v>26037.065337607717</v>
      </c>
      <c r="E30" s="18">
        <f>Table1[[#This Row],[Adjusted % (W/Floors)]]*$E$70</f>
        <v>21642.652594487496</v>
      </c>
      <c r="F30" s="18">
        <f>Table1[[#This Row],[Adjusted % (W/Floors)]]*$F$70</f>
        <v>21642.652594946325</v>
      </c>
      <c r="G30" s="18">
        <f>Table1[[#This Row],[Adjusted % (W/Floors)]]*$G$70</f>
        <v>21642.652594946325</v>
      </c>
      <c r="H30" s="18">
        <f>Table1[[#This Row],[Adjusted % (W/Floors)]]*$H$70</f>
        <v>23112.20802558594</v>
      </c>
      <c r="I30" s="18">
        <f>Table1[[#This Row],[Adjusted % (W/Floors)]]*$I$70</f>
        <v>22189.280869687216</v>
      </c>
      <c r="J30" s="18">
        <f>Table1[[#This Row],[Adjusted % (W/Floors)]]*$J$70</f>
        <v>10396.128925884099</v>
      </c>
      <c r="K30" s="18">
        <f>Table1[[#This Row],[Adjusted % (W/Floors)]]*$K$70</f>
        <v>10396.128925884099</v>
      </c>
      <c r="L30" s="18">
        <f>Table1[[#This Row],[Adjusted % (W/Floors)]]*$L$70</f>
        <v>10396.128925884099</v>
      </c>
      <c r="M30" s="18">
        <f>Table1[[#This Row],[Adjusted % (W/Floors)]]*$M$70</f>
        <v>10396.128925884103</v>
      </c>
      <c r="N30" s="18">
        <f>Table1[[#This Row],[Adjusted % (W/Floors)]]*$N$70</f>
        <v>10396.128925884103</v>
      </c>
      <c r="O30" s="18">
        <f>Table1[[#This Row],[Adjusted % (W/Floors)]]*$O$70</f>
        <v>10396.128925884103</v>
      </c>
      <c r="P30" s="18">
        <f>SUM(Table1[[#This Row],[Payment 1]:[Payment 13]])</f>
        <v>336403.94706785452</v>
      </c>
    </row>
    <row r="31" spans="1:16" x14ac:dyDescent="0.3">
      <c r="A31" t="s">
        <v>55</v>
      </c>
      <c r="B31">
        <v>2.0372409411492541E-3</v>
      </c>
      <c r="C31" s="18">
        <f>Table1[[#This Row],[Adjusted % (W/Floors)]]*$C$70</f>
        <v>196453.72908601831</v>
      </c>
      <c r="D31" s="18">
        <f>Table1[[#This Row],[Adjusted % (W/Floors)]]*$D$70</f>
        <v>37130.183061760821</v>
      </c>
      <c r="E31" s="18">
        <f>Table1[[#This Row],[Adjusted % (W/Floors)]]*$E$70</f>
        <v>30863.526375021487</v>
      </c>
      <c r="F31" s="18">
        <f>Table1[[#This Row],[Adjusted % (W/Floors)]]*$F$70</f>
        <v>30863.526375675799</v>
      </c>
      <c r="G31" s="18">
        <f>Table1[[#This Row],[Adjusted % (W/Floors)]]*$G$70</f>
        <v>30863.526375675799</v>
      </c>
      <c r="H31" s="18">
        <f>Table1[[#This Row],[Adjusted % (W/Floors)]]*$H$70</f>
        <v>32959.187367094855</v>
      </c>
      <c r="I31" s="18">
        <f>Table1[[#This Row],[Adjusted % (W/Floors)]]*$I$70</f>
        <v>31643.046173498326</v>
      </c>
      <c r="J31" s="18">
        <f>Table1[[#This Row],[Adjusted % (W/Floors)]]*$J$70</f>
        <v>14825.410050885945</v>
      </c>
      <c r="K31" s="18">
        <f>Table1[[#This Row],[Adjusted % (W/Floors)]]*$K$70</f>
        <v>14825.410050885945</v>
      </c>
      <c r="L31" s="18">
        <f>Table1[[#This Row],[Adjusted % (W/Floors)]]*$L$70</f>
        <v>14825.410050885945</v>
      </c>
      <c r="M31" s="18">
        <f>Table1[[#This Row],[Adjusted % (W/Floors)]]*$M$70</f>
        <v>14825.410050885948</v>
      </c>
      <c r="N31" s="18">
        <f>Table1[[#This Row],[Adjusted % (W/Floors)]]*$N$70</f>
        <v>14825.410050885948</v>
      </c>
      <c r="O31" s="18">
        <f>Table1[[#This Row],[Adjusted % (W/Floors)]]*$O$70</f>
        <v>14825.410050885948</v>
      </c>
      <c r="P31" s="18">
        <f>SUM(Table1[[#This Row],[Payment 1]:[Payment 13]])</f>
        <v>479729.18512006098</v>
      </c>
    </row>
    <row r="32" spans="1:16" x14ac:dyDescent="0.3">
      <c r="A32" t="s">
        <v>56</v>
      </c>
      <c r="B32">
        <v>1.7788591702161249E-3</v>
      </c>
      <c r="C32" s="18">
        <f>Table1[[#This Row],[Adjusted % (W/Floors)]]*$C$70</f>
        <v>171537.64704467289</v>
      </c>
      <c r="D32" s="18">
        <f>Table1[[#This Row],[Adjusted % (W/Floors)]]*$D$70</f>
        <v>32420.989239474402</v>
      </c>
      <c r="E32" s="18">
        <f>Table1[[#This Row],[Adjusted % (W/Floors)]]*$E$70</f>
        <v>26949.128013519505</v>
      </c>
      <c r="F32" s="18">
        <f>Table1[[#This Row],[Adjusted % (W/Floors)]]*$F$70</f>
        <v>26949.128014090831</v>
      </c>
      <c r="G32" s="18">
        <f>Table1[[#This Row],[Adjusted % (W/Floors)]]*$G$70</f>
        <v>26949.128014090831</v>
      </c>
      <c r="H32" s="18">
        <f>Table1[[#This Row],[Adjusted % (W/Floors)]]*$H$70</f>
        <v>28778.997862547254</v>
      </c>
      <c r="I32" s="18">
        <f>Table1[[#This Row],[Adjusted % (W/Floors)]]*$I$70</f>
        <v>27629.781889002345</v>
      </c>
      <c r="J32" s="18">
        <f>Table1[[#This Row],[Adjusted % (W/Floors)]]*$J$70</f>
        <v>12945.114192705918</v>
      </c>
      <c r="K32" s="18">
        <f>Table1[[#This Row],[Adjusted % (W/Floors)]]*$K$70</f>
        <v>12945.114192705918</v>
      </c>
      <c r="L32" s="18">
        <f>Table1[[#This Row],[Adjusted % (W/Floors)]]*$L$70</f>
        <v>12945.114192705918</v>
      </c>
      <c r="M32" s="18">
        <f>Table1[[#This Row],[Adjusted % (W/Floors)]]*$M$70</f>
        <v>12945.11419270592</v>
      </c>
      <c r="N32" s="18">
        <f>Table1[[#This Row],[Adjusted % (W/Floors)]]*$N$70</f>
        <v>12945.11419270592</v>
      </c>
      <c r="O32" s="18">
        <f>Table1[[#This Row],[Adjusted % (W/Floors)]]*$O$70</f>
        <v>12945.11419270592</v>
      </c>
      <c r="P32" s="18">
        <f>SUM(Table1[[#This Row],[Payment 1]:[Payment 13]])</f>
        <v>418885.48523363343</v>
      </c>
    </row>
    <row r="33" spans="1:16" x14ac:dyDescent="0.3">
      <c r="A33" t="s">
        <v>57</v>
      </c>
      <c r="B33">
        <v>6.7874911913909245E-3</v>
      </c>
      <c r="C33" s="18">
        <f>Table1[[#This Row],[Adjusted % (W/Floors)]]*$C$70</f>
        <v>654526.38848649454</v>
      </c>
      <c r="D33" s="18">
        <f>Table1[[#This Row],[Adjusted % (W/Floors)]]*$D$70</f>
        <v>123706.91427606173</v>
      </c>
      <c r="E33" s="18">
        <f>Table1[[#This Row],[Adjusted % (W/Floors)]]*$E$70</f>
        <v>102828.24636714008</v>
      </c>
      <c r="F33" s="18">
        <f>Table1[[#This Row],[Adjusted % (W/Floors)]]*$F$70</f>
        <v>102828.24636932006</v>
      </c>
      <c r="G33" s="18">
        <f>Table1[[#This Row],[Adjusted % (W/Floors)]]*$G$70</f>
        <v>102828.24636932006</v>
      </c>
      <c r="H33" s="18">
        <f>Table1[[#This Row],[Adjusted % (W/Floors)]]*$H$70</f>
        <v>109810.37608804354</v>
      </c>
      <c r="I33" s="18">
        <f>Table1[[#This Row],[Adjusted % (W/Floors)]]*$I$70</f>
        <v>105425.37842884487</v>
      </c>
      <c r="J33" s="18">
        <f>Table1[[#This Row],[Adjusted % (W/Floors)]]*$J$70</f>
        <v>49393.931810726644</v>
      </c>
      <c r="K33" s="18">
        <f>Table1[[#This Row],[Adjusted % (W/Floors)]]*$K$70</f>
        <v>49393.931810726644</v>
      </c>
      <c r="L33" s="18">
        <f>Table1[[#This Row],[Adjusted % (W/Floors)]]*$L$70</f>
        <v>49393.931810726644</v>
      </c>
      <c r="M33" s="18">
        <f>Table1[[#This Row],[Adjusted % (W/Floors)]]*$M$70</f>
        <v>49393.931810726659</v>
      </c>
      <c r="N33" s="18">
        <f>Table1[[#This Row],[Adjusted % (W/Floors)]]*$N$70</f>
        <v>49393.931810726659</v>
      </c>
      <c r="O33" s="18">
        <f>Table1[[#This Row],[Adjusted % (W/Floors)]]*$O$70</f>
        <v>49393.931810726659</v>
      </c>
      <c r="P33" s="18">
        <f>SUM(Table1[[#This Row],[Payment 1]:[Payment 13]])</f>
        <v>1598317.3872495848</v>
      </c>
    </row>
    <row r="34" spans="1:16" x14ac:dyDescent="0.3">
      <c r="A34" t="s">
        <v>58</v>
      </c>
      <c r="B34">
        <v>1.8782361150723507E-3</v>
      </c>
      <c r="C34" s="18">
        <f>Table1[[#This Row],[Adjusted % (W/Floors)]]*$C$70</f>
        <v>181120.69194026967</v>
      </c>
      <c r="D34" s="18">
        <f>Table1[[#This Row],[Adjusted % (W/Floors)]]*$D$70</f>
        <v>34232.205615554405</v>
      </c>
      <c r="E34" s="18">
        <f>Table1[[#This Row],[Adjusted % (W/Floors)]]*$E$70</f>
        <v>28454.655855949841</v>
      </c>
      <c r="F34" s="18">
        <f>Table1[[#This Row],[Adjusted % (W/Floors)]]*$F$70</f>
        <v>28454.655856553083</v>
      </c>
      <c r="G34" s="18">
        <f>Table1[[#This Row],[Adjusted % (W/Floors)]]*$G$70</f>
        <v>28454.655856553083</v>
      </c>
      <c r="H34" s="18">
        <f>Table1[[#This Row],[Adjusted % (W/Floors)]]*$H$70</f>
        <v>30386.752389431091</v>
      </c>
      <c r="I34" s="18">
        <f>Table1[[#This Row],[Adjusted % (W/Floors)]]*$I$70</f>
        <v>29173.334834140398</v>
      </c>
      <c r="J34" s="18">
        <f>Table1[[#This Row],[Adjusted % (W/Floors)]]*$J$70</f>
        <v>13668.300109177193</v>
      </c>
      <c r="K34" s="18">
        <f>Table1[[#This Row],[Adjusted % (W/Floors)]]*$K$70</f>
        <v>13668.300109177193</v>
      </c>
      <c r="L34" s="18">
        <f>Table1[[#This Row],[Adjusted % (W/Floors)]]*$L$70</f>
        <v>13668.300109177193</v>
      </c>
      <c r="M34" s="18">
        <f>Table1[[#This Row],[Adjusted % (W/Floors)]]*$M$70</f>
        <v>13668.300109177197</v>
      </c>
      <c r="N34" s="18">
        <f>Table1[[#This Row],[Adjusted % (W/Floors)]]*$N$70</f>
        <v>13668.300109177197</v>
      </c>
      <c r="O34" s="18">
        <f>Table1[[#This Row],[Adjusted % (W/Floors)]]*$O$70</f>
        <v>13668.300109177197</v>
      </c>
      <c r="P34" s="18">
        <f>SUM(Table1[[#This Row],[Payment 1]:[Payment 13]])</f>
        <v>442286.75300351466</v>
      </c>
    </row>
    <row r="35" spans="1:16" x14ac:dyDescent="0.3">
      <c r="A35" t="s">
        <v>59</v>
      </c>
      <c r="B35">
        <v>1.4285891185863999E-3</v>
      </c>
      <c r="C35" s="18">
        <f>Table1[[#This Row],[Adjusted % (W/Floors)]]*$C$70</f>
        <v>137760.66149528898</v>
      </c>
      <c r="D35" s="18">
        <f>Table1[[#This Row],[Adjusted % (W/Floors)]]*$D$70</f>
        <v>26037.065337607717</v>
      </c>
      <c r="E35" s="18">
        <f>Table1[[#This Row],[Adjusted % (W/Floors)]]*$E$70</f>
        <v>21642.652594487496</v>
      </c>
      <c r="F35" s="18">
        <f>Table1[[#This Row],[Adjusted % (W/Floors)]]*$F$70</f>
        <v>21642.652594946325</v>
      </c>
      <c r="G35" s="18">
        <f>Table1[[#This Row],[Adjusted % (W/Floors)]]*$G$70</f>
        <v>21642.652594946325</v>
      </c>
      <c r="H35" s="18">
        <f>Table1[[#This Row],[Adjusted % (W/Floors)]]*$H$70</f>
        <v>23112.20802558594</v>
      </c>
      <c r="I35" s="18">
        <f>Table1[[#This Row],[Adjusted % (W/Floors)]]*$I$70</f>
        <v>22189.280869687216</v>
      </c>
      <c r="J35" s="18">
        <f>Table1[[#This Row],[Adjusted % (W/Floors)]]*$J$70</f>
        <v>10396.128925884099</v>
      </c>
      <c r="K35" s="18">
        <f>Table1[[#This Row],[Adjusted % (W/Floors)]]*$K$70</f>
        <v>10396.128925884099</v>
      </c>
      <c r="L35" s="18">
        <f>Table1[[#This Row],[Adjusted % (W/Floors)]]*$L$70</f>
        <v>10396.128925884099</v>
      </c>
      <c r="M35" s="18">
        <f>Table1[[#This Row],[Adjusted % (W/Floors)]]*$M$70</f>
        <v>10396.128925884103</v>
      </c>
      <c r="N35" s="18">
        <f>Table1[[#This Row],[Adjusted % (W/Floors)]]*$N$70</f>
        <v>10396.128925884103</v>
      </c>
      <c r="O35" s="18">
        <f>Table1[[#This Row],[Adjusted % (W/Floors)]]*$O$70</f>
        <v>10396.128925884103</v>
      </c>
      <c r="P35" s="18">
        <f>SUM(Table1[[#This Row],[Payment 1]:[Payment 13]])</f>
        <v>336403.94706785452</v>
      </c>
    </row>
    <row r="36" spans="1:16" x14ac:dyDescent="0.3">
      <c r="A36" t="s">
        <v>60</v>
      </c>
      <c r="B36">
        <v>1.3843301419623864E-2</v>
      </c>
      <c r="C36" s="18">
        <f>Table1[[#This Row],[Adjusted % (W/Floors)]]*$C$70</f>
        <v>1334927.1221756956</v>
      </c>
      <c r="D36" s="18">
        <f>Table1[[#This Row],[Adjusted % (W/Floors)]]*$D$70</f>
        <v>252304.13620089824</v>
      </c>
      <c r="E36" s="18">
        <f>Table1[[#This Row],[Adjusted % (W/Floors)]]*$E$70</f>
        <v>209721.43738722935</v>
      </c>
      <c r="F36" s="18">
        <f>Table1[[#This Row],[Adjusted % (W/Floors)]]*$F$70</f>
        <v>209721.43739167548</v>
      </c>
      <c r="G36" s="18">
        <f>Table1[[#This Row],[Adjusted % (W/Floors)]]*$G$70</f>
        <v>209721.43739167548</v>
      </c>
      <c r="H36" s="18">
        <f>Table1[[#This Row],[Adjusted % (W/Floors)]]*$H$70</f>
        <v>223961.71019966065</v>
      </c>
      <c r="I36" s="18">
        <f>Table1[[#This Row],[Adjusted % (W/Floors)]]*$I$70</f>
        <v>215018.36977991523</v>
      </c>
      <c r="J36" s="18">
        <f>Table1[[#This Row],[Adjusted % (W/Floors)]]*$J$70</f>
        <v>100740.47495244176</v>
      </c>
      <c r="K36" s="18">
        <f>Table1[[#This Row],[Adjusted % (W/Floors)]]*$K$70</f>
        <v>100740.47495244176</v>
      </c>
      <c r="L36" s="18">
        <f>Table1[[#This Row],[Adjusted % (W/Floors)]]*$L$70</f>
        <v>100740.47495244176</v>
      </c>
      <c r="M36" s="18">
        <f>Table1[[#This Row],[Adjusted % (W/Floors)]]*$M$70</f>
        <v>100740.47495244179</v>
      </c>
      <c r="N36" s="18">
        <f>Table1[[#This Row],[Adjusted % (W/Floors)]]*$N$70</f>
        <v>100740.47495244179</v>
      </c>
      <c r="O36" s="18">
        <f>Table1[[#This Row],[Adjusted % (W/Floors)]]*$O$70</f>
        <v>100740.47495244179</v>
      </c>
      <c r="P36" s="18">
        <f>SUM(Table1[[#This Row],[Payment 1]:[Payment 13]])</f>
        <v>3259818.5002413997</v>
      </c>
    </row>
    <row r="37" spans="1:16" x14ac:dyDescent="0.3">
      <c r="A37" t="s">
        <v>61</v>
      </c>
      <c r="B37">
        <v>2.2518965991996025E-2</v>
      </c>
      <c r="C37" s="18">
        <f>Table1[[#This Row],[Adjusted % (W/Floors)]]*$C$70</f>
        <v>2171532.4657638208</v>
      </c>
      <c r="D37" s="18">
        <f>Table1[[#This Row],[Adjusted % (W/Floors)]]*$D$70</f>
        <v>410424.36991900275</v>
      </c>
      <c r="E37" s="18">
        <f>Table1[[#This Row],[Adjusted % (W/Floors)]]*$E$70</f>
        <v>341154.88590176654</v>
      </c>
      <c r="F37" s="18">
        <f>Table1[[#This Row],[Adjusted % (W/Floors)]]*$F$70</f>
        <v>341154.88590899907</v>
      </c>
      <c r="G37" s="18">
        <f>Table1[[#This Row],[Adjusted % (W/Floors)]]*$G$70</f>
        <v>341154.88590899907</v>
      </c>
      <c r="H37" s="18">
        <f>Table1[[#This Row],[Adjusted % (W/Floors)]]*$H$70</f>
        <v>364319.60719616123</v>
      </c>
      <c r="I37" s="18">
        <f>Table1[[#This Row],[Adjusted % (W/Floors)]]*$I$70</f>
        <v>349771.43168063002</v>
      </c>
      <c r="J37" s="18">
        <f>Table1[[#This Row],[Adjusted % (W/Floors)]]*$J$70</f>
        <v>163875.02234515405</v>
      </c>
      <c r="K37" s="18">
        <f>Table1[[#This Row],[Adjusted % (W/Floors)]]*$K$70</f>
        <v>163875.02234515405</v>
      </c>
      <c r="L37" s="18">
        <f>Table1[[#This Row],[Adjusted % (W/Floors)]]*$L$70</f>
        <v>163875.02234515405</v>
      </c>
      <c r="M37" s="18">
        <f>Table1[[#This Row],[Adjusted % (W/Floors)]]*$M$70</f>
        <v>163875.02234515408</v>
      </c>
      <c r="N37" s="18">
        <f>Table1[[#This Row],[Adjusted % (W/Floors)]]*$N$70</f>
        <v>163875.02234515408</v>
      </c>
      <c r="O37" s="18">
        <f>Table1[[#This Row],[Adjusted % (W/Floors)]]*$O$70</f>
        <v>163875.02234515408</v>
      </c>
      <c r="P37" s="18">
        <f>SUM(Table1[[#This Row],[Payment 1]:[Payment 13]])</f>
        <v>5302762.6663503014</v>
      </c>
    </row>
    <row r="38" spans="1:16" x14ac:dyDescent="0.3">
      <c r="A38" t="s">
        <v>62</v>
      </c>
      <c r="B38">
        <v>9.8284459899569149E-3</v>
      </c>
      <c r="C38" s="18">
        <f>Table1[[#This Row],[Adjusted % (W/Floors)]]*$C$70</f>
        <v>947769.51849314931</v>
      </c>
      <c r="D38" s="18">
        <f>Table1[[#This Row],[Adjusted % (W/Floors)]]*$D$70</f>
        <v>179130.50511043766</v>
      </c>
      <c r="E38" s="18">
        <f>Table1[[#This Row],[Adjusted % (W/Floors)]]*$E$70</f>
        <v>148897.70567117509</v>
      </c>
      <c r="F38" s="18">
        <f>Table1[[#This Row],[Adjusted % (W/Floors)]]*$F$70</f>
        <v>148897.70567433178</v>
      </c>
      <c r="G38" s="18">
        <f>Table1[[#This Row],[Adjusted % (W/Floors)]]*$G$70</f>
        <v>148897.70567433178</v>
      </c>
      <c r="H38" s="18">
        <f>Table1[[#This Row],[Adjusted % (W/Floors)]]*$H$70</f>
        <v>159007.99280404285</v>
      </c>
      <c r="I38" s="18">
        <f>Table1[[#This Row],[Adjusted % (W/Floors)]]*$I$70</f>
        <v>152658.41363785759</v>
      </c>
      <c r="J38" s="18">
        <f>Table1[[#This Row],[Adjusted % (W/Floors)]]*$J$70</f>
        <v>71523.56847977842</v>
      </c>
      <c r="K38" s="18">
        <f>Table1[[#This Row],[Adjusted % (W/Floors)]]*$K$70</f>
        <v>71523.56847977842</v>
      </c>
      <c r="L38" s="18">
        <f>Table1[[#This Row],[Adjusted % (W/Floors)]]*$L$70</f>
        <v>71523.56847977842</v>
      </c>
      <c r="M38" s="18">
        <f>Table1[[#This Row],[Adjusted % (W/Floors)]]*$M$70</f>
        <v>71523.568479778434</v>
      </c>
      <c r="N38" s="18">
        <f>Table1[[#This Row],[Adjusted % (W/Floors)]]*$N$70</f>
        <v>71523.568479778434</v>
      </c>
      <c r="O38" s="18">
        <f>Table1[[#This Row],[Adjusted % (W/Floors)]]*$O$70</f>
        <v>71523.568479778434</v>
      </c>
      <c r="P38" s="18">
        <f>SUM(Table1[[#This Row],[Payment 1]:[Payment 13]])</f>
        <v>2314400.9579439964</v>
      </c>
    </row>
    <row r="39" spans="1:16" x14ac:dyDescent="0.3">
      <c r="A39" t="s">
        <v>63</v>
      </c>
      <c r="B39">
        <v>5.992469918184644E-3</v>
      </c>
      <c r="C39" s="18">
        <f>Table1[[#This Row],[Adjusted % (W/Floors)]]*$C$70</f>
        <v>577861.47827907419</v>
      </c>
      <c r="D39" s="18">
        <f>Table1[[#This Row],[Adjusted % (W/Floors)]]*$D$70</f>
        <v>109217.07911916032</v>
      </c>
      <c r="E39" s="18">
        <f>Table1[[#This Row],[Adjusted % (W/Floors)]]*$E$70</f>
        <v>90783.937057087023</v>
      </c>
      <c r="F39" s="18">
        <f>Table1[[#This Row],[Adjusted % (W/Floors)]]*$F$70</f>
        <v>90783.93705901166</v>
      </c>
      <c r="G39" s="18">
        <f>Table1[[#This Row],[Adjusted % (W/Floors)]]*$G$70</f>
        <v>90783.93705901166</v>
      </c>
      <c r="H39" s="18">
        <f>Table1[[#This Row],[Adjusted % (W/Floors)]]*$H$70</f>
        <v>96948.247424140762</v>
      </c>
      <c r="I39" s="18">
        <f>Table1[[#This Row],[Adjusted % (W/Floors)]]*$I$70</f>
        <v>93076.86611061696</v>
      </c>
      <c r="J39" s="18">
        <f>Table1[[#This Row],[Adjusted % (W/Floors)]]*$J$70</f>
        <v>43608.402894440733</v>
      </c>
      <c r="K39" s="18">
        <f>Table1[[#This Row],[Adjusted % (W/Floors)]]*$K$70</f>
        <v>43608.402894440733</v>
      </c>
      <c r="L39" s="18">
        <f>Table1[[#This Row],[Adjusted % (W/Floors)]]*$L$70</f>
        <v>43608.402894440733</v>
      </c>
      <c r="M39" s="18">
        <f>Table1[[#This Row],[Adjusted % (W/Floors)]]*$M$70</f>
        <v>43608.402894440747</v>
      </c>
      <c r="N39" s="18">
        <f>Table1[[#This Row],[Adjusted % (W/Floors)]]*$N$70</f>
        <v>43608.402894440747</v>
      </c>
      <c r="O39" s="18">
        <f>Table1[[#This Row],[Adjusted % (W/Floors)]]*$O$70</f>
        <v>43608.402894440747</v>
      </c>
      <c r="P39" s="18">
        <f>SUM(Table1[[#This Row],[Payment 1]:[Payment 13]])</f>
        <v>1411105.8994747475</v>
      </c>
    </row>
    <row r="40" spans="1:16" x14ac:dyDescent="0.3">
      <c r="A40" t="s">
        <v>64</v>
      </c>
      <c r="B40">
        <v>2.0938862140081473E-2</v>
      </c>
      <c r="C40" s="18">
        <f>Table1[[#This Row],[Adjusted % (W/Floors)]]*$C$70</f>
        <v>2019161.0462710033</v>
      </c>
      <c r="D40" s="18">
        <f>Table1[[#This Row],[Adjusted % (W/Floors)]]*$D$70</f>
        <v>381625.83946875378</v>
      </c>
      <c r="E40" s="18">
        <f>Table1[[#This Row],[Adjusted % (W/Floors)]]*$E$70</f>
        <v>317216.83521576034</v>
      </c>
      <c r="F40" s="18">
        <f>Table1[[#This Row],[Adjusted % (W/Floors)]]*$F$70</f>
        <v>317216.83522248536</v>
      </c>
      <c r="G40" s="18">
        <f>Table1[[#This Row],[Adjusted % (W/Floors)]]*$G$70</f>
        <v>317216.83522248536</v>
      </c>
      <c r="H40" s="18">
        <f>Table1[[#This Row],[Adjusted % (W/Floors)]]*$H$70</f>
        <v>338756.14149958972</v>
      </c>
      <c r="I40" s="18">
        <f>Table1[[#This Row],[Adjusted % (W/Floors)]]*$I$70</f>
        <v>325228.77787118469</v>
      </c>
      <c r="J40" s="18">
        <f>Table1[[#This Row],[Adjusted % (W/Floors)]]*$J$70</f>
        <v>152376.29038151962</v>
      </c>
      <c r="K40" s="18">
        <f>Table1[[#This Row],[Adjusted % (W/Floors)]]*$K$70</f>
        <v>152376.29038151962</v>
      </c>
      <c r="L40" s="18">
        <f>Table1[[#This Row],[Adjusted % (W/Floors)]]*$L$70</f>
        <v>152376.29038151962</v>
      </c>
      <c r="M40" s="18">
        <f>Table1[[#This Row],[Adjusted % (W/Floors)]]*$M$70</f>
        <v>152376.29038151965</v>
      </c>
      <c r="N40" s="18">
        <f>Table1[[#This Row],[Adjusted % (W/Floors)]]*$N$70</f>
        <v>152376.29038151965</v>
      </c>
      <c r="O40" s="18">
        <f>Table1[[#This Row],[Adjusted % (W/Floors)]]*$O$70</f>
        <v>152376.29038151965</v>
      </c>
      <c r="P40" s="18">
        <f>SUM(Table1[[#This Row],[Payment 1]:[Payment 13]])</f>
        <v>4930680.0530603826</v>
      </c>
    </row>
    <row r="41" spans="1:16" x14ac:dyDescent="0.3">
      <c r="A41" t="s">
        <v>65</v>
      </c>
      <c r="B41">
        <v>3.2615731018794961E-2</v>
      </c>
      <c r="C41" s="18">
        <f>Table1[[#This Row],[Adjusted % (W/Floors)]]*$C$70</f>
        <v>3145176.3294596775</v>
      </c>
      <c r="D41" s="18">
        <f>Table1[[#This Row],[Adjusted % (W/Floors)]]*$D$70</f>
        <v>594445.18267821532</v>
      </c>
      <c r="E41" s="18">
        <f>Table1[[#This Row],[Adjusted % (W/Floors)]]*$E$70</f>
        <v>494117.53622589092</v>
      </c>
      <c r="F41" s="18">
        <f>Table1[[#This Row],[Adjusted % (W/Floors)]]*$F$70</f>
        <v>494117.53623636632</v>
      </c>
      <c r="G41" s="18">
        <f>Table1[[#This Row],[Adjusted % (W/Floors)]]*$G$70</f>
        <v>494117.53623636632</v>
      </c>
      <c r="H41" s="18">
        <f>Table1[[#This Row],[Adjusted % (W/Floors)]]*$H$70</f>
        <v>527668.55802377767</v>
      </c>
      <c r="I41" s="18">
        <f>Table1[[#This Row],[Adjusted % (W/Floors)]]*$I$70</f>
        <v>506597.45824071317</v>
      </c>
      <c r="J41" s="18">
        <f>Table1[[#This Row],[Adjusted % (W/Floors)]]*$J$70</f>
        <v>237351.20215592097</v>
      </c>
      <c r="K41" s="18">
        <f>Table1[[#This Row],[Adjusted % (W/Floors)]]*$K$70</f>
        <v>237351.20215592097</v>
      </c>
      <c r="L41" s="18">
        <f>Table1[[#This Row],[Adjusted % (W/Floors)]]*$L$70</f>
        <v>237351.20215592097</v>
      </c>
      <c r="M41" s="18">
        <f>Table1[[#This Row],[Adjusted % (W/Floors)]]*$M$70</f>
        <v>237351.20215592103</v>
      </c>
      <c r="N41" s="18">
        <f>Table1[[#This Row],[Adjusted % (W/Floors)]]*$N$70</f>
        <v>237351.20215592103</v>
      </c>
      <c r="O41" s="18">
        <f>Table1[[#This Row],[Adjusted % (W/Floors)]]*$O$70</f>
        <v>237351.20215592103</v>
      </c>
      <c r="P41" s="18">
        <f>SUM(Table1[[#This Row],[Payment 1]:[Payment 13]])</f>
        <v>7680347.3500365308</v>
      </c>
    </row>
    <row r="42" spans="1:16" x14ac:dyDescent="0.3">
      <c r="A42" t="s">
        <v>66</v>
      </c>
      <c r="B42">
        <v>6.3800418602897781E-3</v>
      </c>
      <c r="C42" s="18">
        <f>Table1[[#This Row],[Adjusted % (W/Floors)]]*$C$70</f>
        <v>615235.53246076161</v>
      </c>
      <c r="D42" s="18">
        <f>Table1[[#This Row],[Adjusted % (W/Floors)]]*$D$70</f>
        <v>116280.85683405728</v>
      </c>
      <c r="E42" s="18">
        <f>Table1[[#This Row],[Adjusted % (W/Floors)]]*$E$70</f>
        <v>96655.523778013681</v>
      </c>
      <c r="F42" s="18">
        <f>Table1[[#This Row],[Adjusted % (W/Floors)]]*$F$70</f>
        <v>96655.523780062809</v>
      </c>
      <c r="G42" s="18">
        <f>Table1[[#This Row],[Adjusted % (W/Floors)]]*$G$70</f>
        <v>96655.523780062809</v>
      </c>
      <c r="H42" s="18">
        <f>Table1[[#This Row],[Adjusted % (W/Floors)]]*$H$70</f>
        <v>103218.52012485814</v>
      </c>
      <c r="I42" s="18">
        <f>Table1[[#This Row],[Adjusted % (W/Floors)]]*$I$70</f>
        <v>99096.751442720488</v>
      </c>
      <c r="J42" s="18">
        <f>Table1[[#This Row],[Adjusted % (W/Floors)]]*$J$70</f>
        <v>46428.841483646313</v>
      </c>
      <c r="K42" s="18">
        <f>Table1[[#This Row],[Adjusted % (W/Floors)]]*$K$70</f>
        <v>46428.841483646313</v>
      </c>
      <c r="L42" s="18">
        <f>Table1[[#This Row],[Adjusted % (W/Floors)]]*$L$70</f>
        <v>46428.841483646313</v>
      </c>
      <c r="M42" s="18">
        <f>Table1[[#This Row],[Adjusted % (W/Floors)]]*$M$70</f>
        <v>46428.84148364632</v>
      </c>
      <c r="N42" s="18">
        <f>Table1[[#This Row],[Adjusted % (W/Floors)]]*$N$70</f>
        <v>46428.84148364632</v>
      </c>
      <c r="O42" s="18">
        <f>Table1[[#This Row],[Adjusted % (W/Floors)]]*$O$70</f>
        <v>46428.84148364632</v>
      </c>
      <c r="P42" s="18">
        <f>SUM(Table1[[#This Row],[Payment 1]:[Payment 13]])</f>
        <v>1502371.2811024145</v>
      </c>
    </row>
    <row r="43" spans="1:16" x14ac:dyDescent="0.3">
      <c r="A43" t="s">
        <v>67</v>
      </c>
      <c r="B43">
        <v>1.7887964361250118E-3</v>
      </c>
      <c r="C43" s="18">
        <f>Table1[[#This Row],[Adjusted % (W/Floors)]]*$C$70</f>
        <v>172495.91020603411</v>
      </c>
      <c r="D43" s="18">
        <f>Table1[[#This Row],[Adjusted % (W/Floors)]]*$D$70</f>
        <v>32602.103065962801</v>
      </c>
      <c r="E43" s="18">
        <f>Table1[[#This Row],[Adjusted % (W/Floors)]]*$E$70</f>
        <v>27099.67430496676</v>
      </c>
      <c r="F43" s="18">
        <f>Table1[[#This Row],[Adjusted % (W/Floors)]]*$F$70</f>
        <v>27099.674305541277</v>
      </c>
      <c r="G43" s="18">
        <f>Table1[[#This Row],[Adjusted % (W/Floors)]]*$G$70</f>
        <v>27099.674305541277</v>
      </c>
      <c r="H43" s="18">
        <f>Table1[[#This Row],[Adjusted % (W/Floors)]]*$H$70</f>
        <v>28939.76638157323</v>
      </c>
      <c r="I43" s="18">
        <f>Table1[[#This Row],[Adjusted % (W/Floors)]]*$I$70</f>
        <v>27784.130526731889</v>
      </c>
      <c r="J43" s="18">
        <f>Table1[[#This Row],[Adjusted % (W/Floors)]]*$J$70</f>
        <v>13017.429665514366</v>
      </c>
      <c r="K43" s="18">
        <f>Table1[[#This Row],[Adjusted % (W/Floors)]]*$K$70</f>
        <v>13017.429665514366</v>
      </c>
      <c r="L43" s="18">
        <f>Table1[[#This Row],[Adjusted % (W/Floors)]]*$L$70</f>
        <v>13017.429665514366</v>
      </c>
      <c r="M43" s="18">
        <f>Table1[[#This Row],[Adjusted % (W/Floors)]]*$M$70</f>
        <v>13017.42966551437</v>
      </c>
      <c r="N43" s="18">
        <f>Table1[[#This Row],[Adjusted % (W/Floors)]]*$N$70</f>
        <v>13017.42966551437</v>
      </c>
      <c r="O43" s="18">
        <f>Table1[[#This Row],[Adjusted % (W/Floors)]]*$O$70</f>
        <v>13017.42966551437</v>
      </c>
      <c r="P43" s="18">
        <f>SUM(Table1[[#This Row],[Payment 1]:[Payment 13]])</f>
        <v>421225.51108943764</v>
      </c>
    </row>
    <row r="44" spans="1:16" x14ac:dyDescent="0.3">
      <c r="A44" t="s">
        <v>68</v>
      </c>
      <c r="B44">
        <v>9.2520559954590974E-3</v>
      </c>
      <c r="C44" s="18">
        <f>Table1[[#This Row],[Adjusted % (W/Floors)]]*$C$70</f>
        <v>892187.49992096808</v>
      </c>
      <c r="D44" s="18">
        <f>Table1[[#This Row],[Adjusted % (W/Floors)]]*$D$70</f>
        <v>168625.38243280377</v>
      </c>
      <c r="E44" s="18">
        <f>Table1[[#This Row],[Adjusted % (W/Floors)]]*$E$70</f>
        <v>140165.58791418243</v>
      </c>
      <c r="F44" s="18">
        <f>Table1[[#This Row],[Adjusted % (W/Floors)]]*$F$70</f>
        <v>140165.58791715396</v>
      </c>
      <c r="G44" s="18">
        <f>Table1[[#This Row],[Adjusted % (W/Floors)]]*$G$70</f>
        <v>140165.58791715396</v>
      </c>
      <c r="H44" s="18">
        <f>Table1[[#This Row],[Adjusted % (W/Floors)]]*$H$70</f>
        <v>149682.95645637574</v>
      </c>
      <c r="I44" s="18">
        <f>Table1[[#This Row],[Adjusted % (W/Floors)]]*$I$70</f>
        <v>143705.74886392662</v>
      </c>
      <c r="J44" s="18">
        <f>Table1[[#This Row],[Adjusted % (W/Floors)]]*$J$70</f>
        <v>67329.063134309807</v>
      </c>
      <c r="K44" s="18">
        <f>Table1[[#This Row],[Adjusted % (W/Floors)]]*$K$70</f>
        <v>67329.063134309807</v>
      </c>
      <c r="L44" s="18">
        <f>Table1[[#This Row],[Adjusted % (W/Floors)]]*$L$70</f>
        <v>67329.063134309807</v>
      </c>
      <c r="M44" s="18">
        <f>Table1[[#This Row],[Adjusted % (W/Floors)]]*$M$70</f>
        <v>67329.063134309836</v>
      </c>
      <c r="N44" s="18">
        <f>Table1[[#This Row],[Adjusted % (W/Floors)]]*$N$70</f>
        <v>67329.063134309836</v>
      </c>
      <c r="O44" s="18">
        <f>Table1[[#This Row],[Adjusted % (W/Floors)]]*$O$70</f>
        <v>67329.063134309836</v>
      </c>
      <c r="P44" s="18">
        <f>SUM(Table1[[#This Row],[Payment 1]:[Payment 13]])</f>
        <v>2178672.7302284236</v>
      </c>
    </row>
    <row r="45" spans="1:16" x14ac:dyDescent="0.3">
      <c r="A45" t="s">
        <v>69</v>
      </c>
      <c r="B45">
        <v>1.7192327175845658E-3</v>
      </c>
      <c r="C45" s="18">
        <f>Table1[[#This Row],[Adjusted % (W/Floors)]]*$C$70</f>
        <v>165787.7925551825</v>
      </c>
      <c r="D45" s="18">
        <f>Table1[[#This Row],[Adjusted % (W/Floors)]]*$D$70</f>
        <v>31334.25420641333</v>
      </c>
      <c r="E45" s="18">
        <f>Table1[[#This Row],[Adjusted % (W/Floors)]]*$E$70</f>
        <v>26045.806979530786</v>
      </c>
      <c r="F45" s="18">
        <f>Table1[[#This Row],[Adjusted % (W/Floors)]]*$F$70</f>
        <v>26045.806980082962</v>
      </c>
      <c r="G45" s="18">
        <f>Table1[[#This Row],[Adjusted % (W/Floors)]]*$G$70</f>
        <v>26045.806980082962</v>
      </c>
      <c r="H45" s="18">
        <f>Table1[[#This Row],[Adjusted % (W/Floors)]]*$H$70</f>
        <v>27814.340523975352</v>
      </c>
      <c r="I45" s="18">
        <f>Table1[[#This Row],[Adjusted % (W/Floors)]]*$I$70</f>
        <v>26703.645684063344</v>
      </c>
      <c r="J45" s="18">
        <f>Table1[[#This Row],[Adjusted % (W/Floors)]]*$J$70</f>
        <v>12511.200563597367</v>
      </c>
      <c r="K45" s="18">
        <f>Table1[[#This Row],[Adjusted % (W/Floors)]]*$K$70</f>
        <v>12511.200563597367</v>
      </c>
      <c r="L45" s="18">
        <f>Table1[[#This Row],[Adjusted % (W/Floors)]]*$L$70</f>
        <v>12511.200563597367</v>
      </c>
      <c r="M45" s="18">
        <f>Table1[[#This Row],[Adjusted % (W/Floors)]]*$M$70</f>
        <v>12511.200563597371</v>
      </c>
      <c r="N45" s="18">
        <f>Table1[[#This Row],[Adjusted % (W/Floors)]]*$N$70</f>
        <v>12511.200563597371</v>
      </c>
      <c r="O45" s="18">
        <f>Table1[[#This Row],[Adjusted % (W/Floors)]]*$O$70</f>
        <v>12511.200563597371</v>
      </c>
      <c r="P45" s="18">
        <f>SUM(Table1[[#This Row],[Payment 1]:[Payment 13]])</f>
        <v>404844.65729091549</v>
      </c>
    </row>
    <row r="46" spans="1:16" x14ac:dyDescent="0.3">
      <c r="A46" t="s">
        <v>70</v>
      </c>
      <c r="B46">
        <v>8.2185274831374621E-3</v>
      </c>
      <c r="C46" s="18">
        <f>Table1[[#This Row],[Adjusted % (W/Floors)]]*$C$70</f>
        <v>792523.03399492486</v>
      </c>
      <c r="D46" s="18">
        <f>Table1[[#This Row],[Adjusted % (W/Floors)]]*$D$70</f>
        <v>149788.58110659276</v>
      </c>
      <c r="E46" s="18">
        <f>Table1[[#This Row],[Adjusted % (W/Floors)]]*$E$70</f>
        <v>124507.97282552191</v>
      </c>
      <c r="F46" s="18">
        <f>Table1[[#This Row],[Adjusted % (W/Floors)]]*$F$70</f>
        <v>124507.97282816151</v>
      </c>
      <c r="G46" s="18">
        <f>Table1[[#This Row],[Adjusted % (W/Floors)]]*$G$70</f>
        <v>124507.97282816151</v>
      </c>
      <c r="H46" s="18">
        <f>Table1[[#This Row],[Adjusted % (W/Floors)]]*$H$70</f>
        <v>132962.1753259773</v>
      </c>
      <c r="I46" s="18">
        <f>Table1[[#This Row],[Adjusted % (W/Floors)]]*$I$70</f>
        <v>127652.66953666184</v>
      </c>
      <c r="J46" s="18">
        <f>Table1[[#This Row],[Adjusted % (W/Floors)]]*$J$70</f>
        <v>59807.869305460779</v>
      </c>
      <c r="K46" s="18">
        <f>Table1[[#This Row],[Adjusted % (W/Floors)]]*$K$70</f>
        <v>59807.869305460779</v>
      </c>
      <c r="L46" s="18">
        <f>Table1[[#This Row],[Adjusted % (W/Floors)]]*$L$70</f>
        <v>59807.869305460779</v>
      </c>
      <c r="M46" s="18">
        <f>Table1[[#This Row],[Adjusted % (W/Floors)]]*$M$70</f>
        <v>59807.869305460794</v>
      </c>
      <c r="N46" s="18">
        <f>Table1[[#This Row],[Adjusted % (W/Floors)]]*$N$70</f>
        <v>59807.869305460794</v>
      </c>
      <c r="O46" s="18">
        <f>Table1[[#This Row],[Adjusted % (W/Floors)]]*$O$70</f>
        <v>59807.869305460794</v>
      </c>
      <c r="P46" s="18">
        <f>SUM(Table1[[#This Row],[Payment 1]:[Payment 13]])</f>
        <v>1935297.5942787658</v>
      </c>
    </row>
    <row r="47" spans="1:16" x14ac:dyDescent="0.3">
      <c r="A47" t="s">
        <v>71</v>
      </c>
      <c r="B47">
        <v>5.0155878215931968E-2</v>
      </c>
      <c r="C47" s="18">
        <f>Table1[[#This Row],[Adjusted % (W/Floors)]]*$C$70</f>
        <v>4836594.9810264222</v>
      </c>
      <c r="D47" s="18">
        <f>Table1[[#This Row],[Adjusted % (W/Floors)]]*$D$70</f>
        <v>914126.99507716135</v>
      </c>
      <c r="E47" s="18">
        <f>Table1[[#This Row],[Adjusted % (W/Floors)]]*$E$70</f>
        <v>759844.96429103124</v>
      </c>
      <c r="F47" s="18">
        <f>Table1[[#This Row],[Adjusted % (W/Floors)]]*$F$70</f>
        <v>759844.96430714009</v>
      </c>
      <c r="G47" s="18">
        <f>Table1[[#This Row],[Adjusted % (W/Floors)]]*$G$70</f>
        <v>759844.96430714009</v>
      </c>
      <c r="H47" s="18">
        <f>Table1[[#This Row],[Adjusted % (W/Floors)]]*$H$70</f>
        <v>811439.11566372868</v>
      </c>
      <c r="I47" s="18">
        <f>Table1[[#This Row],[Adjusted % (W/Floors)]]*$I$70</f>
        <v>779036.36148397019</v>
      </c>
      <c r="J47" s="18">
        <f>Table1[[#This Row],[Adjusted % (W/Floors)]]*$J$70</f>
        <v>364994.36369760858</v>
      </c>
      <c r="K47" s="18">
        <f>Table1[[#This Row],[Adjusted % (W/Floors)]]*$K$70</f>
        <v>364994.36369760858</v>
      </c>
      <c r="L47" s="18">
        <f>Table1[[#This Row],[Adjusted % (W/Floors)]]*$L$70</f>
        <v>364994.36369760858</v>
      </c>
      <c r="M47" s="18">
        <f>Table1[[#This Row],[Adjusted % (W/Floors)]]*$M$70</f>
        <v>364994.36369760864</v>
      </c>
      <c r="N47" s="18">
        <f>Table1[[#This Row],[Adjusted % (W/Floors)]]*$N$70</f>
        <v>364994.36369760864</v>
      </c>
      <c r="O47" s="18">
        <f>Table1[[#This Row],[Adjusted % (W/Floors)]]*$O$70</f>
        <v>364994.36369760864</v>
      </c>
      <c r="P47" s="18">
        <f>SUM(Table1[[#This Row],[Payment 1]:[Payment 13]])</f>
        <v>11810698.528342249</v>
      </c>
    </row>
    <row r="48" spans="1:16" x14ac:dyDescent="0.3">
      <c r="A48" t="s">
        <v>72</v>
      </c>
      <c r="B48">
        <v>1.4285891185863999E-3</v>
      </c>
      <c r="C48" s="18">
        <f>Table1[[#This Row],[Adjusted % (W/Floors)]]*$C$70</f>
        <v>137760.66149528898</v>
      </c>
      <c r="D48" s="18">
        <f>Table1[[#This Row],[Adjusted % (W/Floors)]]*$D$70</f>
        <v>26037.065337607717</v>
      </c>
      <c r="E48" s="18">
        <f>Table1[[#This Row],[Adjusted % (W/Floors)]]*$E$70</f>
        <v>21642.652594487496</v>
      </c>
      <c r="F48" s="18">
        <f>Table1[[#This Row],[Adjusted % (W/Floors)]]*$F$70</f>
        <v>21642.652594946325</v>
      </c>
      <c r="G48" s="18">
        <f>Table1[[#This Row],[Adjusted % (W/Floors)]]*$G$70</f>
        <v>21642.652594946325</v>
      </c>
      <c r="H48" s="18">
        <f>Table1[[#This Row],[Adjusted % (W/Floors)]]*$H$70</f>
        <v>23112.20802558594</v>
      </c>
      <c r="I48" s="18">
        <f>Table1[[#This Row],[Adjusted % (W/Floors)]]*$I$70</f>
        <v>22189.280869687216</v>
      </c>
      <c r="J48" s="18">
        <f>Table1[[#This Row],[Adjusted % (W/Floors)]]*$J$70</f>
        <v>10396.128925884099</v>
      </c>
      <c r="K48" s="18">
        <f>Table1[[#This Row],[Adjusted % (W/Floors)]]*$K$70</f>
        <v>10396.128925884099</v>
      </c>
      <c r="L48" s="18">
        <f>Table1[[#This Row],[Adjusted % (W/Floors)]]*$L$70</f>
        <v>10396.128925884099</v>
      </c>
      <c r="M48" s="18">
        <f>Table1[[#This Row],[Adjusted % (W/Floors)]]*$M$70</f>
        <v>10396.128925884103</v>
      </c>
      <c r="N48" s="18">
        <f>Table1[[#This Row],[Adjusted % (W/Floors)]]*$N$70</f>
        <v>10396.128925884103</v>
      </c>
      <c r="O48" s="18">
        <f>Table1[[#This Row],[Adjusted % (W/Floors)]]*$O$70</f>
        <v>10396.128925884103</v>
      </c>
      <c r="P48" s="18">
        <f>SUM(Table1[[#This Row],[Payment 1]:[Payment 13]])</f>
        <v>336403.94706785452</v>
      </c>
    </row>
    <row r="49" spans="1:16" x14ac:dyDescent="0.3">
      <c r="A49" t="s">
        <v>73</v>
      </c>
      <c r="B49">
        <v>1.6755064618428732E-2</v>
      </c>
      <c r="C49" s="18">
        <f>Table1[[#This Row],[Adjusted % (W/Floors)]]*$C$70</f>
        <v>1615712.142281347</v>
      </c>
      <c r="D49" s="18">
        <f>Table1[[#This Row],[Adjusted % (W/Floors)]]*$D$70</f>
        <v>305373.11710559833</v>
      </c>
      <c r="E49" s="18">
        <f>Table1[[#This Row],[Adjusted % (W/Floors)]]*$E$70</f>
        <v>253833.68668918713</v>
      </c>
      <c r="F49" s="18">
        <f>Table1[[#This Row],[Adjusted % (W/Floors)]]*$F$70</f>
        <v>253833.68669456846</v>
      </c>
      <c r="G49" s="18">
        <f>Table1[[#This Row],[Adjusted % (W/Floors)]]*$G$70</f>
        <v>253833.68669456846</v>
      </c>
      <c r="H49" s="18">
        <f>Table1[[#This Row],[Adjusted % (W/Floors)]]*$H$70</f>
        <v>271069.22060728213</v>
      </c>
      <c r="I49" s="18">
        <f>Table1[[#This Row],[Adjusted % (W/Floors)]]*$I$70</f>
        <v>260244.76175203954</v>
      </c>
      <c r="J49" s="18">
        <f>Table1[[#This Row],[Adjusted % (W/Floors)]]*$J$70</f>
        <v>121929.95849433907</v>
      </c>
      <c r="K49" s="18">
        <f>Table1[[#This Row],[Adjusted % (W/Floors)]]*$K$70</f>
        <v>121929.95849433907</v>
      </c>
      <c r="L49" s="18">
        <f>Table1[[#This Row],[Adjusted % (W/Floors)]]*$L$70</f>
        <v>121929.95849433907</v>
      </c>
      <c r="M49" s="18">
        <f>Table1[[#This Row],[Adjusted % (W/Floors)]]*$M$70</f>
        <v>121929.95849433909</v>
      </c>
      <c r="N49" s="18">
        <f>Table1[[#This Row],[Adjusted % (W/Floors)]]*$N$70</f>
        <v>121929.95849433909</v>
      </c>
      <c r="O49" s="18">
        <f>Table1[[#This Row],[Adjusted % (W/Floors)]]*$O$70</f>
        <v>121929.95849433909</v>
      </c>
      <c r="P49" s="18">
        <f>SUM(Table1[[#This Row],[Payment 1]:[Payment 13]])</f>
        <v>3945480.052790626</v>
      </c>
    </row>
    <row r="50" spans="1:16" x14ac:dyDescent="0.3">
      <c r="A50" t="s">
        <v>74</v>
      </c>
      <c r="B50">
        <v>5.7440254131604015E-3</v>
      </c>
      <c r="C50" s="18">
        <f>Table1[[#This Row],[Adjusted % (W/Floors)]]*$C$70</f>
        <v>553903.65939908999</v>
      </c>
      <c r="D50" s="18">
        <f>Table1[[#This Row],[Adjusted % (W/Floors)]]*$D$70</f>
        <v>104688.9991233623</v>
      </c>
      <c r="E50" s="18">
        <f>Table1[[#This Row],[Adjusted % (W/Floors)]]*$E$70</f>
        <v>87020.084987032285</v>
      </c>
      <c r="F50" s="18">
        <f>Table1[[#This Row],[Adjusted % (W/Floors)]]*$F$70</f>
        <v>87020.084988877134</v>
      </c>
      <c r="G50" s="18">
        <f>Table1[[#This Row],[Adjusted % (W/Floors)]]*$G$70</f>
        <v>87020.084988877134</v>
      </c>
      <c r="H50" s="18">
        <f>Table1[[#This Row],[Adjusted % (W/Floors)]]*$H$70</f>
        <v>92928.826438619129</v>
      </c>
      <c r="I50" s="18">
        <f>Table1[[#This Row],[Adjusted % (W/Floors)]]*$I$70</f>
        <v>89217.950463850531</v>
      </c>
      <c r="J50" s="18">
        <f>Table1[[#This Row],[Adjusted % (W/Floors)]]*$J$70</f>
        <v>41800.422509069154</v>
      </c>
      <c r="K50" s="18">
        <f>Table1[[#This Row],[Adjusted % (W/Floors)]]*$K$70</f>
        <v>41800.422509069154</v>
      </c>
      <c r="L50" s="18">
        <f>Table1[[#This Row],[Adjusted % (W/Floors)]]*$L$70</f>
        <v>41800.422509069154</v>
      </c>
      <c r="M50" s="18">
        <f>Table1[[#This Row],[Adjusted % (W/Floors)]]*$M$70</f>
        <v>41800.422509069162</v>
      </c>
      <c r="N50" s="18">
        <f>Table1[[#This Row],[Adjusted % (W/Floors)]]*$N$70</f>
        <v>41800.422509069162</v>
      </c>
      <c r="O50" s="18">
        <f>Table1[[#This Row],[Adjusted % (W/Floors)]]*$O$70</f>
        <v>41800.422509069162</v>
      </c>
      <c r="P50" s="18">
        <f>SUM(Table1[[#This Row],[Payment 1]:[Payment 13]])</f>
        <v>1352602.2254441231</v>
      </c>
    </row>
    <row r="51" spans="1:16" x14ac:dyDescent="0.3">
      <c r="A51" t="s">
        <v>75</v>
      </c>
      <c r="B51">
        <v>2.2956227120823833E-3</v>
      </c>
      <c r="C51" s="18">
        <f>Table1[[#This Row],[Adjusted % (W/Floors)]]*$C$70</f>
        <v>221369.81112736376</v>
      </c>
      <c r="D51" s="18">
        <f>Table1[[#This Row],[Adjusted % (W/Floors)]]*$D$70</f>
        <v>41839.37688404724</v>
      </c>
      <c r="E51" s="18">
        <f>Table1[[#This Row],[Adjusted % (W/Floors)]]*$E$70</f>
        <v>34777.92473652347</v>
      </c>
      <c r="F51" s="18">
        <f>Table1[[#This Row],[Adjusted % (W/Floors)]]*$F$70</f>
        <v>34777.924737260764</v>
      </c>
      <c r="G51" s="18">
        <f>Table1[[#This Row],[Adjusted % (W/Floors)]]*$G$70</f>
        <v>34777.924737260764</v>
      </c>
      <c r="H51" s="18">
        <f>Table1[[#This Row],[Adjusted % (W/Floors)]]*$H$70</f>
        <v>37139.37687164246</v>
      </c>
      <c r="I51" s="18">
        <f>Table1[[#This Row],[Adjusted % (W/Floors)]]*$I$70</f>
        <v>35656.310457994303</v>
      </c>
      <c r="J51" s="18">
        <f>Table1[[#This Row],[Adjusted % (W/Floors)]]*$J$70</f>
        <v>16705.705909065971</v>
      </c>
      <c r="K51" s="18">
        <f>Table1[[#This Row],[Adjusted % (W/Floors)]]*$K$70</f>
        <v>16705.705909065971</v>
      </c>
      <c r="L51" s="18">
        <f>Table1[[#This Row],[Adjusted % (W/Floors)]]*$L$70</f>
        <v>16705.705909065971</v>
      </c>
      <c r="M51" s="18">
        <f>Table1[[#This Row],[Adjusted % (W/Floors)]]*$M$70</f>
        <v>16705.705909065975</v>
      </c>
      <c r="N51" s="18">
        <f>Table1[[#This Row],[Adjusted % (W/Floors)]]*$N$70</f>
        <v>16705.705909065975</v>
      </c>
      <c r="O51" s="18">
        <f>Table1[[#This Row],[Adjusted % (W/Floors)]]*$O$70</f>
        <v>16705.705909065975</v>
      </c>
      <c r="P51" s="18">
        <f>SUM(Table1[[#This Row],[Payment 1]:[Payment 13]])</f>
        <v>540572.88500648853</v>
      </c>
    </row>
    <row r="52" spans="1:16" x14ac:dyDescent="0.3">
      <c r="A52" t="s">
        <v>76</v>
      </c>
      <c r="B52">
        <v>0.23001941115465127</v>
      </c>
      <c r="C52" s="18">
        <f>Table1[[#This Row],[Adjusted % (W/Floors)]]*$C$70</f>
        <v>22181063.697850898</v>
      </c>
      <c r="D52" s="18">
        <f>Table1[[#This Row],[Adjusted % (W/Floors)]]*$D$70</f>
        <v>4192269.3930903669</v>
      </c>
      <c r="E52" s="18">
        <f>Table1[[#This Row],[Adjusted % (W/Floors)]]*$E$70</f>
        <v>3484717.992626667</v>
      </c>
      <c r="F52" s="18">
        <f>Table1[[#This Row],[Adjusted % (W/Floors)]]*$F$70</f>
        <v>3484717.9927005437</v>
      </c>
      <c r="G52" s="18">
        <f>Table1[[#This Row],[Adjusted % (W/Floors)]]*$G$70</f>
        <v>3484717.9927005437</v>
      </c>
      <c r="H52" s="18">
        <f>Table1[[#This Row],[Adjusted % (W/Floors)]]*$H$70</f>
        <v>3721333.4550591852</v>
      </c>
      <c r="I52" s="18">
        <f>Table1[[#This Row],[Adjusted % (W/Floors)]]*$I$70</f>
        <v>3572731.4825420449</v>
      </c>
      <c r="J52" s="18">
        <f>Table1[[#This Row],[Adjusted % (W/Floors)]]*$J$70</f>
        <v>1673897.2897861067</v>
      </c>
      <c r="K52" s="18">
        <f>Table1[[#This Row],[Adjusted % (W/Floors)]]*$K$70</f>
        <v>1673897.2897861067</v>
      </c>
      <c r="L52" s="18">
        <f>Table1[[#This Row],[Adjusted % (W/Floors)]]*$L$70</f>
        <v>1673897.2897861067</v>
      </c>
      <c r="M52" s="18">
        <f>Table1[[#This Row],[Adjusted % (W/Floors)]]*$M$70</f>
        <v>1673897.2897861071</v>
      </c>
      <c r="N52" s="18">
        <f>Table1[[#This Row],[Adjusted % (W/Floors)]]*$N$70</f>
        <v>1673897.2897861071</v>
      </c>
      <c r="O52" s="18">
        <f>Table1[[#This Row],[Adjusted % (W/Floors)]]*$O$70</f>
        <v>1673897.2897861071</v>
      </c>
      <c r="P52" s="18">
        <f>SUM(Table1[[#This Row],[Payment 1]:[Payment 13]])</f>
        <v>54164935.745286897</v>
      </c>
    </row>
    <row r="53" spans="1:16" x14ac:dyDescent="0.3">
      <c r="A53" t="s">
        <v>77</v>
      </c>
      <c r="B53">
        <v>2.8123862539486417E-3</v>
      </c>
      <c r="C53" s="18">
        <f>Table1[[#This Row],[Adjusted % (W/Floors)]]*$C$70</f>
        <v>271201.9752100546</v>
      </c>
      <c r="D53" s="18">
        <f>Table1[[#This Row],[Adjusted % (W/Floors)]]*$D$70</f>
        <v>51257.764528620079</v>
      </c>
      <c r="E53" s="18">
        <f>Table1[[#This Row],[Adjusted % (W/Floors)]]*$E$70</f>
        <v>42606.721459527427</v>
      </c>
      <c r="F53" s="18">
        <f>Table1[[#This Row],[Adjusted % (W/Floors)]]*$F$70</f>
        <v>42606.721460430701</v>
      </c>
      <c r="G53" s="18">
        <f>Table1[[#This Row],[Adjusted % (W/Floors)]]*$G$70</f>
        <v>42606.721460430701</v>
      </c>
      <c r="H53" s="18">
        <f>Table1[[#This Row],[Adjusted % (W/Floors)]]*$H$70</f>
        <v>45499.755880737663</v>
      </c>
      <c r="I53" s="18">
        <f>Table1[[#This Row],[Adjusted % (W/Floors)]]*$I$70</f>
        <v>43682.839026986258</v>
      </c>
      <c r="J53" s="18">
        <f>Table1[[#This Row],[Adjusted % (W/Floors)]]*$J$70</f>
        <v>20466.297625426028</v>
      </c>
      <c r="K53" s="18">
        <f>Table1[[#This Row],[Adjusted % (W/Floors)]]*$K$70</f>
        <v>20466.297625426028</v>
      </c>
      <c r="L53" s="18">
        <f>Table1[[#This Row],[Adjusted % (W/Floors)]]*$L$70</f>
        <v>20466.297625426028</v>
      </c>
      <c r="M53" s="18">
        <f>Table1[[#This Row],[Adjusted % (W/Floors)]]*$M$70</f>
        <v>20466.297625426032</v>
      </c>
      <c r="N53" s="18">
        <f>Table1[[#This Row],[Adjusted % (W/Floors)]]*$N$70</f>
        <v>20466.297625426032</v>
      </c>
      <c r="O53" s="18">
        <f>Table1[[#This Row],[Adjusted % (W/Floors)]]*$O$70</f>
        <v>20466.297625426032</v>
      </c>
      <c r="P53" s="18">
        <f>SUM(Table1[[#This Row],[Payment 1]:[Payment 13]])</f>
        <v>662260.28477934364</v>
      </c>
    </row>
    <row r="54" spans="1:16" x14ac:dyDescent="0.3">
      <c r="A54" t="s">
        <v>78</v>
      </c>
      <c r="B54">
        <v>1.4285891185863999E-3</v>
      </c>
      <c r="C54" s="18">
        <f>Table1[[#This Row],[Adjusted % (W/Floors)]]*$C$70</f>
        <v>137760.66149528898</v>
      </c>
      <c r="D54" s="18">
        <f>Table1[[#This Row],[Adjusted % (W/Floors)]]*$D$70</f>
        <v>26037.065337607717</v>
      </c>
      <c r="E54" s="18">
        <f>Table1[[#This Row],[Adjusted % (W/Floors)]]*$E$70</f>
        <v>21642.652594487496</v>
      </c>
      <c r="F54" s="18">
        <f>Table1[[#This Row],[Adjusted % (W/Floors)]]*$F$70</f>
        <v>21642.652594946325</v>
      </c>
      <c r="G54" s="18">
        <f>Table1[[#This Row],[Adjusted % (W/Floors)]]*$G$70</f>
        <v>21642.652594946325</v>
      </c>
      <c r="H54" s="18">
        <f>Table1[[#This Row],[Adjusted % (W/Floors)]]*$H$70</f>
        <v>23112.20802558594</v>
      </c>
      <c r="I54" s="18">
        <f>Table1[[#This Row],[Adjusted % (W/Floors)]]*$I$70</f>
        <v>22189.280869687216</v>
      </c>
      <c r="J54" s="18">
        <f>Table1[[#This Row],[Adjusted % (W/Floors)]]*$J$70</f>
        <v>10396.128925884099</v>
      </c>
      <c r="K54" s="18">
        <f>Table1[[#This Row],[Adjusted % (W/Floors)]]*$K$70</f>
        <v>10396.128925884099</v>
      </c>
      <c r="L54" s="18">
        <f>Table1[[#This Row],[Adjusted % (W/Floors)]]*$L$70</f>
        <v>10396.128925884099</v>
      </c>
      <c r="M54" s="18">
        <f>Table1[[#This Row],[Adjusted % (W/Floors)]]*$M$70</f>
        <v>10396.128925884103</v>
      </c>
      <c r="N54" s="18">
        <f>Table1[[#This Row],[Adjusted % (W/Floors)]]*$N$70</f>
        <v>10396.128925884103</v>
      </c>
      <c r="O54" s="18">
        <f>Table1[[#This Row],[Adjusted % (W/Floors)]]*$O$70</f>
        <v>10396.128925884103</v>
      </c>
      <c r="P54" s="18">
        <f>SUM(Table1[[#This Row],[Payment 1]:[Payment 13]])</f>
        <v>336403.94706785452</v>
      </c>
    </row>
    <row r="55" spans="1:16" x14ac:dyDescent="0.3">
      <c r="A55" t="s">
        <v>79</v>
      </c>
      <c r="B55">
        <v>9.7986327636411363E-3</v>
      </c>
      <c r="C55" s="18">
        <f>Table1[[#This Row],[Adjusted % (W/Floors)]]*$C$70</f>
        <v>944894.59124840423</v>
      </c>
      <c r="D55" s="18">
        <f>Table1[[#This Row],[Adjusted % (W/Floors)]]*$D$70</f>
        <v>178587.13759390716</v>
      </c>
      <c r="E55" s="18">
        <f>Table1[[#This Row],[Adjusted % (W/Floors)]]*$E$70</f>
        <v>148446.04515418076</v>
      </c>
      <c r="F55" s="18">
        <f>Table1[[#This Row],[Adjusted % (W/Floors)]]*$F$70</f>
        <v>148446.04515732784</v>
      </c>
      <c r="G55" s="18">
        <f>Table1[[#This Row],[Adjusted % (W/Floors)]]*$G$70</f>
        <v>148446.04515732784</v>
      </c>
      <c r="H55" s="18">
        <f>Table1[[#This Row],[Adjusted % (W/Floors)]]*$H$70</f>
        <v>158525.66413475689</v>
      </c>
      <c r="I55" s="18">
        <f>Table1[[#This Row],[Adjusted % (W/Floors)]]*$I$70</f>
        <v>152195.3455353881</v>
      </c>
      <c r="J55" s="18">
        <f>Table1[[#This Row],[Adjusted % (W/Floors)]]*$J$70</f>
        <v>71306.611665224147</v>
      </c>
      <c r="K55" s="18">
        <f>Table1[[#This Row],[Adjusted % (W/Floors)]]*$K$70</f>
        <v>71306.611665224147</v>
      </c>
      <c r="L55" s="18">
        <f>Table1[[#This Row],[Adjusted % (W/Floors)]]*$L$70</f>
        <v>71306.611665224147</v>
      </c>
      <c r="M55" s="18">
        <f>Table1[[#This Row],[Adjusted % (W/Floors)]]*$M$70</f>
        <v>71306.611665224162</v>
      </c>
      <c r="N55" s="18">
        <f>Table1[[#This Row],[Adjusted % (W/Floors)]]*$N$70</f>
        <v>71306.611665224162</v>
      </c>
      <c r="O55" s="18">
        <f>Table1[[#This Row],[Adjusted % (W/Floors)]]*$O$70</f>
        <v>71306.611665224162</v>
      </c>
      <c r="P55" s="18">
        <f>SUM(Table1[[#This Row],[Payment 1]:[Payment 13]])</f>
        <v>2307380.543972638</v>
      </c>
    </row>
    <row r="56" spans="1:16" x14ac:dyDescent="0.3">
      <c r="A56" t="s">
        <v>80</v>
      </c>
      <c r="B56">
        <v>1.4285891185863999E-3</v>
      </c>
      <c r="C56" s="18">
        <f>Table1[[#This Row],[Adjusted % (W/Floors)]]*$C$70</f>
        <v>137760.66149528898</v>
      </c>
      <c r="D56" s="18">
        <f>Table1[[#This Row],[Adjusted % (W/Floors)]]*$D$70</f>
        <v>26037.065337607717</v>
      </c>
      <c r="E56" s="18">
        <f>Table1[[#This Row],[Adjusted % (W/Floors)]]*$E$70</f>
        <v>21642.652594487496</v>
      </c>
      <c r="F56" s="18">
        <f>Table1[[#This Row],[Adjusted % (W/Floors)]]*$F$70</f>
        <v>21642.652594946325</v>
      </c>
      <c r="G56" s="18">
        <f>Table1[[#This Row],[Adjusted % (W/Floors)]]*$G$70</f>
        <v>21642.652594946325</v>
      </c>
      <c r="H56" s="18">
        <f>Table1[[#This Row],[Adjusted % (W/Floors)]]*$H$70</f>
        <v>23112.20802558594</v>
      </c>
      <c r="I56" s="18">
        <f>Table1[[#This Row],[Adjusted % (W/Floors)]]*$I$70</f>
        <v>22189.280869687216</v>
      </c>
      <c r="J56" s="18">
        <f>Table1[[#This Row],[Adjusted % (W/Floors)]]*$J$70</f>
        <v>10396.128925884099</v>
      </c>
      <c r="K56" s="18">
        <f>Table1[[#This Row],[Adjusted % (W/Floors)]]*$K$70</f>
        <v>10396.128925884099</v>
      </c>
      <c r="L56" s="18">
        <f>Table1[[#This Row],[Adjusted % (W/Floors)]]*$L$70</f>
        <v>10396.128925884099</v>
      </c>
      <c r="M56" s="18">
        <f>Table1[[#This Row],[Adjusted % (W/Floors)]]*$M$70</f>
        <v>10396.128925884103</v>
      </c>
      <c r="N56" s="18">
        <f>Table1[[#This Row],[Adjusted % (W/Floors)]]*$N$70</f>
        <v>10396.128925884103</v>
      </c>
      <c r="O56" s="18">
        <f>Table1[[#This Row],[Adjusted % (W/Floors)]]*$O$70</f>
        <v>10396.128925884103</v>
      </c>
      <c r="P56" s="18">
        <f>SUM(Table1[[#This Row],[Payment 1]:[Payment 13]])</f>
        <v>336403.94706785452</v>
      </c>
    </row>
    <row r="57" spans="1:16" x14ac:dyDescent="0.3">
      <c r="A57" t="s">
        <v>81</v>
      </c>
      <c r="B57">
        <v>4.2235480138774059E-3</v>
      </c>
      <c r="C57" s="18">
        <f>Table1[[#This Row],[Adjusted % (W/Floors)]]*$C$70</f>
        <v>407282.09439576254</v>
      </c>
      <c r="D57" s="18">
        <f>Table1[[#This Row],[Adjusted % (W/Floors)]]*$D$70</f>
        <v>76977.203706174318</v>
      </c>
      <c r="E57" s="18">
        <f>Table1[[#This Row],[Adjusted % (W/Floors)]]*$E$70</f>
        <v>63985.355335014763</v>
      </c>
      <c r="F57" s="18">
        <f>Table1[[#This Row],[Adjusted % (W/Floors)]]*$F$70</f>
        <v>63985.355336371271</v>
      </c>
      <c r="G57" s="18">
        <f>Table1[[#This Row],[Adjusted % (W/Floors)]]*$G$70</f>
        <v>63985.355336371271</v>
      </c>
      <c r="H57" s="18">
        <f>Table1[[#This Row],[Adjusted % (W/Floors)]]*$H$70</f>
        <v>68330.018080619469</v>
      </c>
      <c r="I57" s="18">
        <f>Table1[[#This Row],[Adjusted % (W/Floors)]]*$I$70</f>
        <v>65601.432859344161</v>
      </c>
      <c r="J57" s="18">
        <f>Table1[[#This Row],[Adjusted % (W/Floors)]]*$J$70</f>
        <v>30735.604174543263</v>
      </c>
      <c r="K57" s="18">
        <f>Table1[[#This Row],[Adjusted % (W/Floors)]]*$K$70</f>
        <v>30735.604174543263</v>
      </c>
      <c r="L57" s="18">
        <f>Table1[[#This Row],[Adjusted % (W/Floors)]]*$L$70</f>
        <v>30735.604174543263</v>
      </c>
      <c r="M57" s="18">
        <f>Table1[[#This Row],[Adjusted % (W/Floors)]]*$M$70</f>
        <v>30735.604174543274</v>
      </c>
      <c r="N57" s="18">
        <f>Table1[[#This Row],[Adjusted % (W/Floors)]]*$N$70</f>
        <v>30735.604174543274</v>
      </c>
      <c r="O57" s="18">
        <f>Table1[[#This Row],[Adjusted % (W/Floors)]]*$O$70</f>
        <v>30735.604174543274</v>
      </c>
      <c r="P57" s="18">
        <f>SUM(Table1[[#This Row],[Payment 1]:[Payment 13]])</f>
        <v>994560.44009691756</v>
      </c>
    </row>
    <row r="58" spans="1:16" x14ac:dyDescent="0.3">
      <c r="A58" t="s">
        <v>82</v>
      </c>
      <c r="B58">
        <v>1.4285891185863999E-3</v>
      </c>
      <c r="C58" s="18">
        <f>Table1[[#This Row],[Adjusted % (W/Floors)]]*$C$70</f>
        <v>137760.66149528898</v>
      </c>
      <c r="D58" s="18">
        <f>Table1[[#This Row],[Adjusted % (W/Floors)]]*$D$70</f>
        <v>26037.065337607717</v>
      </c>
      <c r="E58" s="18">
        <f>Table1[[#This Row],[Adjusted % (W/Floors)]]*$E$70</f>
        <v>21642.652594487496</v>
      </c>
      <c r="F58" s="18">
        <f>Table1[[#This Row],[Adjusted % (W/Floors)]]*$F$70</f>
        <v>21642.652594946325</v>
      </c>
      <c r="G58" s="18">
        <f>Table1[[#This Row],[Adjusted % (W/Floors)]]*$G$70</f>
        <v>21642.652594946325</v>
      </c>
      <c r="H58" s="18">
        <f>Table1[[#This Row],[Adjusted % (W/Floors)]]*$H$70</f>
        <v>23112.20802558594</v>
      </c>
      <c r="I58" s="18">
        <f>Table1[[#This Row],[Adjusted % (W/Floors)]]*$I$70</f>
        <v>22189.280869687216</v>
      </c>
      <c r="J58" s="18">
        <f>Table1[[#This Row],[Adjusted % (W/Floors)]]*$J$70</f>
        <v>10396.128925884099</v>
      </c>
      <c r="K58" s="18">
        <f>Table1[[#This Row],[Adjusted % (W/Floors)]]*$K$70</f>
        <v>10396.128925884099</v>
      </c>
      <c r="L58" s="18">
        <f>Table1[[#This Row],[Adjusted % (W/Floors)]]*$L$70</f>
        <v>10396.128925884099</v>
      </c>
      <c r="M58" s="18">
        <f>Table1[[#This Row],[Adjusted % (W/Floors)]]*$M$70</f>
        <v>10396.128925884103</v>
      </c>
      <c r="N58" s="18">
        <f>Table1[[#This Row],[Adjusted % (W/Floors)]]*$N$70</f>
        <v>10396.128925884103</v>
      </c>
      <c r="O58" s="18">
        <f>Table1[[#This Row],[Adjusted % (W/Floors)]]*$O$70</f>
        <v>10396.128925884103</v>
      </c>
      <c r="P58" s="18">
        <f>SUM(Table1[[#This Row],[Payment 1]:[Payment 13]])</f>
        <v>336403.94706785452</v>
      </c>
    </row>
    <row r="59" spans="1:16" x14ac:dyDescent="0.3">
      <c r="A59" t="s">
        <v>83</v>
      </c>
      <c r="B59">
        <v>1.6496689990441195E-3</v>
      </c>
      <c r="C59" s="18">
        <f>Table1[[#This Row],[Adjusted % (W/Floors)]]*$C$70</f>
        <v>159079.6749043309</v>
      </c>
      <c r="D59" s="18">
        <f>Table1[[#This Row],[Adjusted % (W/Floors)]]*$D$70</f>
        <v>30066.405346863859</v>
      </c>
      <c r="E59" s="18">
        <f>Table1[[#This Row],[Adjusted % (W/Floors)]]*$E$70</f>
        <v>24991.939654094811</v>
      </c>
      <c r="F59" s="18">
        <f>Table1[[#This Row],[Adjusted % (W/Floors)]]*$F$70</f>
        <v>24991.939654624646</v>
      </c>
      <c r="G59" s="18">
        <f>Table1[[#This Row],[Adjusted % (W/Floors)]]*$G$70</f>
        <v>24991.939654624646</v>
      </c>
      <c r="H59" s="18">
        <f>Table1[[#This Row],[Adjusted % (W/Floors)]]*$H$70</f>
        <v>26688.914666377466</v>
      </c>
      <c r="I59" s="18">
        <f>Table1[[#This Row],[Adjusted % (W/Floors)]]*$I$70</f>
        <v>25623.160841394791</v>
      </c>
      <c r="J59" s="18">
        <f>Table1[[#This Row],[Adjusted % (W/Floors)]]*$J$70</f>
        <v>12004.971461680367</v>
      </c>
      <c r="K59" s="18">
        <f>Table1[[#This Row],[Adjusted % (W/Floors)]]*$K$70</f>
        <v>12004.971461680367</v>
      </c>
      <c r="L59" s="18">
        <f>Table1[[#This Row],[Adjusted % (W/Floors)]]*$L$70</f>
        <v>12004.971461680367</v>
      </c>
      <c r="M59" s="18">
        <f>Table1[[#This Row],[Adjusted % (W/Floors)]]*$M$70</f>
        <v>12004.971461680369</v>
      </c>
      <c r="N59" s="18">
        <f>Table1[[#This Row],[Adjusted % (W/Floors)]]*$N$70</f>
        <v>12004.971461680369</v>
      </c>
      <c r="O59" s="18">
        <f>Table1[[#This Row],[Adjusted % (W/Floors)]]*$O$70</f>
        <v>12004.971461680369</v>
      </c>
      <c r="P59" s="18">
        <f>SUM(Table1[[#This Row],[Payment 1]:[Payment 13]])</f>
        <v>388463.80349239334</v>
      </c>
    </row>
    <row r="60" spans="1:16" x14ac:dyDescent="0.3">
      <c r="A60" t="s">
        <v>84</v>
      </c>
      <c r="B60">
        <v>1.4807269070583292E-3</v>
      </c>
      <c r="C60" s="18">
        <f>Table1[[#This Row],[Adjusted % (W/Floors)]]*$C$70</f>
        <v>142788.37459722103</v>
      </c>
      <c r="D60" s="18">
        <f>Table1[[#This Row],[Adjusted % (W/Floors)]]*$D$70</f>
        <v>26987.314074169048</v>
      </c>
      <c r="E60" s="18">
        <f>Table1[[#This Row],[Adjusted % (W/Floors)]]*$E$70</f>
        <v>22432.522843575913</v>
      </c>
      <c r="F60" s="18">
        <f>Table1[[#This Row],[Adjusted % (W/Floors)]]*$F$70</f>
        <v>22432.522844051484</v>
      </c>
      <c r="G60" s="18">
        <f>Table1[[#This Row],[Adjusted % (W/Floors)]]*$G$70</f>
        <v>22432.522844051484</v>
      </c>
      <c r="H60" s="18">
        <f>Table1[[#This Row],[Adjusted % (W/Floors)]]*$H$70</f>
        <v>23955.711169687725</v>
      </c>
      <c r="I60" s="18">
        <f>Table1[[#This Row],[Adjusted % (W/Floors)]]*$I$70</f>
        <v>22999.100864307322</v>
      </c>
      <c r="J60" s="18">
        <f>Table1[[#This Row],[Adjusted % (W/Floors)]]*$J$70</f>
        <v>10775.546047163165</v>
      </c>
      <c r="K60" s="18">
        <f>Table1[[#This Row],[Adjusted % (W/Floors)]]*$K$70</f>
        <v>10775.546047163165</v>
      </c>
      <c r="L60" s="18">
        <f>Table1[[#This Row],[Adjusted % (W/Floors)]]*$L$70</f>
        <v>10775.546047163165</v>
      </c>
      <c r="M60" s="18">
        <f>Table1[[#This Row],[Adjusted % (W/Floors)]]*$M$70</f>
        <v>10775.546047163169</v>
      </c>
      <c r="N60" s="18">
        <f>Table1[[#This Row],[Adjusted % (W/Floors)]]*$N$70</f>
        <v>10775.546047163169</v>
      </c>
      <c r="O60" s="18">
        <f>Table1[[#This Row],[Adjusted % (W/Floors)]]*$O$70</f>
        <v>10775.546047163169</v>
      </c>
      <c r="P60" s="18">
        <f>SUM(Table1[[#This Row],[Payment 1]:[Payment 13]])</f>
        <v>348681.34552004299</v>
      </c>
    </row>
    <row r="61" spans="1:16" x14ac:dyDescent="0.3">
      <c r="A61" t="s">
        <v>85</v>
      </c>
      <c r="B61">
        <v>1.4285891185863999E-3</v>
      </c>
      <c r="C61" s="18">
        <f>Table1[[#This Row],[Adjusted % (W/Floors)]]*$C$70</f>
        <v>137760.66149528898</v>
      </c>
      <c r="D61" s="18">
        <f>Table1[[#This Row],[Adjusted % (W/Floors)]]*$D$70</f>
        <v>26037.065337607717</v>
      </c>
      <c r="E61" s="18">
        <f>Table1[[#This Row],[Adjusted % (W/Floors)]]*$E$70</f>
        <v>21642.652594487496</v>
      </c>
      <c r="F61" s="18">
        <f>Table1[[#This Row],[Adjusted % (W/Floors)]]*$F$70</f>
        <v>21642.652594946325</v>
      </c>
      <c r="G61" s="18">
        <f>Table1[[#This Row],[Adjusted % (W/Floors)]]*$G$70</f>
        <v>21642.652594946325</v>
      </c>
      <c r="H61" s="18">
        <f>Table1[[#This Row],[Adjusted % (W/Floors)]]*$H$70</f>
        <v>23112.20802558594</v>
      </c>
      <c r="I61" s="18">
        <f>Table1[[#This Row],[Adjusted % (W/Floors)]]*$I$70</f>
        <v>22189.280869687216</v>
      </c>
      <c r="J61" s="18">
        <f>Table1[[#This Row],[Adjusted % (W/Floors)]]*$J$70</f>
        <v>10396.128925884099</v>
      </c>
      <c r="K61" s="18">
        <f>Table1[[#This Row],[Adjusted % (W/Floors)]]*$K$70</f>
        <v>10396.128925884099</v>
      </c>
      <c r="L61" s="18">
        <f>Table1[[#This Row],[Adjusted % (W/Floors)]]*$L$70</f>
        <v>10396.128925884099</v>
      </c>
      <c r="M61" s="18">
        <f>Table1[[#This Row],[Adjusted % (W/Floors)]]*$M$70</f>
        <v>10396.128925884103</v>
      </c>
      <c r="N61" s="18">
        <f>Table1[[#This Row],[Adjusted % (W/Floors)]]*$N$70</f>
        <v>10396.128925884103</v>
      </c>
      <c r="O61" s="18">
        <f>Table1[[#This Row],[Adjusted % (W/Floors)]]*$O$70</f>
        <v>10396.128925884103</v>
      </c>
      <c r="P61" s="18">
        <f>SUM(Table1[[#This Row],[Payment 1]:[Payment 13]])</f>
        <v>336403.94706785452</v>
      </c>
    </row>
    <row r="62" spans="1:16" x14ac:dyDescent="0.3">
      <c r="A62" t="s">
        <v>86</v>
      </c>
      <c r="B62">
        <v>3.3390870617237872E-3</v>
      </c>
      <c r="C62" s="18">
        <f>Table1[[#This Row],[Adjusted % (W/Floors)]]*$C$70</f>
        <v>321992.40245410678</v>
      </c>
      <c r="D62" s="18">
        <f>Table1[[#This Row],[Adjusted % (W/Floors)]]*$D$70</f>
        <v>60857.265999681324</v>
      </c>
      <c r="E62" s="18">
        <f>Table1[[#This Row],[Adjusted % (W/Floors)]]*$E$70</f>
        <v>50586.064473978644</v>
      </c>
      <c r="F62" s="18">
        <f>Table1[[#This Row],[Adjusted % (W/Floors)]]*$F$70</f>
        <v>50586.064475051084</v>
      </c>
      <c r="G62" s="18">
        <f>Table1[[#This Row],[Adjusted % (W/Floors)]]*$G$70</f>
        <v>50586.064475051084</v>
      </c>
      <c r="H62" s="18">
        <f>Table1[[#This Row],[Adjusted % (W/Floors)]]*$H$70</f>
        <v>54020.903408858838</v>
      </c>
      <c r="I62" s="18">
        <f>Table1[[#This Row],[Adjusted % (W/Floors)]]*$I$70</f>
        <v>51863.716233707761</v>
      </c>
      <c r="J62" s="18">
        <f>Table1[[#This Row],[Adjusted % (W/Floors)]]*$J$70</f>
        <v>24299.204814594534</v>
      </c>
      <c r="K62" s="18">
        <f>Table1[[#This Row],[Adjusted % (W/Floors)]]*$K$70</f>
        <v>24299.204814594534</v>
      </c>
      <c r="L62" s="18">
        <f>Table1[[#This Row],[Adjusted % (W/Floors)]]*$L$70</f>
        <v>24299.204814594534</v>
      </c>
      <c r="M62" s="18">
        <f>Table1[[#This Row],[Adjusted % (W/Floors)]]*$M$70</f>
        <v>24299.204814594541</v>
      </c>
      <c r="N62" s="18">
        <f>Table1[[#This Row],[Adjusted % (W/Floors)]]*$N$70</f>
        <v>24299.204814594541</v>
      </c>
      <c r="O62" s="18">
        <f>Table1[[#This Row],[Adjusted % (W/Floors)]]*$O$70</f>
        <v>24299.204814594541</v>
      </c>
      <c r="P62" s="18">
        <f>SUM(Table1[[#This Row],[Payment 1]:[Payment 13]])</f>
        <v>786287.71040800295</v>
      </c>
    </row>
    <row r="63" spans="1:16" x14ac:dyDescent="0.3">
      <c r="A63" t="s">
        <v>87</v>
      </c>
      <c r="B63">
        <v>1.4285891185863999E-3</v>
      </c>
      <c r="C63" s="18">
        <f>Table1[[#This Row],[Adjusted % (W/Floors)]]*$C$70</f>
        <v>137760.66149528898</v>
      </c>
      <c r="D63" s="18">
        <f>Table1[[#This Row],[Adjusted % (W/Floors)]]*$D$70</f>
        <v>26037.065337607717</v>
      </c>
      <c r="E63" s="18">
        <f>Table1[[#This Row],[Adjusted % (W/Floors)]]*$E$70</f>
        <v>21642.652594487496</v>
      </c>
      <c r="F63" s="18">
        <f>Table1[[#This Row],[Adjusted % (W/Floors)]]*$F$70</f>
        <v>21642.652594946325</v>
      </c>
      <c r="G63" s="18">
        <f>Table1[[#This Row],[Adjusted % (W/Floors)]]*$G$70</f>
        <v>21642.652594946325</v>
      </c>
      <c r="H63" s="18">
        <f>Table1[[#This Row],[Adjusted % (W/Floors)]]*$H$70</f>
        <v>23112.20802558594</v>
      </c>
      <c r="I63" s="18">
        <f>Table1[[#This Row],[Adjusted % (W/Floors)]]*$I$70</f>
        <v>22189.280869687216</v>
      </c>
      <c r="J63" s="18">
        <f>Table1[[#This Row],[Adjusted % (W/Floors)]]*$J$70</f>
        <v>10396.128925884099</v>
      </c>
      <c r="K63" s="18">
        <f>Table1[[#This Row],[Adjusted % (W/Floors)]]*$K$70</f>
        <v>10396.128925884099</v>
      </c>
      <c r="L63" s="18">
        <f>Table1[[#This Row],[Adjusted % (W/Floors)]]*$L$70</f>
        <v>10396.128925884099</v>
      </c>
      <c r="M63" s="18">
        <f>Table1[[#This Row],[Adjusted % (W/Floors)]]*$M$70</f>
        <v>10396.128925884103</v>
      </c>
      <c r="N63" s="18">
        <f>Table1[[#This Row],[Adjusted % (W/Floors)]]*$N$70</f>
        <v>10396.128925884103</v>
      </c>
      <c r="O63" s="18">
        <f>Table1[[#This Row],[Adjusted % (W/Floors)]]*$O$70</f>
        <v>10396.128925884103</v>
      </c>
      <c r="P63" s="18">
        <f>SUM(Table1[[#This Row],[Payment 1]:[Payment 13]])</f>
        <v>336403.94706785452</v>
      </c>
    </row>
    <row r="64" spans="1:16" x14ac:dyDescent="0.3">
      <c r="A64" t="s">
        <v>88</v>
      </c>
      <c r="B64">
        <v>1.6367492676323599E-2</v>
      </c>
      <c r="C64" s="18">
        <f>Table1[[#This Row],[Adjusted % (W/Floors)]]*$C$70</f>
        <v>1578338.0880996597</v>
      </c>
      <c r="D64" s="18">
        <f>Table1[[#This Row],[Adjusted % (W/Floors)]]*$D$70</f>
        <v>298309.33939070138</v>
      </c>
      <c r="E64" s="18">
        <f>Table1[[#This Row],[Adjusted % (W/Floors)]]*$E$70</f>
        <v>247962.09996826047</v>
      </c>
      <c r="F64" s="18">
        <f>Table1[[#This Row],[Adjusted % (W/Floors)]]*$F$70</f>
        <v>247962.09997351732</v>
      </c>
      <c r="G64" s="18">
        <f>Table1[[#This Row],[Adjusted % (W/Floors)]]*$G$70</f>
        <v>247962.09997351732</v>
      </c>
      <c r="H64" s="18">
        <f>Table1[[#This Row],[Adjusted % (W/Floors)]]*$H$70</f>
        <v>264798.9479065648</v>
      </c>
      <c r="I64" s="18">
        <f>Table1[[#This Row],[Adjusted % (W/Floors)]]*$I$70</f>
        <v>254224.87641993604</v>
      </c>
      <c r="J64" s="18">
        <f>Table1[[#This Row],[Adjusted % (W/Floors)]]*$J$70</f>
        <v>119109.51990513349</v>
      </c>
      <c r="K64" s="18">
        <f>Table1[[#This Row],[Adjusted % (W/Floors)]]*$K$70</f>
        <v>119109.51990513349</v>
      </c>
      <c r="L64" s="18">
        <f>Table1[[#This Row],[Adjusted % (W/Floors)]]*$L$70</f>
        <v>119109.51990513349</v>
      </c>
      <c r="M64" s="18">
        <f>Table1[[#This Row],[Adjusted % (W/Floors)]]*$M$70</f>
        <v>119109.51990513352</v>
      </c>
      <c r="N64" s="18">
        <f>Table1[[#This Row],[Adjusted % (W/Floors)]]*$N$70</f>
        <v>119109.51990513352</v>
      </c>
      <c r="O64" s="18">
        <f>Table1[[#This Row],[Adjusted % (W/Floors)]]*$O$70</f>
        <v>119109.51990513352</v>
      </c>
      <c r="P64" s="18">
        <f>SUM(Table1[[#This Row],[Payment 1]:[Payment 13]])</f>
        <v>3854214.6711629592</v>
      </c>
    </row>
    <row r="65" spans="1:16" x14ac:dyDescent="0.3">
      <c r="A65" t="s">
        <v>89</v>
      </c>
      <c r="B65">
        <v>3.13039447751333E-3</v>
      </c>
      <c r="C65" s="18">
        <f>Table1[[#This Row],[Adjusted % (W/Floors)]]*$C$70</f>
        <v>301867.91174089041</v>
      </c>
      <c r="D65" s="18">
        <f>Table1[[#This Row],[Adjusted % (W/Floors)]]*$D$70</f>
        <v>57053.693383967569</v>
      </c>
      <c r="E65" s="18">
        <f>Table1[[#This Row],[Adjusted % (W/Floors)]]*$E$70</f>
        <v>47424.440855018125</v>
      </c>
      <c r="F65" s="18">
        <f>Table1[[#This Row],[Adjusted % (W/Floors)]]*$F$70</f>
        <v>47424.440856023532</v>
      </c>
      <c r="G65" s="18">
        <f>Table1[[#This Row],[Adjusted % (W/Floors)]]*$G$70</f>
        <v>47424.440856023532</v>
      </c>
      <c r="H65" s="18">
        <f>Table1[[#This Row],[Adjusted % (W/Floors)]]*$H$70</f>
        <v>50644.602723857162</v>
      </c>
      <c r="I65" s="18">
        <f>Table1[[#This Row],[Adjusted % (W/Floors)]]*$I$70</f>
        <v>48622.239516421243</v>
      </c>
      <c r="J65" s="18">
        <f>Table1[[#This Row],[Adjusted % (W/Floors)]]*$J$70</f>
        <v>22780.507112714604</v>
      </c>
      <c r="K65" s="18">
        <f>Table1[[#This Row],[Adjusted % (W/Floors)]]*$K$70</f>
        <v>22780.507112714604</v>
      </c>
      <c r="L65" s="18">
        <f>Table1[[#This Row],[Adjusted % (W/Floors)]]*$L$70</f>
        <v>22780.507112714604</v>
      </c>
      <c r="M65" s="18">
        <f>Table1[[#This Row],[Adjusted % (W/Floors)]]*$M$70</f>
        <v>22780.507112714611</v>
      </c>
      <c r="N65" s="18">
        <f>Table1[[#This Row],[Adjusted % (W/Floors)]]*$N$70</f>
        <v>22780.507112714611</v>
      </c>
      <c r="O65" s="18">
        <f>Table1[[#This Row],[Adjusted % (W/Floors)]]*$O$70</f>
        <v>22780.507112714611</v>
      </c>
      <c r="P65" s="18">
        <f>SUM(Table1[[#This Row],[Payment 1]:[Payment 13]])</f>
        <v>737144.81260848895</v>
      </c>
    </row>
    <row r="66" spans="1:16" x14ac:dyDescent="0.3">
      <c r="A66" t="s">
        <v>90</v>
      </c>
      <c r="B66">
        <v>3.2069154250612922E-2</v>
      </c>
      <c r="C66" s="18">
        <f>Table1[[#This Row],[Adjusted % (W/Floors)]]*$C$70</f>
        <v>3092469.2381322412</v>
      </c>
      <c r="D66" s="18">
        <f>Table1[[#This Row],[Adjusted % (W/Floors)]]*$D$70</f>
        <v>584483.427517112</v>
      </c>
      <c r="E66" s="18">
        <f>Table1[[#This Row],[Adjusted % (W/Floors)]]*$E$70</f>
        <v>485837.07898589259</v>
      </c>
      <c r="F66" s="18">
        <f>Table1[[#This Row],[Adjusted % (W/Floors)]]*$F$70</f>
        <v>485837.07899619243</v>
      </c>
      <c r="G66" s="18">
        <f>Table1[[#This Row],[Adjusted % (W/Floors)]]*$G$70</f>
        <v>485837.07899619243</v>
      </c>
      <c r="H66" s="18">
        <f>Table1[[#This Row],[Adjusted % (W/Floors)]]*$H$70</f>
        <v>518825.85034539655</v>
      </c>
      <c r="I66" s="18">
        <f>Table1[[#This Row],[Adjusted % (W/Floors)]]*$I$70</f>
        <v>498107.86156925175</v>
      </c>
      <c r="J66" s="18">
        <f>Table1[[#This Row],[Adjusted % (W/Floors)]]*$J$70</f>
        <v>233373.65362500661</v>
      </c>
      <c r="K66" s="18">
        <f>Table1[[#This Row],[Adjusted % (W/Floors)]]*$K$70</f>
        <v>233373.65362500661</v>
      </c>
      <c r="L66" s="18">
        <f>Table1[[#This Row],[Adjusted % (W/Floors)]]*$L$70</f>
        <v>233373.65362500661</v>
      </c>
      <c r="M66" s="18">
        <f>Table1[[#This Row],[Adjusted % (W/Floors)]]*$M$70</f>
        <v>233373.6536250067</v>
      </c>
      <c r="N66" s="18">
        <f>Table1[[#This Row],[Adjusted % (W/Floors)]]*$N$70</f>
        <v>233373.6536250067</v>
      </c>
      <c r="O66" s="18">
        <f>Table1[[#This Row],[Adjusted % (W/Floors)]]*$O$70</f>
        <v>233373.6536250067</v>
      </c>
      <c r="P66" s="18">
        <f>SUM(Table1[[#This Row],[Payment 1]:[Payment 13]])</f>
        <v>7551639.5362923201</v>
      </c>
    </row>
    <row r="67" spans="1:16" x14ac:dyDescent="0.3">
      <c r="A67" t="s">
        <v>91</v>
      </c>
      <c r="B67">
        <v>2.0273036752403669E-3</v>
      </c>
      <c r="C67" s="18">
        <f>Table1[[#This Row],[Adjusted % (W/Floors)]]*$C$70</f>
        <v>195495.46592465707</v>
      </c>
      <c r="D67" s="18">
        <f>Table1[[#This Row],[Adjusted % (W/Floors)]]*$D$70</f>
        <v>36949.069235272422</v>
      </c>
      <c r="E67" s="18">
        <f>Table1[[#This Row],[Adjusted % (W/Floors)]]*$E$70</f>
        <v>30712.980083574228</v>
      </c>
      <c r="F67" s="18">
        <f>Table1[[#This Row],[Adjusted % (W/Floors)]]*$F$70</f>
        <v>30712.98008422535</v>
      </c>
      <c r="G67" s="18">
        <f>Table1[[#This Row],[Adjusted % (W/Floors)]]*$G$70</f>
        <v>30712.98008422535</v>
      </c>
      <c r="H67" s="18">
        <f>Table1[[#This Row],[Adjusted % (W/Floors)]]*$H$70</f>
        <v>32798.418848068875</v>
      </c>
      <c r="I67" s="18">
        <f>Table1[[#This Row],[Adjusted % (W/Floors)]]*$I$70</f>
        <v>31488.697535768777</v>
      </c>
      <c r="J67" s="18">
        <f>Table1[[#This Row],[Adjusted % (W/Floors)]]*$J$70</f>
        <v>14753.094578077495</v>
      </c>
      <c r="K67" s="18">
        <f>Table1[[#This Row],[Adjusted % (W/Floors)]]*$K$70</f>
        <v>14753.094578077495</v>
      </c>
      <c r="L67" s="18">
        <f>Table1[[#This Row],[Adjusted % (W/Floors)]]*$L$70</f>
        <v>14753.094578077495</v>
      </c>
      <c r="M67" s="18">
        <f>Table1[[#This Row],[Adjusted % (W/Floors)]]*$M$70</f>
        <v>14753.094578077498</v>
      </c>
      <c r="N67" s="18">
        <f>Table1[[#This Row],[Adjusted % (W/Floors)]]*$N$70</f>
        <v>14753.094578077498</v>
      </c>
      <c r="O67" s="18">
        <f>Table1[[#This Row],[Adjusted % (W/Floors)]]*$O$70</f>
        <v>14753.094578077498</v>
      </c>
      <c r="P67" s="18">
        <f>SUM(Table1[[#This Row],[Payment 1]:[Payment 13]])</f>
        <v>477389.15926425706</v>
      </c>
    </row>
    <row r="68" spans="1:16" x14ac:dyDescent="0.3">
      <c r="A68" t="s">
        <v>92</v>
      </c>
      <c r="B68">
        <v>2.5549983524653132E-2</v>
      </c>
      <c r="C68" s="18">
        <f>Table1[[#This Row],[Adjusted % (W/Floors)]]*$C$70</f>
        <v>2463817.3326091147</v>
      </c>
      <c r="D68" s="18">
        <f>Table1[[#This Row],[Adjusted % (W/Floors)]]*$D$70</f>
        <v>465666.84692689037</v>
      </c>
      <c r="E68" s="18">
        <f>Table1[[#This Row],[Adjusted % (W/Floors)]]*$E$70</f>
        <v>387073.79891435435</v>
      </c>
      <c r="F68" s="18">
        <f>Table1[[#This Row],[Adjusted % (W/Floors)]]*$F$70</f>
        <v>387073.79892256035</v>
      </c>
      <c r="G68" s="18">
        <f>Table1[[#This Row],[Adjusted % (W/Floors)]]*$G$70</f>
        <v>387073.79892256035</v>
      </c>
      <c r="H68" s="18">
        <f>Table1[[#This Row],[Adjusted % (W/Floors)]]*$H$70</f>
        <v>413356.45539313462</v>
      </c>
      <c r="I68" s="18">
        <f>Table1[[#This Row],[Adjusted % (W/Floors)]]*$I$70</f>
        <v>396850.11825191323</v>
      </c>
      <c r="J68" s="18">
        <f>Table1[[#This Row],[Adjusted % (W/Floors)]]*$J$70</f>
        <v>185932.34354139739</v>
      </c>
      <c r="K68" s="18">
        <f>Table1[[#This Row],[Adjusted % (W/Floors)]]*$K$70</f>
        <v>185932.34354139739</v>
      </c>
      <c r="L68" s="18">
        <f>Table1[[#This Row],[Adjusted % (W/Floors)]]*$L$70</f>
        <v>185932.34354139739</v>
      </c>
      <c r="M68" s="18">
        <f>Table1[[#This Row],[Adjusted % (W/Floors)]]*$M$70</f>
        <v>185932.34354139742</v>
      </c>
      <c r="N68" s="18">
        <f>Table1[[#This Row],[Adjusted % (W/Floors)]]*$N$70</f>
        <v>185932.34354139742</v>
      </c>
      <c r="O68" s="18">
        <f>Table1[[#This Row],[Adjusted % (W/Floors)]]*$O$70</f>
        <v>185932.34354139742</v>
      </c>
      <c r="P68" s="18">
        <f>SUM(Table1[[#This Row],[Payment 1]:[Payment 13]])</f>
        <v>6016506.2111889133</v>
      </c>
    </row>
    <row r="70" spans="1:16" s="16" customFormat="1" x14ac:dyDescent="0.3">
      <c r="A70" s="16" t="s">
        <v>25</v>
      </c>
      <c r="C70" s="17">
        <f>'County Breakdown'!J2</f>
        <v>96431268.937288433</v>
      </c>
      <c r="D70" s="17">
        <f>'County Breakdown'!J3</f>
        <v>18225720.047043055</v>
      </c>
      <c r="E70" s="17">
        <f>'County Breakdown'!J4</f>
        <v>15149669.217628557</v>
      </c>
      <c r="F70" s="17">
        <f>'County Breakdown'!J5</f>
        <v>15149669.217949733</v>
      </c>
      <c r="G70" s="17">
        <f>'County Breakdown'!J6</f>
        <v>15149669.217949733</v>
      </c>
      <c r="H70" s="17">
        <f>'County Breakdown'!J7</f>
        <v>16178345.281290993</v>
      </c>
      <c r="I70" s="17">
        <f>'County Breakdown'!J8</f>
        <v>15532304.272094473</v>
      </c>
      <c r="J70" s="17">
        <f>'County Breakdown'!J9</f>
        <v>7277200.1344733397</v>
      </c>
      <c r="K70" s="17">
        <f>'County Breakdown'!J10</f>
        <v>7277200.1344733397</v>
      </c>
      <c r="L70" s="17">
        <f>'County Breakdown'!J11</f>
        <v>7277200.1344733397</v>
      </c>
      <c r="M70" s="17">
        <f>'County Breakdown'!J12</f>
        <v>7277200.1344733415</v>
      </c>
      <c r="N70" s="17">
        <f>'County Breakdown'!J13</f>
        <v>7277200.1344733415</v>
      </c>
      <c r="O70" s="17">
        <f>'County Breakdown'!J14</f>
        <v>7277200.1344733415</v>
      </c>
      <c r="P70" s="17">
        <f>SUM(C70:O70)</f>
        <v>235479846.99808514</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topLeftCell="A44" workbookViewId="0"/>
  </sheetViews>
  <sheetFormatPr defaultRowHeight="14.4" x14ac:dyDescent="0.3"/>
  <cols>
    <col min="1" max="1" width="20" customWidth="1"/>
    <col min="2" max="18" width="17.6640625" customWidth="1"/>
  </cols>
  <sheetData>
    <row r="1" spans="1:18" x14ac:dyDescent="0.3">
      <c r="A1" t="s">
        <v>4</v>
      </c>
      <c r="B1" t="s">
        <v>114</v>
      </c>
      <c r="C1" t="s">
        <v>93</v>
      </c>
      <c r="D1" t="s">
        <v>94</v>
      </c>
      <c r="E1" t="s">
        <v>95</v>
      </c>
      <c r="F1" t="s">
        <v>96</v>
      </c>
      <c r="G1" t="s">
        <v>97</v>
      </c>
      <c r="H1" t="s">
        <v>98</v>
      </c>
      <c r="I1" t="s">
        <v>99</v>
      </c>
      <c r="J1" t="s">
        <v>100</v>
      </c>
      <c r="K1" t="s">
        <v>101</v>
      </c>
      <c r="L1" t="s">
        <v>102</v>
      </c>
      <c r="M1" t="s">
        <v>103</v>
      </c>
      <c r="N1" t="s">
        <v>104</v>
      </c>
      <c r="O1" t="s">
        <v>105</v>
      </c>
      <c r="P1" t="s">
        <v>115</v>
      </c>
      <c r="Q1" t="s">
        <v>116</v>
      </c>
      <c r="R1" t="s">
        <v>6</v>
      </c>
    </row>
    <row r="2" spans="1:18" x14ac:dyDescent="0.3">
      <c r="A2" t="s">
        <v>26</v>
      </c>
      <c r="B2">
        <v>9.1563811681927808E-3</v>
      </c>
      <c r="C2" s="7">
        <f>Table5[[#This Row],[Floor % w/ No Philadelphia]]*$C$70</f>
        <v>139869.14516966129</v>
      </c>
      <c r="D2" s="7">
        <f>Table5[[#This Row],[Floor % w/ No Philadelphia]]*$D$70</f>
        <v>139869.14520170866</v>
      </c>
      <c r="E2" s="7">
        <f>Table5[[#This Row],[Floor % w/ No Philadelphia]]*$E$70</f>
        <v>103713.52148849593</v>
      </c>
      <c r="F2" s="7">
        <f>Table5[[#This Row],[Floor % w/ No Philadelphia]]*$F$70</f>
        <v>103713.52148849593</v>
      </c>
      <c r="G2" s="7">
        <f>Table5[[#This Row],[Floor % w/ No Philadelphia]]*$G$70</f>
        <v>103713.52148849593</v>
      </c>
      <c r="H2" s="7">
        <f>Table5[[#This Row],[Floor % w/ No Philadelphia]]*$H$70</f>
        <v>131873.5364656852</v>
      </c>
      <c r="I2" s="7">
        <f>Table5[[#This Row],[Floor % w/ No Philadelphia]]*$I$70</f>
        <v>128536.84393502181</v>
      </c>
      <c r="J2" s="7">
        <f>Table5[[#This Row],[Floor % w/ No Philadelphia]]*$J$70</f>
        <v>139780.64579396849</v>
      </c>
      <c r="K2" s="7">
        <f>Table5[[#This Row],[Floor % w/ No Philadelphia]]*$K$70</f>
        <v>139727.69047550776</v>
      </c>
      <c r="L2" s="7">
        <f>Table5[[#This Row],[Floor % w/ No Philadelphia]]*$L$70</f>
        <v>139727.69059314052</v>
      </c>
      <c r="M2" s="7">
        <f>Table5[[#This Row],[Floor % w/ No Philadelphia]]*$M$70</f>
        <v>67586.355820567172</v>
      </c>
      <c r="N2" s="7">
        <f>Table5[[#This Row],[Floor % w/ No Philadelphia]]*$N$70</f>
        <v>67586.355820567172</v>
      </c>
      <c r="O2" s="7">
        <f>Table5[[#This Row],[Floor % w/ No Philadelphia]]*$O$70</f>
        <v>67586.355820567172</v>
      </c>
      <c r="P2" s="7">
        <f>Table5[[#This Row],[Floor % w/ No Philadelphia]]*$P$70</f>
        <v>67586.355820567172</v>
      </c>
      <c r="Q2" s="7">
        <f>Table5[[#This Row],[Floor % w/ No Philadelphia]]*$Q$70</f>
        <v>67586.355820567172</v>
      </c>
      <c r="R2" s="7">
        <f>SUM(Table5[[#This Row],[Payment 1]:[Payment 15]])</f>
        <v>1608457.0412030169</v>
      </c>
    </row>
    <row r="3" spans="1:18" x14ac:dyDescent="0.3">
      <c r="A3" t="s">
        <v>27</v>
      </c>
      <c r="B3">
        <v>0.10809319125197787</v>
      </c>
      <c r="C3" s="7">
        <f>Table5[[#This Row],[Floor % w/ No Philadelphia]]*$C$70</f>
        <v>1651187.5140797477</v>
      </c>
      <c r="D3" s="7">
        <f>Table5[[#This Row],[Floor % w/ No Philadelphia]]*$D$70</f>
        <v>1651187.5144580742</v>
      </c>
      <c r="E3" s="7">
        <f>Table5[[#This Row],[Floor % w/ No Philadelphia]]*$E$70</f>
        <v>1224362.0386420412</v>
      </c>
      <c r="F3" s="7">
        <f>Table5[[#This Row],[Floor % w/ No Philadelphia]]*$F$70</f>
        <v>1224362.0386420412</v>
      </c>
      <c r="G3" s="7">
        <f>Table5[[#This Row],[Floor % w/ No Philadelphia]]*$G$70</f>
        <v>1224362.0386420412</v>
      </c>
      <c r="H3" s="7">
        <f>Table5[[#This Row],[Floor % w/ No Philadelphia]]*$H$70</f>
        <v>1556797.509454651</v>
      </c>
      <c r="I3" s="7">
        <f>Table5[[#This Row],[Floor % w/ No Philadelphia]]*$I$70</f>
        <v>1517407.0846524439</v>
      </c>
      <c r="J3" s="7">
        <f>Table5[[#This Row],[Floor % w/ No Philadelphia]]*$J$70</f>
        <v>1650142.7585407721</v>
      </c>
      <c r="K3" s="7">
        <f>Table5[[#This Row],[Floor % w/ No Philadelphia]]*$K$70</f>
        <v>1649517.6087942687</v>
      </c>
      <c r="L3" s="7">
        <f>Table5[[#This Row],[Floor % w/ No Philadelphia]]*$L$70</f>
        <v>1649517.6101829505</v>
      </c>
      <c r="M3" s="7">
        <f>Table5[[#This Row],[Floor % w/ No Philadelphia]]*$M$70</f>
        <v>797872.51661332115</v>
      </c>
      <c r="N3" s="7">
        <f>Table5[[#This Row],[Floor % w/ No Philadelphia]]*$N$70</f>
        <v>797872.51661332115</v>
      </c>
      <c r="O3" s="7">
        <f>Table5[[#This Row],[Floor % w/ No Philadelphia]]*$O$70</f>
        <v>797872.51661332115</v>
      </c>
      <c r="P3" s="7">
        <f>Table5[[#This Row],[Floor % w/ No Philadelphia]]*$P$70</f>
        <v>797872.51661332115</v>
      </c>
      <c r="Q3" s="7">
        <f>Table5[[#This Row],[Floor % w/ No Philadelphia]]*$Q$70</f>
        <v>797872.51661332115</v>
      </c>
      <c r="R3" s="7">
        <f>SUM(Table5[[#This Row],[Payment 1]:[Payment 15]])</f>
        <v>18988206.299155634</v>
      </c>
    </row>
    <row r="4" spans="1:18" x14ac:dyDescent="0.3">
      <c r="A4" t="s">
        <v>28</v>
      </c>
      <c r="B4">
        <v>5.7542383182339367E-3</v>
      </c>
      <c r="C4" s="7">
        <f>Table5[[#This Row],[Floor % w/ No Philadelphia]]*$C$70</f>
        <v>87899.398232756575</v>
      </c>
      <c r="D4" s="7">
        <f>Table5[[#This Row],[Floor % w/ No Philadelphia]]*$D$70</f>
        <v>87899.398252896426</v>
      </c>
      <c r="E4" s="7">
        <f>Table5[[#This Row],[Floor % w/ No Philadelphia]]*$E$70</f>
        <v>65177.749648649959</v>
      </c>
      <c r="F4" s="7">
        <f>Table5[[#This Row],[Floor % w/ No Philadelphia]]*$F$70</f>
        <v>65177.749648649959</v>
      </c>
      <c r="G4" s="7">
        <f>Table5[[#This Row],[Floor % w/ No Philadelphia]]*$G$70</f>
        <v>65177.749648649959</v>
      </c>
      <c r="H4" s="7">
        <f>Table5[[#This Row],[Floor % w/ No Philadelphia]]*$H$70</f>
        <v>82874.636032833339</v>
      </c>
      <c r="I4" s="7">
        <f>Table5[[#This Row],[Floor % w/ No Philadelphia]]*$I$70</f>
        <v>80777.724200153738</v>
      </c>
      <c r="J4" s="7">
        <f>Table5[[#This Row],[Floor % w/ No Philadelphia]]*$J$70</f>
        <v>87843.781664442417</v>
      </c>
      <c r="K4" s="7">
        <f>Table5[[#This Row],[Floor % w/ No Philadelphia]]*$K$70</f>
        <v>87810.502411750364</v>
      </c>
      <c r="L4" s="7">
        <f>Table5[[#This Row],[Floor % w/ No Philadelphia]]*$L$70</f>
        <v>87810.502485675519</v>
      </c>
      <c r="M4" s="7">
        <f>Table5[[#This Row],[Floor % w/ No Philadelphia]]*$M$70</f>
        <v>42473.985225023207</v>
      </c>
      <c r="N4" s="7">
        <f>Table5[[#This Row],[Floor % w/ No Philadelphia]]*$N$70</f>
        <v>42473.985225023207</v>
      </c>
      <c r="O4" s="7">
        <f>Table5[[#This Row],[Floor % w/ No Philadelphia]]*$O$70</f>
        <v>42473.985225023207</v>
      </c>
      <c r="P4" s="7">
        <f>Table5[[#This Row],[Floor % w/ No Philadelphia]]*$P$70</f>
        <v>42473.985225023207</v>
      </c>
      <c r="Q4" s="7">
        <f>Table5[[#This Row],[Floor % w/ No Philadelphia]]*$Q$70</f>
        <v>42473.985225023207</v>
      </c>
      <c r="R4" s="7">
        <f>SUM(Table5[[#This Row],[Payment 1]:[Payment 15]])</f>
        <v>1010819.1183515744</v>
      </c>
    </row>
    <row r="5" spans="1:18" x14ac:dyDescent="0.3">
      <c r="A5" t="s">
        <v>29</v>
      </c>
      <c r="B5">
        <v>1.4571507426736248E-2</v>
      </c>
      <c r="C5" s="7">
        <f>Table5[[#This Row],[Floor % w/ No Philadelphia]]*$C$70</f>
        <v>222588.40585305556</v>
      </c>
      <c r="D5" s="7">
        <f>Table5[[#This Row],[Floor % w/ No Philadelphia]]*$D$70</f>
        <v>222588.40590405589</v>
      </c>
      <c r="E5" s="7">
        <f>Table5[[#This Row],[Floor % w/ No Philadelphia]]*$E$70</f>
        <v>165050.17876193</v>
      </c>
      <c r="F5" s="7">
        <f>Table5[[#This Row],[Floor % w/ No Philadelphia]]*$F$70</f>
        <v>165050.17876193</v>
      </c>
      <c r="G5" s="7">
        <f>Table5[[#This Row],[Floor % w/ No Philadelphia]]*$G$70</f>
        <v>165050.17876193</v>
      </c>
      <c r="H5" s="7">
        <f>Table5[[#This Row],[Floor % w/ No Philadelphia]]*$H$70</f>
        <v>209864.15710552773</v>
      </c>
      <c r="I5" s="7">
        <f>Table5[[#This Row],[Floor % w/ No Philadelphia]]*$I$70</f>
        <v>204554.12914817335</v>
      </c>
      <c r="J5" s="7">
        <f>Table5[[#This Row],[Floor % w/ No Philadelphia]]*$J$70</f>
        <v>222447.56753642359</v>
      </c>
      <c r="K5" s="7">
        <f>Table5[[#This Row],[Floor % w/ No Philadelphia]]*$K$70</f>
        <v>222363.29419720129</v>
      </c>
      <c r="L5" s="7">
        <f>Table5[[#This Row],[Floor % w/ No Philadelphia]]*$L$70</f>
        <v>222363.2943844026</v>
      </c>
      <c r="M5" s="7">
        <f>Table5[[#This Row],[Floor % w/ No Philadelphia]]*$M$70</f>
        <v>107557.23988495913</v>
      </c>
      <c r="N5" s="7">
        <f>Table5[[#This Row],[Floor % w/ No Philadelphia]]*$N$70</f>
        <v>107557.23988495913</v>
      </c>
      <c r="O5" s="7">
        <f>Table5[[#This Row],[Floor % w/ No Philadelphia]]*$O$70</f>
        <v>107557.23988495913</v>
      </c>
      <c r="P5" s="7">
        <f>Table5[[#This Row],[Floor % w/ No Philadelphia]]*$P$70</f>
        <v>107557.23988495913</v>
      </c>
      <c r="Q5" s="7">
        <f>Table5[[#This Row],[Floor % w/ No Philadelphia]]*$Q$70</f>
        <v>107557.23988495913</v>
      </c>
      <c r="R5" s="7">
        <f>SUM(Table5[[#This Row],[Payment 1]:[Payment 15]])</f>
        <v>2559705.9898394258</v>
      </c>
    </row>
    <row r="6" spans="1:18" x14ac:dyDescent="0.3">
      <c r="A6" t="s">
        <v>30</v>
      </c>
      <c r="B6">
        <v>4.2567230182063301E-3</v>
      </c>
      <c r="C6" s="7">
        <f>Table5[[#This Row],[Floor % w/ No Philadelphia]]*$C$70</f>
        <v>65023.965128141608</v>
      </c>
      <c r="D6" s="7">
        <f>Table5[[#This Row],[Floor % w/ No Philadelphia]]*$D$70</f>
        <v>65023.965143040157</v>
      </c>
      <c r="E6" s="7">
        <f>Table5[[#This Row],[Floor % w/ No Philadelphia]]*$E$70</f>
        <v>48215.525993273339</v>
      </c>
      <c r="F6" s="7">
        <f>Table5[[#This Row],[Floor % w/ No Philadelphia]]*$F$70</f>
        <v>48215.525993273339</v>
      </c>
      <c r="G6" s="7">
        <f>Table5[[#This Row],[Floor % w/ No Philadelphia]]*$G$70</f>
        <v>48215.525993273339</v>
      </c>
      <c r="H6" s="7">
        <f>Table5[[#This Row],[Floor % w/ No Philadelphia]]*$H$70</f>
        <v>61306.875265935327</v>
      </c>
      <c r="I6" s="7">
        <f>Table5[[#This Row],[Floor % w/ No Philadelphia]]*$I$70</f>
        <v>59755.675546411716</v>
      </c>
      <c r="J6" s="7">
        <f>Table5[[#This Row],[Floor % w/ No Philadelphia]]*$J$70</f>
        <v>64982.822527949626</v>
      </c>
      <c r="K6" s="7">
        <f>Table5[[#This Row],[Floor % w/ No Philadelphia]]*$K$70</f>
        <v>64958.204054899237</v>
      </c>
      <c r="L6" s="7">
        <f>Table5[[#This Row],[Floor % w/ No Philadelphia]]*$L$70</f>
        <v>64958.204109585691</v>
      </c>
      <c r="M6" s="7">
        <f>Table5[[#This Row],[Floor % w/ No Philadelphia]]*$M$70</f>
        <v>31420.316744510874</v>
      </c>
      <c r="N6" s="7">
        <f>Table5[[#This Row],[Floor % w/ No Philadelphia]]*$N$70</f>
        <v>31420.316744510874</v>
      </c>
      <c r="O6" s="7">
        <f>Table5[[#This Row],[Floor % w/ No Philadelphia]]*$O$70</f>
        <v>31420.316744510874</v>
      </c>
      <c r="P6" s="7">
        <f>Table5[[#This Row],[Floor % w/ No Philadelphia]]*$P$70</f>
        <v>31420.316744510874</v>
      </c>
      <c r="Q6" s="7">
        <f>Table5[[#This Row],[Floor % w/ No Philadelphia]]*$Q$70</f>
        <v>31420.316744510874</v>
      </c>
      <c r="R6" s="7">
        <f>SUM(Table5[[#This Row],[Payment 1]:[Payment 15]])</f>
        <v>747757.87347833789</v>
      </c>
    </row>
    <row r="7" spans="1:18" x14ac:dyDescent="0.3">
      <c r="A7" t="s">
        <v>31</v>
      </c>
      <c r="B7">
        <v>3.7436904720177307E-2</v>
      </c>
      <c r="C7" s="7">
        <f>Table5[[#This Row],[Floor % w/ No Philadelphia]]*$C$70</f>
        <v>571870.89143895416</v>
      </c>
      <c r="D7" s="7">
        <f>Table5[[#This Row],[Floor % w/ No Philadelphia]]*$D$70</f>
        <v>571870.89156998345</v>
      </c>
      <c r="E7" s="7">
        <f>Table5[[#This Row],[Floor % w/ No Philadelphia]]*$E$70</f>
        <v>424044.51615083049</v>
      </c>
      <c r="F7" s="7">
        <f>Table5[[#This Row],[Floor % w/ No Philadelphia]]*$F$70</f>
        <v>424044.51615083049</v>
      </c>
      <c r="G7" s="7">
        <f>Table5[[#This Row],[Floor % w/ No Philadelphia]]*$G$70</f>
        <v>424044.51615083049</v>
      </c>
      <c r="H7" s="7">
        <f>Table5[[#This Row],[Floor % w/ No Philadelphia]]*$H$70</f>
        <v>539179.93682138296</v>
      </c>
      <c r="I7" s="7">
        <f>Table5[[#This Row],[Floor % w/ No Philadelphia]]*$I$70</f>
        <v>525537.49030715309</v>
      </c>
      <c r="J7" s="7">
        <f>Table5[[#This Row],[Floor % w/ No Philadelphia]]*$J$70</f>
        <v>571509.05168646376</v>
      </c>
      <c r="K7" s="7">
        <f>Table5[[#This Row],[Floor % w/ No Philadelphia]]*$K$70</f>
        <v>571292.53785035049</v>
      </c>
      <c r="L7" s="7">
        <f>Table5[[#This Row],[Floor % w/ No Philadelphia]]*$L$70</f>
        <v>571292.53833130538</v>
      </c>
      <c r="M7" s="7">
        <f>Table5[[#This Row],[Floor % w/ No Philadelphia]]*$M$70</f>
        <v>276334.49468311848</v>
      </c>
      <c r="N7" s="7">
        <f>Table5[[#This Row],[Floor % w/ No Philadelphia]]*$N$70</f>
        <v>276334.49468311848</v>
      </c>
      <c r="O7" s="7">
        <f>Table5[[#This Row],[Floor % w/ No Philadelphia]]*$O$70</f>
        <v>276334.49468311848</v>
      </c>
      <c r="P7" s="7">
        <f>Table5[[#This Row],[Floor % w/ No Philadelphia]]*$P$70</f>
        <v>276334.49468311848</v>
      </c>
      <c r="Q7" s="7">
        <f>Table5[[#This Row],[Floor % w/ No Philadelphia]]*$Q$70</f>
        <v>276334.49468311848</v>
      </c>
      <c r="R7" s="7">
        <f>SUM(Table5[[#This Row],[Payment 1]:[Payment 15]])</f>
        <v>6576359.3598736776</v>
      </c>
    </row>
    <row r="8" spans="1:18" x14ac:dyDescent="0.3">
      <c r="A8" t="s">
        <v>32</v>
      </c>
      <c r="B8">
        <v>1.0829274736574069E-2</v>
      </c>
      <c r="C8" s="7">
        <f>Table5[[#This Row],[Floor % w/ No Philadelphia]]*$C$70</f>
        <v>165423.58519036847</v>
      </c>
      <c r="D8" s="7">
        <f>Table5[[#This Row],[Floor % w/ No Philadelphia]]*$D$70</f>
        <v>165423.58522827097</v>
      </c>
      <c r="E8" s="7">
        <f>Table5[[#This Row],[Floor % w/ No Philadelphia]]*$E$70</f>
        <v>122662.23931328302</v>
      </c>
      <c r="F8" s="7">
        <f>Table5[[#This Row],[Floor % w/ No Philadelphia]]*$F$70</f>
        <v>122662.23931328302</v>
      </c>
      <c r="G8" s="7">
        <f>Table5[[#This Row],[Floor % w/ No Philadelphia]]*$G$70</f>
        <v>122662.23931328302</v>
      </c>
      <c r="H8" s="7">
        <f>Table5[[#This Row],[Floor % w/ No Philadelphia]]*$H$70</f>
        <v>155967.15892861751</v>
      </c>
      <c r="I8" s="7">
        <f>Table5[[#This Row],[Floor % w/ No Philadelphia]]*$I$70</f>
        <v>152020.84438990548</v>
      </c>
      <c r="J8" s="7">
        <f>Table5[[#This Row],[Floor % w/ No Philadelphia]]*$J$70</f>
        <v>165318.91675905394</v>
      </c>
      <c r="K8" s="7">
        <f>Table5[[#This Row],[Floor % w/ No Philadelphia]]*$K$70</f>
        <v>165256.28637245906</v>
      </c>
      <c r="L8" s="7">
        <f>Table5[[#This Row],[Floor % w/ No Philadelphia]]*$L$70</f>
        <v>165256.2865115836</v>
      </c>
      <c r="M8" s="7">
        <f>Table5[[#This Row],[Floor % w/ No Philadelphia]]*$M$70</f>
        <v>79934.550799094039</v>
      </c>
      <c r="N8" s="7">
        <f>Table5[[#This Row],[Floor % w/ No Philadelphia]]*$N$70</f>
        <v>79934.550799094039</v>
      </c>
      <c r="O8" s="7">
        <f>Table5[[#This Row],[Floor % w/ No Philadelphia]]*$O$70</f>
        <v>79934.550799094039</v>
      </c>
      <c r="P8" s="7">
        <f>Table5[[#This Row],[Floor % w/ No Philadelphia]]*$P$70</f>
        <v>79934.550799094039</v>
      </c>
      <c r="Q8" s="7">
        <f>Table5[[#This Row],[Floor % w/ No Philadelphia]]*$Q$70</f>
        <v>79934.550799094039</v>
      </c>
      <c r="R8" s="7">
        <f>SUM(Table5[[#This Row],[Payment 1]:[Payment 15]])</f>
        <v>1902326.1353155789</v>
      </c>
    </row>
    <row r="9" spans="1:18" x14ac:dyDescent="0.3">
      <c r="A9" t="s">
        <v>33</v>
      </c>
      <c r="B9">
        <v>5.3620594434359431E-3</v>
      </c>
      <c r="C9" s="7">
        <f>Table5[[#This Row],[Floor % w/ No Philadelphia]]*$C$70</f>
        <v>81908.633654044563</v>
      </c>
      <c r="D9" s="7">
        <f>Table5[[#This Row],[Floor % w/ No Philadelphia]]*$D$70</f>
        <v>81908.633672811789</v>
      </c>
      <c r="E9" s="7">
        <f>Table5[[#This Row],[Floor % w/ No Philadelphia]]*$E$70</f>
        <v>60735.574141585101</v>
      </c>
      <c r="F9" s="7">
        <f>Table5[[#This Row],[Floor % w/ No Philadelphia]]*$F$70</f>
        <v>60735.574141585101</v>
      </c>
      <c r="G9" s="7">
        <f>Table5[[#This Row],[Floor % w/ No Philadelphia]]*$G$70</f>
        <v>60735.574141585101</v>
      </c>
      <c r="H9" s="7">
        <f>Table5[[#This Row],[Floor % w/ No Philadelphia]]*$H$70</f>
        <v>77226.333040991827</v>
      </c>
      <c r="I9" s="7">
        <f>Table5[[#This Row],[Floor % w/ No Philadelphia]]*$I$70</f>
        <v>75272.335783206523</v>
      </c>
      <c r="J9" s="7">
        <f>Table5[[#This Row],[Floor % w/ No Philadelphia]]*$J$70</f>
        <v>81856.807620980311</v>
      </c>
      <c r="K9" s="7">
        <f>Table5[[#This Row],[Floor % w/ No Philadelphia]]*$K$70</f>
        <v>81825.796508596861</v>
      </c>
      <c r="L9" s="7">
        <f>Table5[[#This Row],[Floor % w/ No Philadelphia]]*$L$70</f>
        <v>81825.796577483663</v>
      </c>
      <c r="M9" s="7">
        <f>Table5[[#This Row],[Floor % w/ No Philadelphia]]*$M$70</f>
        <v>39579.179898495015</v>
      </c>
      <c r="N9" s="7">
        <f>Table5[[#This Row],[Floor % w/ No Philadelphia]]*$N$70</f>
        <v>39579.179898495015</v>
      </c>
      <c r="O9" s="7">
        <f>Table5[[#This Row],[Floor % w/ No Philadelphia]]*$O$70</f>
        <v>39579.179898495015</v>
      </c>
      <c r="P9" s="7">
        <f>Table5[[#This Row],[Floor % w/ No Philadelphia]]*$P$70</f>
        <v>39579.179898495015</v>
      </c>
      <c r="Q9" s="7">
        <f>Table5[[#This Row],[Floor % w/ No Philadelphia]]*$Q$70</f>
        <v>39579.179898495015</v>
      </c>
      <c r="R9" s="7">
        <f>SUM(Table5[[#This Row],[Payment 1]:[Payment 15]])</f>
        <v>941926.9587753457</v>
      </c>
    </row>
    <row r="10" spans="1:18" x14ac:dyDescent="0.3">
      <c r="A10" t="s">
        <v>34</v>
      </c>
      <c r="B10">
        <v>5.5846378438199361E-2</v>
      </c>
      <c r="C10" s="7">
        <f>Table5[[#This Row],[Floor % w/ No Philadelphia]]*$C$70</f>
        <v>853086.50540965435</v>
      </c>
      <c r="D10" s="7">
        <f>Table5[[#This Row],[Floor % w/ No Philadelphia]]*$D$70</f>
        <v>853086.50560511695</v>
      </c>
      <c r="E10" s="7">
        <f>Table5[[#This Row],[Floor % w/ No Philadelphia]]*$E$70</f>
        <v>632567.00041333609</v>
      </c>
      <c r="F10" s="7">
        <f>Table5[[#This Row],[Floor % w/ No Philadelphia]]*$F$70</f>
        <v>632567.00041333609</v>
      </c>
      <c r="G10" s="7">
        <f>Table5[[#This Row],[Floor % w/ No Philadelphia]]*$G$70</f>
        <v>632567.00041333609</v>
      </c>
      <c r="H10" s="7">
        <f>Table5[[#This Row],[Floor % w/ No Philadelphia]]*$H$70</f>
        <v>804319.88229471247</v>
      </c>
      <c r="I10" s="7">
        <f>Table5[[#This Row],[Floor % w/ No Philadelphia]]*$I$70</f>
        <v>783968.80795907299</v>
      </c>
      <c r="J10" s="7">
        <f>Table5[[#This Row],[Floor % w/ No Philadelphia]]*$J$70</f>
        <v>852546.73215909849</v>
      </c>
      <c r="K10" s="7">
        <f>Table5[[#This Row],[Floor % w/ No Philadelphia]]*$K$70</f>
        <v>852223.74836225237</v>
      </c>
      <c r="L10" s="7">
        <f>Table5[[#This Row],[Floor % w/ No Philadelphia]]*$L$70</f>
        <v>852223.74907971523</v>
      </c>
      <c r="M10" s="7">
        <f>Table5[[#This Row],[Floor % w/ No Philadelphia]]*$M$70</f>
        <v>412221.06584267138</v>
      </c>
      <c r="N10" s="7">
        <f>Table5[[#This Row],[Floor % w/ No Philadelphia]]*$N$70</f>
        <v>412221.06584267138</v>
      </c>
      <c r="O10" s="7">
        <f>Table5[[#This Row],[Floor % w/ No Philadelphia]]*$O$70</f>
        <v>412221.06584267138</v>
      </c>
      <c r="P10" s="7">
        <f>Table5[[#This Row],[Floor % w/ No Philadelphia]]*$P$70</f>
        <v>412221.06584267138</v>
      </c>
      <c r="Q10" s="7">
        <f>Table5[[#This Row],[Floor % w/ No Philadelphia]]*$Q$70</f>
        <v>412221.06584267138</v>
      </c>
      <c r="R10" s="7">
        <f>SUM(Table5[[#This Row],[Payment 1]:[Payment 15]])</f>
        <v>9810262.2613229882</v>
      </c>
    </row>
    <row r="11" spans="1:18" x14ac:dyDescent="0.3">
      <c r="A11" t="s">
        <v>35</v>
      </c>
      <c r="B11">
        <v>1.6698091153088745E-2</v>
      </c>
      <c r="C11" s="7">
        <f>Table5[[#This Row],[Floor % w/ No Philadelphia]]*$C$70</f>
        <v>255073.2317327261</v>
      </c>
      <c r="D11" s="7">
        <f>Table5[[#This Row],[Floor % w/ No Philadelphia]]*$D$70</f>
        <v>255073.23179116947</v>
      </c>
      <c r="E11" s="7">
        <f>Table5[[#This Row],[Floor % w/ No Philadelphia]]*$E$70</f>
        <v>189137.80497023006</v>
      </c>
      <c r="F11" s="7">
        <f>Table5[[#This Row],[Floor % w/ No Philadelphia]]*$F$70</f>
        <v>189137.80497023006</v>
      </c>
      <c r="G11" s="7">
        <f>Table5[[#This Row],[Floor % w/ No Philadelphia]]*$G$70</f>
        <v>189137.80497023006</v>
      </c>
      <c r="H11" s="7">
        <f>Table5[[#This Row],[Floor % w/ No Philadelphia]]*$H$70</f>
        <v>240491.99046382707</v>
      </c>
      <c r="I11" s="7">
        <f>Table5[[#This Row],[Floor % w/ No Philadelphia]]*$I$70</f>
        <v>234407.01049156534</v>
      </c>
      <c r="J11" s="7">
        <f>Table5[[#This Row],[Floor % w/ No Philadelphia]]*$J$70</f>
        <v>254911.83929884149</v>
      </c>
      <c r="K11" s="7">
        <f>Table5[[#This Row],[Floor % w/ No Philadelphia]]*$K$70</f>
        <v>254815.26700478172</v>
      </c>
      <c r="L11" s="7">
        <f>Table5[[#This Row],[Floor % w/ No Philadelphia]]*$L$70</f>
        <v>254815.26721930344</v>
      </c>
      <c r="M11" s="7">
        <f>Table5[[#This Row],[Floor % w/ No Philadelphia]]*$M$70</f>
        <v>123254.27583959659</v>
      </c>
      <c r="N11" s="7">
        <f>Table5[[#This Row],[Floor % w/ No Philadelphia]]*$N$70</f>
        <v>123254.27583959659</v>
      </c>
      <c r="O11" s="7">
        <f>Table5[[#This Row],[Floor % w/ No Philadelphia]]*$O$70</f>
        <v>123254.27583959659</v>
      </c>
      <c r="P11" s="7">
        <f>Table5[[#This Row],[Floor % w/ No Philadelphia]]*$P$70</f>
        <v>123254.27583959659</v>
      </c>
      <c r="Q11" s="7">
        <f>Table5[[#This Row],[Floor % w/ No Philadelphia]]*$Q$70</f>
        <v>123254.27583959659</v>
      </c>
      <c r="R11" s="7">
        <f>SUM(Table5[[#This Row],[Payment 1]:[Payment 15]])</f>
        <v>2933272.6321108877</v>
      </c>
    </row>
    <row r="12" spans="1:18" x14ac:dyDescent="0.3">
      <c r="A12" t="s">
        <v>36</v>
      </c>
      <c r="B12">
        <v>1.1572654593767093E-2</v>
      </c>
      <c r="C12" s="7">
        <f>Table5[[#This Row],[Floor % w/ No Philadelphia]]*$C$70</f>
        <v>176779.15277236496</v>
      </c>
      <c r="D12" s="7">
        <f>Table5[[#This Row],[Floor % w/ No Philadelphia]]*$D$70</f>
        <v>176779.15281286929</v>
      </c>
      <c r="E12" s="7">
        <f>Table5[[#This Row],[Floor % w/ No Philadelphia]]*$E$70</f>
        <v>131082.43735625298</v>
      </c>
      <c r="F12" s="7">
        <f>Table5[[#This Row],[Floor % w/ No Philadelphia]]*$F$70</f>
        <v>131082.43735625298</v>
      </c>
      <c r="G12" s="7">
        <f>Table5[[#This Row],[Floor % w/ No Philadelphia]]*$G$70</f>
        <v>131082.43735625298</v>
      </c>
      <c r="H12" s="7">
        <f>Table5[[#This Row],[Floor % w/ No Philadelphia]]*$H$70</f>
        <v>166673.58638119471</v>
      </c>
      <c r="I12" s="7">
        <f>Table5[[#This Row],[Floor % w/ No Philadelphia]]*$I$70</f>
        <v>162456.37551658941</v>
      </c>
      <c r="J12" s="7">
        <f>Table5[[#This Row],[Floor % w/ No Philadelphia]]*$J$70</f>
        <v>176667.29933509056</v>
      </c>
      <c r="K12" s="7">
        <f>Table5[[#This Row],[Floor % w/ No Philadelphia]]*$K$70</f>
        <v>176600.36966078018</v>
      </c>
      <c r="L12" s="7">
        <f>Table5[[#This Row],[Floor % w/ No Philadelphia]]*$L$70</f>
        <v>176600.36980945501</v>
      </c>
      <c r="M12" s="7">
        <f>Table5[[#This Row],[Floor % w/ No Philadelphia]]*$M$70</f>
        <v>85421.689726055789</v>
      </c>
      <c r="N12" s="7">
        <f>Table5[[#This Row],[Floor % w/ No Philadelphia]]*$N$70</f>
        <v>85421.689726055789</v>
      </c>
      <c r="O12" s="7">
        <f>Table5[[#This Row],[Floor % w/ No Philadelphia]]*$O$70</f>
        <v>85421.689726055789</v>
      </c>
      <c r="P12" s="7">
        <f>Table5[[#This Row],[Floor % w/ No Philadelphia]]*$P$70</f>
        <v>85421.689726055789</v>
      </c>
      <c r="Q12" s="7">
        <f>Table5[[#This Row],[Floor % w/ No Philadelphia]]*$Q$70</f>
        <v>85421.689726055789</v>
      </c>
      <c r="R12" s="7">
        <f>SUM(Table5[[#This Row],[Payment 1]:[Payment 15]])</f>
        <v>2032912.0669873822</v>
      </c>
    </row>
    <row r="13" spans="1:18" x14ac:dyDescent="0.3">
      <c r="A13" t="s">
        <v>37</v>
      </c>
      <c r="B13">
        <v>1.4285890000000001E-3</v>
      </c>
      <c r="C13" s="7">
        <f>Table5[[#This Row],[Floor % w/ No Philadelphia]]*$C$70</f>
        <v>21822.543050402452</v>
      </c>
      <c r="D13" s="7">
        <f>Table5[[#This Row],[Floor % w/ No Philadelphia]]*$D$70</f>
        <v>21822.543055402519</v>
      </c>
      <c r="E13" s="7">
        <f>Table5[[#This Row],[Floor % w/ No Philadelphia]]*$E$70</f>
        <v>16181.501537355991</v>
      </c>
      <c r="F13" s="7">
        <f>Table5[[#This Row],[Floor % w/ No Philadelphia]]*$F$70</f>
        <v>16181.501537355991</v>
      </c>
      <c r="G13" s="7">
        <f>Table5[[#This Row],[Floor % w/ No Philadelphia]]*$G$70</f>
        <v>16181.501537355991</v>
      </c>
      <c r="H13" s="7">
        <f>Table5[[#This Row],[Floor % w/ No Philadelphia]]*$H$70</f>
        <v>20575.059089983297</v>
      </c>
      <c r="I13" s="7">
        <f>Table5[[#This Row],[Floor % w/ No Philadelphia]]*$I$70</f>
        <v>20054.46452777279</v>
      </c>
      <c r="J13" s="7">
        <f>Table5[[#This Row],[Floor % w/ No Philadelphia]]*$J$70</f>
        <v>21808.735277189517</v>
      </c>
      <c r="K13" s="7">
        <f>Table5[[#This Row],[Floor % w/ No Philadelphia]]*$K$70</f>
        <v>21800.473128196936</v>
      </c>
      <c r="L13" s="7">
        <f>Table5[[#This Row],[Floor % w/ No Philadelphia]]*$L$70</f>
        <v>21800.473146550132</v>
      </c>
      <c r="M13" s="7">
        <f>Table5[[#This Row],[Floor % w/ No Philadelphia]]*$M$70</f>
        <v>10544.900075889391</v>
      </c>
      <c r="N13" s="7">
        <f>Table5[[#This Row],[Floor % w/ No Philadelphia]]*$N$70</f>
        <v>10544.900075889391</v>
      </c>
      <c r="O13" s="7">
        <f>Table5[[#This Row],[Floor % w/ No Philadelphia]]*$O$70</f>
        <v>10544.900075889391</v>
      </c>
      <c r="P13" s="7">
        <f>Table5[[#This Row],[Floor % w/ No Philadelphia]]*$P$70</f>
        <v>10544.900075889391</v>
      </c>
      <c r="Q13" s="7">
        <f>Table5[[#This Row],[Floor % w/ No Philadelphia]]*$Q$70</f>
        <v>10544.900075889391</v>
      </c>
      <c r="R13" s="7">
        <f>SUM(Table5[[#This Row],[Payment 1]:[Payment 15]])</f>
        <v>250953.2962670126</v>
      </c>
    </row>
    <row r="14" spans="1:18" x14ac:dyDescent="0.3">
      <c r="A14" t="s">
        <v>38</v>
      </c>
      <c r="B14">
        <v>5.7050826251778871E-3</v>
      </c>
      <c r="C14" s="7">
        <f>Table5[[#This Row],[Floor % w/ No Philadelphia]]*$C$70</f>
        <v>87148.515909087553</v>
      </c>
      <c r="D14" s="7">
        <f>Table5[[#This Row],[Floor % w/ No Philadelphia]]*$D$70</f>
        <v>87148.515929055357</v>
      </c>
      <c r="E14" s="7">
        <f>Table5[[#This Row],[Floor % w/ No Philadelphia]]*$E$70</f>
        <v>64620.967451141601</v>
      </c>
      <c r="F14" s="7">
        <f>Table5[[#This Row],[Floor % w/ No Philadelphia]]*$F$70</f>
        <v>64620.967451141601</v>
      </c>
      <c r="G14" s="7">
        <f>Table5[[#This Row],[Floor % w/ No Philadelphia]]*$G$70</f>
        <v>64620.967451141601</v>
      </c>
      <c r="H14" s="7">
        <f>Table5[[#This Row],[Floor % w/ No Philadelphia]]*$H$70</f>
        <v>82166.677838253032</v>
      </c>
      <c r="I14" s="7">
        <f>Table5[[#This Row],[Floor % w/ No Philadelphia]]*$I$70</f>
        <v>80087.67891579929</v>
      </c>
      <c r="J14" s="7">
        <f>Table5[[#This Row],[Floor % w/ No Philadelphia]]*$J$70</f>
        <v>87093.374446392889</v>
      </c>
      <c r="K14" s="7">
        <f>Table5[[#This Row],[Floor % w/ No Philadelphia]]*$K$70</f>
        <v>87060.379482365985</v>
      </c>
      <c r="L14" s="7">
        <f>Table5[[#This Row],[Floor % w/ No Philadelphia]]*$L$70</f>
        <v>87060.379555659631</v>
      </c>
      <c r="M14" s="7">
        <f>Table5[[#This Row],[Floor % w/ No Philadelphia]]*$M$70</f>
        <v>42111.150377885831</v>
      </c>
      <c r="N14" s="7">
        <f>Table5[[#This Row],[Floor % w/ No Philadelphia]]*$N$70</f>
        <v>42111.150377885831</v>
      </c>
      <c r="O14" s="7">
        <f>Table5[[#This Row],[Floor % w/ No Philadelphia]]*$O$70</f>
        <v>42111.150377885831</v>
      </c>
      <c r="P14" s="7">
        <f>Table5[[#This Row],[Floor % w/ No Philadelphia]]*$P$70</f>
        <v>42111.150377885831</v>
      </c>
      <c r="Q14" s="7">
        <f>Table5[[#This Row],[Floor % w/ No Philadelphia]]*$Q$70</f>
        <v>42111.150377885831</v>
      </c>
      <c r="R14" s="7">
        <f>SUM(Table5[[#This Row],[Payment 1]:[Payment 15]])</f>
        <v>1002184.1763194675</v>
      </c>
    </row>
    <row r="15" spans="1:18" x14ac:dyDescent="0.3">
      <c r="A15" t="s">
        <v>39</v>
      </c>
      <c r="B15">
        <v>1.4434262598384456E-2</v>
      </c>
      <c r="C15" s="7">
        <f>Table5[[#This Row],[Floor % w/ No Philadelphia]]*$C$70</f>
        <v>220491.90981735036</v>
      </c>
      <c r="D15" s="7">
        <f>Table5[[#This Row],[Floor % w/ No Philadelphia]]*$D$70</f>
        <v>220491.90986787033</v>
      </c>
      <c r="E15" s="7">
        <f>Table5[[#This Row],[Floor % w/ No Philadelphia]]*$E$70</f>
        <v>163495.61870234067</v>
      </c>
      <c r="F15" s="7">
        <f>Table5[[#This Row],[Floor % w/ No Philadelphia]]*$F$70</f>
        <v>163495.61870234067</v>
      </c>
      <c r="G15" s="7">
        <f>Table5[[#This Row],[Floor % w/ No Philadelphia]]*$G$70</f>
        <v>163495.61870234067</v>
      </c>
      <c r="H15" s="7">
        <f>Table5[[#This Row],[Floor % w/ No Philadelphia]]*$H$70</f>
        <v>207887.50710112989</v>
      </c>
      <c r="I15" s="7">
        <f>Table5[[#This Row],[Floor % w/ No Philadelphia]]*$I$70</f>
        <v>202627.49276653994</v>
      </c>
      <c r="J15" s="7">
        <f>Table5[[#This Row],[Floor % w/ No Philadelphia]]*$J$70</f>
        <v>220352.39801622741</v>
      </c>
      <c r="K15" s="7">
        <f>Table5[[#This Row],[Floor % w/ No Philadelphia]]*$K$70</f>
        <v>220268.91842329627</v>
      </c>
      <c r="L15" s="7">
        <f>Table5[[#This Row],[Floor % w/ No Philadelphia]]*$L$70</f>
        <v>220268.91860873438</v>
      </c>
      <c r="M15" s="7">
        <f>Table5[[#This Row],[Floor % w/ No Philadelphia]]*$M$70</f>
        <v>106544.18924485044</v>
      </c>
      <c r="N15" s="7">
        <f>Table5[[#This Row],[Floor % w/ No Philadelphia]]*$N$70</f>
        <v>106544.18924485044</v>
      </c>
      <c r="O15" s="7">
        <f>Table5[[#This Row],[Floor % w/ No Philadelphia]]*$O$70</f>
        <v>106544.18924485044</v>
      </c>
      <c r="P15" s="7">
        <f>Table5[[#This Row],[Floor % w/ No Philadelphia]]*$P$70</f>
        <v>106544.18924485044</v>
      </c>
      <c r="Q15" s="7">
        <f>Table5[[#This Row],[Floor % w/ No Philadelphia]]*$Q$70</f>
        <v>106544.18924485044</v>
      </c>
      <c r="R15" s="7">
        <f>SUM(Table5[[#This Row],[Payment 1]:[Payment 15]])</f>
        <v>2535596.8569324231</v>
      </c>
    </row>
    <row r="16" spans="1:18" x14ac:dyDescent="0.3">
      <c r="A16" t="s">
        <v>40</v>
      </c>
      <c r="B16">
        <v>4.6665819424597452E-2</v>
      </c>
      <c r="C16" s="7">
        <f>Table5[[#This Row],[Floor % w/ No Philadelphia]]*$C$70</f>
        <v>712848.02933214861</v>
      </c>
      <c r="D16" s="7">
        <f>Table5[[#This Row],[Floor % w/ No Philadelphia]]*$D$70</f>
        <v>712848.02949547907</v>
      </c>
      <c r="E16" s="7">
        <f>Table5[[#This Row],[Floor % w/ No Philadelphia]]*$E$70</f>
        <v>528579.61860346165</v>
      </c>
      <c r="F16" s="7">
        <f>Table5[[#This Row],[Floor % w/ No Philadelphia]]*$F$70</f>
        <v>528579.61860346165</v>
      </c>
      <c r="G16" s="7">
        <f>Table5[[#This Row],[Floor % w/ No Philadelphia]]*$G$70</f>
        <v>528579.61860346165</v>
      </c>
      <c r="H16" s="7">
        <f>Table5[[#This Row],[Floor % w/ No Philadelphia]]*$H$70</f>
        <v>672098.12769353739</v>
      </c>
      <c r="I16" s="7">
        <f>Table5[[#This Row],[Floor % w/ No Philadelphia]]*$I$70</f>
        <v>655092.55657858204</v>
      </c>
      <c r="J16" s="7">
        <f>Table5[[#This Row],[Floor % w/ No Philadelphia]]*$J$70</f>
        <v>712396.98914395552</v>
      </c>
      <c r="K16" s="7">
        <f>Table5[[#This Row],[Floor % w/ No Philadelphia]]*$K$70</f>
        <v>712127.10049652297</v>
      </c>
      <c r="L16" s="7">
        <f>Table5[[#This Row],[Floor % w/ No Philadelphia]]*$L$70</f>
        <v>712127.10109604243</v>
      </c>
      <c r="M16" s="7">
        <f>Table5[[#This Row],[Floor % w/ No Philadelphia]]*$M$70</f>
        <v>344456.24514249951</v>
      </c>
      <c r="N16" s="7">
        <f>Table5[[#This Row],[Floor % w/ No Philadelphia]]*$N$70</f>
        <v>344456.24514249951</v>
      </c>
      <c r="O16" s="7">
        <f>Table5[[#This Row],[Floor % w/ No Philadelphia]]*$O$70</f>
        <v>344456.24514249951</v>
      </c>
      <c r="P16" s="7">
        <f>Table5[[#This Row],[Floor % w/ No Philadelphia]]*$P$70</f>
        <v>344456.24514249951</v>
      </c>
      <c r="Q16" s="7">
        <f>Table5[[#This Row],[Floor % w/ No Philadelphia]]*$Q$70</f>
        <v>344456.24514249951</v>
      </c>
      <c r="R16" s="7">
        <f>SUM(Table5[[#This Row],[Payment 1]:[Payment 15]])</f>
        <v>8197558.015359153</v>
      </c>
    </row>
    <row r="17" spans="1:18" x14ac:dyDescent="0.3">
      <c r="A17" t="s">
        <v>41</v>
      </c>
      <c r="B17">
        <v>3.416720668514344E-3</v>
      </c>
      <c r="C17" s="7">
        <f>Table5[[#This Row],[Floor % w/ No Philadelphia]]*$C$70</f>
        <v>52192.431748987365</v>
      </c>
      <c r="D17" s="7">
        <f>Table5[[#This Row],[Floor % w/ No Philadelphia]]*$D$70</f>
        <v>52192.431760945903</v>
      </c>
      <c r="E17" s="7">
        <f>Table5[[#This Row],[Floor % w/ No Philadelphia]]*$E$70</f>
        <v>38700.893504206491</v>
      </c>
      <c r="F17" s="7">
        <f>Table5[[#This Row],[Floor % w/ No Philadelphia]]*$F$70</f>
        <v>38700.893504206491</v>
      </c>
      <c r="G17" s="7">
        <f>Table5[[#This Row],[Floor % w/ No Philadelphia]]*$G$70</f>
        <v>38700.893504206491</v>
      </c>
      <c r="H17" s="7">
        <f>Table5[[#This Row],[Floor % w/ No Philadelphia]]*$H$70</f>
        <v>49208.855485132437</v>
      </c>
      <c r="I17" s="7">
        <f>Table5[[#This Row],[Floor % w/ No Philadelphia]]*$I$70</f>
        <v>47963.762459342077</v>
      </c>
      <c r="J17" s="7">
        <f>Table5[[#This Row],[Floor % w/ No Philadelphia]]*$J$70</f>
        <v>52159.408042293006</v>
      </c>
      <c r="K17" s="7">
        <f>Table5[[#This Row],[Floor % w/ No Philadelphia]]*$K$70</f>
        <v>52139.647666685109</v>
      </c>
      <c r="L17" s="7">
        <f>Table5[[#This Row],[Floor % w/ No Philadelphia]]*$L$70</f>
        <v>52139.647710579993</v>
      </c>
      <c r="M17" s="7">
        <f>Table5[[#This Row],[Floor % w/ No Philadelphia]]*$M$70</f>
        <v>25219.974420011462</v>
      </c>
      <c r="N17" s="7">
        <f>Table5[[#This Row],[Floor % w/ No Philadelphia]]*$N$70</f>
        <v>25219.974420011462</v>
      </c>
      <c r="O17" s="7">
        <f>Table5[[#This Row],[Floor % w/ No Philadelphia]]*$O$70</f>
        <v>25219.974420011462</v>
      </c>
      <c r="P17" s="7">
        <f>Table5[[#This Row],[Floor % w/ No Philadelphia]]*$P$70</f>
        <v>25219.974420011462</v>
      </c>
      <c r="Q17" s="7">
        <f>Table5[[#This Row],[Floor % w/ No Philadelphia]]*$Q$70</f>
        <v>25219.974420011462</v>
      </c>
      <c r="R17" s="7">
        <f>SUM(Table5[[#This Row],[Payment 1]:[Payment 15]])</f>
        <v>600198.73748664279</v>
      </c>
    </row>
    <row r="18" spans="1:18" x14ac:dyDescent="0.3">
      <c r="A18" t="s">
        <v>42</v>
      </c>
      <c r="B18">
        <v>7.0449085952209878E-3</v>
      </c>
      <c r="C18" s="7">
        <f>Table5[[#This Row],[Floor % w/ No Philadelphia]]*$C$70</f>
        <v>107615.15110739357</v>
      </c>
      <c r="D18" s="7">
        <f>Table5[[#This Row],[Floor % w/ No Philadelphia]]*$D$70</f>
        <v>107615.15113205077</v>
      </c>
      <c r="E18" s="7">
        <f>Table5[[#This Row],[Floor % w/ No Philadelphia]]*$E$70</f>
        <v>79797.057981057427</v>
      </c>
      <c r="F18" s="7">
        <f>Table5[[#This Row],[Floor % w/ No Philadelphia]]*$F$70</f>
        <v>79797.057981057427</v>
      </c>
      <c r="G18" s="7">
        <f>Table5[[#This Row],[Floor % w/ No Philadelphia]]*$G$70</f>
        <v>79797.057981057427</v>
      </c>
      <c r="H18" s="7">
        <f>Table5[[#This Row],[Floor % w/ No Philadelphia]]*$H$70</f>
        <v>101463.33944206699</v>
      </c>
      <c r="I18" s="7">
        <f>Table5[[#This Row],[Floor % w/ No Philadelphia]]*$I$70</f>
        <v>98896.092245048028</v>
      </c>
      <c r="J18" s="7">
        <f>Table5[[#This Row],[Floor % w/ No Philadelphia]]*$J$70</f>
        <v>107547.05979478464</v>
      </c>
      <c r="K18" s="7">
        <f>Table5[[#This Row],[Floor % w/ No Philadelphia]]*$K$70</f>
        <v>107506.31603681587</v>
      </c>
      <c r="L18" s="7">
        <f>Table5[[#This Row],[Floor % w/ No Philadelphia]]*$L$70</f>
        <v>107506.31612732237</v>
      </c>
      <c r="M18" s="7">
        <f>Table5[[#This Row],[Floor % w/ No Philadelphia]]*$M$70</f>
        <v>52000.860415682611</v>
      </c>
      <c r="N18" s="7">
        <f>Table5[[#This Row],[Floor % w/ No Philadelphia]]*$N$70</f>
        <v>52000.860415682611</v>
      </c>
      <c r="O18" s="7">
        <f>Table5[[#This Row],[Floor % w/ No Philadelphia]]*$O$70</f>
        <v>52000.860415682611</v>
      </c>
      <c r="P18" s="7">
        <f>Table5[[#This Row],[Floor % w/ No Philadelphia]]*$P$70</f>
        <v>52000.860415682611</v>
      </c>
      <c r="Q18" s="7">
        <f>Table5[[#This Row],[Floor % w/ No Philadelphia]]*$Q$70</f>
        <v>52000.860415682611</v>
      </c>
      <c r="R18" s="7">
        <f>SUM(Table5[[#This Row],[Payment 1]:[Payment 15]])</f>
        <v>1237544.9019070677</v>
      </c>
    </row>
    <row r="19" spans="1:18" x14ac:dyDescent="0.3">
      <c r="A19" t="s">
        <v>43</v>
      </c>
      <c r="B19">
        <v>3.4339651611958516E-3</v>
      </c>
      <c r="C19" s="7">
        <f>Table5[[#This Row],[Floor % w/ No Philadelphia]]*$C$70</f>
        <v>52455.851587670535</v>
      </c>
      <c r="D19" s="7">
        <f>Table5[[#This Row],[Floor % w/ No Philadelphia]]*$D$70</f>
        <v>52455.851599689428</v>
      </c>
      <c r="E19" s="7">
        <f>Table5[[#This Row],[Floor % w/ No Philadelphia]]*$E$70</f>
        <v>38896.220351071992</v>
      </c>
      <c r="F19" s="7">
        <f>Table5[[#This Row],[Floor % w/ No Philadelphia]]*$F$70</f>
        <v>38896.220351071992</v>
      </c>
      <c r="G19" s="7">
        <f>Table5[[#This Row],[Floor % w/ No Philadelphia]]*$G$70</f>
        <v>38896.220351071992</v>
      </c>
      <c r="H19" s="7">
        <f>Table5[[#This Row],[Floor % w/ No Philadelphia]]*$H$70</f>
        <v>49457.21694941559</v>
      </c>
      <c r="I19" s="7">
        <f>Table5[[#This Row],[Floor % w/ No Philadelphia]]*$I$70</f>
        <v>48205.839828536948</v>
      </c>
      <c r="J19" s="7">
        <f>Table5[[#This Row],[Floor % w/ No Philadelphia]]*$J$70</f>
        <v>52422.661207395373</v>
      </c>
      <c r="K19" s="7">
        <f>Table5[[#This Row],[Floor % w/ No Philadelphia]]*$K$70</f>
        <v>52402.801099416705</v>
      </c>
      <c r="L19" s="7">
        <f>Table5[[#This Row],[Floor % w/ No Philadelphia]]*$L$70</f>
        <v>52402.801143533128</v>
      </c>
      <c r="M19" s="7">
        <f>Table5[[#This Row],[Floor % w/ No Philadelphia]]*$M$70</f>
        <v>25347.261870905946</v>
      </c>
      <c r="N19" s="7">
        <f>Table5[[#This Row],[Floor % w/ No Philadelphia]]*$N$70</f>
        <v>25347.261870905946</v>
      </c>
      <c r="O19" s="7">
        <f>Table5[[#This Row],[Floor % w/ No Philadelphia]]*$O$70</f>
        <v>25347.261870905946</v>
      </c>
      <c r="P19" s="7">
        <f>Table5[[#This Row],[Floor % w/ No Philadelphia]]*$P$70</f>
        <v>25347.261870905946</v>
      </c>
      <c r="Q19" s="7">
        <f>Table5[[#This Row],[Floor % w/ No Philadelphia]]*$Q$70</f>
        <v>25347.261870905946</v>
      </c>
      <c r="R19" s="7">
        <f>SUM(Table5[[#This Row],[Payment 1]:[Payment 15]])</f>
        <v>603227.99382340361</v>
      </c>
    </row>
    <row r="20" spans="1:18" x14ac:dyDescent="0.3">
      <c r="A20" t="s">
        <v>44</v>
      </c>
      <c r="B20">
        <v>5.7745939307291185E-3</v>
      </c>
      <c r="C20" s="7">
        <f>Table5[[#This Row],[Floor % w/ No Philadelphia]]*$C$70</f>
        <v>88210.342269140325</v>
      </c>
      <c r="D20" s="7">
        <f>Table5[[#This Row],[Floor % w/ No Philadelphia]]*$D$70</f>
        <v>88210.342289351422</v>
      </c>
      <c r="E20" s="7">
        <f>Table5[[#This Row],[Floor % w/ No Philadelphia]]*$E$70</f>
        <v>65408.315875104599</v>
      </c>
      <c r="F20" s="7">
        <f>Table5[[#This Row],[Floor % w/ No Philadelphia]]*$F$70</f>
        <v>65408.315875104599</v>
      </c>
      <c r="G20" s="7">
        <f>Table5[[#This Row],[Floor % w/ No Philadelphia]]*$G$70</f>
        <v>65408.315875104599</v>
      </c>
      <c r="H20" s="7">
        <f>Table5[[#This Row],[Floor % w/ No Philadelphia]]*$H$70</f>
        <v>83167.804977786145</v>
      </c>
      <c r="I20" s="7">
        <f>Table5[[#This Row],[Floor % w/ No Philadelphia]]*$I$70</f>
        <v>81063.475321522943</v>
      </c>
      <c r="J20" s="7">
        <f>Table5[[#This Row],[Floor % w/ No Philadelphia]]*$J$70</f>
        <v>88154.528957269446</v>
      </c>
      <c r="K20" s="7">
        <f>Table5[[#This Row],[Floor % w/ No Philadelphia]]*$K$70</f>
        <v>88121.131979253129</v>
      </c>
      <c r="L20" s="7">
        <f>Table5[[#This Row],[Floor % w/ No Philadelphia]]*$L$70</f>
        <v>88121.132053439796</v>
      </c>
      <c r="M20" s="7">
        <f>Table5[[#This Row],[Floor % w/ No Philadelphia]]*$M$70</f>
        <v>42624.236906749175</v>
      </c>
      <c r="N20" s="7">
        <f>Table5[[#This Row],[Floor % w/ No Philadelphia]]*$N$70</f>
        <v>42624.236906749175</v>
      </c>
      <c r="O20" s="7">
        <f>Table5[[#This Row],[Floor % w/ No Philadelphia]]*$O$70</f>
        <v>42624.236906749175</v>
      </c>
      <c r="P20" s="7">
        <f>Table5[[#This Row],[Floor % w/ No Philadelphia]]*$P$70</f>
        <v>42624.236906749175</v>
      </c>
      <c r="Q20" s="7">
        <f>Table5[[#This Row],[Floor % w/ No Philadelphia]]*$Q$70</f>
        <v>42624.236906749175</v>
      </c>
      <c r="R20" s="7">
        <f>SUM(Table5[[#This Row],[Payment 1]:[Payment 15]])</f>
        <v>1014394.890006823</v>
      </c>
    </row>
    <row r="21" spans="1:18" x14ac:dyDescent="0.3">
      <c r="A21" t="s">
        <v>45</v>
      </c>
      <c r="B21">
        <v>7.5225988203262506E-3</v>
      </c>
      <c r="C21" s="7">
        <f>Table5[[#This Row],[Floor % w/ No Philadelphia]]*$C$70</f>
        <v>114912.15220576127</v>
      </c>
      <c r="D21" s="7">
        <f>Table5[[#This Row],[Floor % w/ No Philadelphia]]*$D$70</f>
        <v>114912.1522320904</v>
      </c>
      <c r="E21" s="7">
        <f>Table5[[#This Row],[Floor % w/ No Philadelphia]]*$E$70</f>
        <v>85207.813007115124</v>
      </c>
      <c r="F21" s="7">
        <f>Table5[[#This Row],[Floor % w/ No Philadelphia]]*$F$70</f>
        <v>85207.813007115124</v>
      </c>
      <c r="G21" s="7">
        <f>Table5[[#This Row],[Floor % w/ No Philadelphia]]*$G$70</f>
        <v>85207.813007115124</v>
      </c>
      <c r="H21" s="7">
        <f>Table5[[#This Row],[Floor % w/ No Philadelphia]]*$H$70</f>
        <v>108343.20804545692</v>
      </c>
      <c r="I21" s="7">
        <f>Table5[[#This Row],[Floor % w/ No Philadelphia]]*$I$70</f>
        <v>105601.88493604404</v>
      </c>
      <c r="J21" s="7">
        <f>Table5[[#This Row],[Floor % w/ No Philadelphia]]*$J$70</f>
        <v>114839.44386313582</v>
      </c>
      <c r="K21" s="7">
        <f>Table5[[#This Row],[Floor % w/ No Philadelphia]]*$K$70</f>
        <v>114795.93741567965</v>
      </c>
      <c r="L21" s="7">
        <f>Table5[[#This Row],[Floor % w/ No Philadelphia]]*$L$70</f>
        <v>114795.93751232307</v>
      </c>
      <c r="M21" s="7">
        <f>Table5[[#This Row],[Floor % w/ No Philadelphia]]*$M$70</f>
        <v>55526.854029636037</v>
      </c>
      <c r="N21" s="7">
        <f>Table5[[#This Row],[Floor % w/ No Philadelphia]]*$N$70</f>
        <v>55526.854029636037</v>
      </c>
      <c r="O21" s="7">
        <f>Table5[[#This Row],[Floor % w/ No Philadelphia]]*$O$70</f>
        <v>55526.854029636037</v>
      </c>
      <c r="P21" s="7">
        <f>Table5[[#This Row],[Floor % w/ No Philadelphia]]*$P$70</f>
        <v>55526.854029636037</v>
      </c>
      <c r="Q21" s="7">
        <f>Table5[[#This Row],[Floor % w/ No Philadelphia]]*$Q$70</f>
        <v>55526.854029636037</v>
      </c>
      <c r="R21" s="7">
        <f>SUM(Table5[[#This Row],[Payment 1]:[Payment 15]])</f>
        <v>1321458.4253800171</v>
      </c>
    </row>
    <row r="22" spans="1:18" x14ac:dyDescent="0.3">
      <c r="A22" t="s">
        <v>46</v>
      </c>
      <c r="B22">
        <v>2.252184077687391E-2</v>
      </c>
      <c r="C22" s="7">
        <f>Table5[[#This Row],[Floor % w/ No Philadelphia]]*$C$70</f>
        <v>344034.45632553543</v>
      </c>
      <c r="D22" s="7">
        <f>Table5[[#This Row],[Floor % w/ No Philadelphia]]*$D$70</f>
        <v>344034.45640436193</v>
      </c>
      <c r="E22" s="7">
        <f>Table5[[#This Row],[Floor % w/ No Philadelphia]]*$E$70</f>
        <v>255102.90304284298</v>
      </c>
      <c r="F22" s="7">
        <f>Table5[[#This Row],[Floor % w/ No Philadelphia]]*$F$70</f>
        <v>255102.90304284298</v>
      </c>
      <c r="G22" s="7">
        <f>Table5[[#This Row],[Floor % w/ No Philadelphia]]*$G$70</f>
        <v>255102.90304284298</v>
      </c>
      <c r="H22" s="7">
        <f>Table5[[#This Row],[Floor % w/ No Philadelphia]]*$H$70</f>
        <v>324367.75363619352</v>
      </c>
      <c r="I22" s="7">
        <f>Table5[[#This Row],[Floor % w/ No Philadelphia]]*$I$70</f>
        <v>316160.53109744267</v>
      </c>
      <c r="J22" s="7">
        <f>Table5[[#This Row],[Floor % w/ No Philadelphia]]*$J$70</f>
        <v>343816.77547416044</v>
      </c>
      <c r="K22" s="7">
        <f>Table5[[#This Row],[Floor % w/ No Philadelphia]]*$K$70</f>
        <v>343686.52191341919</v>
      </c>
      <c r="L22" s="7">
        <f>Table5[[#This Row],[Floor % w/ No Philadelphia]]*$L$70</f>
        <v>343686.52220275905</v>
      </c>
      <c r="M22" s="7">
        <f>Table5[[#This Row],[Floor % w/ No Philadelphia]]*$M$70</f>
        <v>166241.34759348311</v>
      </c>
      <c r="N22" s="7">
        <f>Table5[[#This Row],[Floor % w/ No Philadelphia]]*$N$70</f>
        <v>166241.34759348311</v>
      </c>
      <c r="O22" s="7">
        <f>Table5[[#This Row],[Floor % w/ No Philadelphia]]*$O$70</f>
        <v>166241.34759348311</v>
      </c>
      <c r="P22" s="7">
        <f>Table5[[#This Row],[Floor % w/ No Philadelphia]]*$P$70</f>
        <v>166241.34759348311</v>
      </c>
      <c r="Q22" s="7">
        <f>Table5[[#This Row],[Floor % w/ No Philadelphia]]*$Q$70</f>
        <v>166241.34759348311</v>
      </c>
      <c r="R22" s="7">
        <f>SUM(Table5[[#This Row],[Payment 1]:[Payment 15]])</f>
        <v>3956302.464149816</v>
      </c>
    </row>
    <row r="23" spans="1:18" x14ac:dyDescent="0.3">
      <c r="A23" t="s">
        <v>47</v>
      </c>
      <c r="B23">
        <v>2.4737758086447615E-2</v>
      </c>
      <c r="C23" s="7">
        <f>Table5[[#This Row],[Floor % w/ No Philadelphia]]*$C$70</f>
        <v>377883.90559632226</v>
      </c>
      <c r="D23" s="7">
        <f>Table5[[#This Row],[Floor % w/ No Philadelphia]]*$D$70</f>
        <v>377883.90568290453</v>
      </c>
      <c r="E23" s="7">
        <f>Table5[[#This Row],[Floor % w/ No Philadelphia]]*$E$70</f>
        <v>280202.40286505962</v>
      </c>
      <c r="F23" s="7">
        <f>Table5[[#This Row],[Floor % w/ No Philadelphia]]*$F$70</f>
        <v>280202.40286505962</v>
      </c>
      <c r="G23" s="7">
        <f>Table5[[#This Row],[Floor % w/ No Philadelphia]]*$G$70</f>
        <v>280202.40286505962</v>
      </c>
      <c r="H23" s="7">
        <f>Table5[[#This Row],[Floor % w/ No Philadelphia]]*$H$70</f>
        <v>356282.20179657819</v>
      </c>
      <c r="I23" s="7">
        <f>Table5[[#This Row],[Floor % w/ No Philadelphia]]*$I$70</f>
        <v>347267.4730389833</v>
      </c>
      <c r="J23" s="7">
        <f>Table5[[#This Row],[Floor % w/ No Philadelphia]]*$J$70</f>
        <v>377644.8071898148</v>
      </c>
      <c r="K23" s="7">
        <f>Table5[[#This Row],[Floor % w/ No Philadelphia]]*$K$70</f>
        <v>377501.73801942868</v>
      </c>
      <c r="L23" s="7">
        <f>Table5[[#This Row],[Floor % w/ No Philadelphia]]*$L$70</f>
        <v>377501.73833723663</v>
      </c>
      <c r="M23" s="7">
        <f>Table5[[#This Row],[Floor % w/ No Philadelphia]]*$M$70</f>
        <v>182597.78503342447</v>
      </c>
      <c r="N23" s="7">
        <f>Table5[[#This Row],[Floor % w/ No Philadelphia]]*$N$70</f>
        <v>182597.78503342447</v>
      </c>
      <c r="O23" s="7">
        <f>Table5[[#This Row],[Floor % w/ No Philadelphia]]*$O$70</f>
        <v>182597.78503342447</v>
      </c>
      <c r="P23" s="7">
        <f>Table5[[#This Row],[Floor % w/ No Philadelphia]]*$P$70</f>
        <v>182597.78503342447</v>
      </c>
      <c r="Q23" s="7">
        <f>Table5[[#This Row],[Floor % w/ No Philadelphia]]*$Q$70</f>
        <v>182597.78503342447</v>
      </c>
      <c r="R23" s="7">
        <f>SUM(Table5[[#This Row],[Payment 1]:[Payment 15]])</f>
        <v>4345561.9034235692</v>
      </c>
    </row>
    <row r="24" spans="1:18" x14ac:dyDescent="0.3">
      <c r="A24" t="s">
        <v>48</v>
      </c>
      <c r="B24">
        <v>5.0377652029723163E-2</v>
      </c>
      <c r="C24" s="7">
        <f>Table5[[#This Row],[Floor % w/ No Philadelphia]]*$C$70</f>
        <v>769548.47069159022</v>
      </c>
      <c r="D24" s="7">
        <f>Table5[[#This Row],[Floor % w/ No Philadelphia]]*$D$70</f>
        <v>769548.47086791217</v>
      </c>
      <c r="E24" s="7">
        <f>Table5[[#This Row],[Floor % w/ No Philadelphia]]*$E$70</f>
        <v>570623.21897155198</v>
      </c>
      <c r="F24" s="7">
        <f>Table5[[#This Row],[Floor % w/ No Philadelphia]]*$F$70</f>
        <v>570623.21897155198</v>
      </c>
      <c r="G24" s="7">
        <f>Table5[[#This Row],[Floor % w/ No Philadelphia]]*$G$70</f>
        <v>570623.21897155198</v>
      </c>
      <c r="H24" s="7">
        <f>Table5[[#This Row],[Floor % w/ No Philadelphia]]*$H$70</f>
        <v>725557.2927736186</v>
      </c>
      <c r="I24" s="7">
        <f>Table5[[#This Row],[Floor % w/ No Philadelphia]]*$I$70</f>
        <v>707199.08638703218</v>
      </c>
      <c r="J24" s="7">
        <f>Table5[[#This Row],[Floor % w/ No Philadelphia]]*$J$70</f>
        <v>769061.55444470141</v>
      </c>
      <c r="K24" s="7">
        <f>Table5[[#This Row],[Floor % w/ No Philadelphia]]*$K$70</f>
        <v>768770.19866150129</v>
      </c>
      <c r="L24" s="7">
        <f>Table5[[#This Row],[Floor % w/ No Philadelphia]]*$L$70</f>
        <v>768770.19930870703</v>
      </c>
      <c r="M24" s="7">
        <f>Table5[[#This Row],[Floor % w/ No Philadelphia]]*$M$70</f>
        <v>371854.54088709701</v>
      </c>
      <c r="N24" s="7">
        <f>Table5[[#This Row],[Floor % w/ No Philadelphia]]*$N$70</f>
        <v>371854.54088709701</v>
      </c>
      <c r="O24" s="7">
        <f>Table5[[#This Row],[Floor % w/ No Philadelphia]]*$O$70</f>
        <v>371854.54088709701</v>
      </c>
      <c r="P24" s="7">
        <f>Table5[[#This Row],[Floor % w/ No Philadelphia]]*$P$70</f>
        <v>371854.54088709701</v>
      </c>
      <c r="Q24" s="7">
        <f>Table5[[#This Row],[Floor % w/ No Philadelphia]]*$Q$70</f>
        <v>371854.54088709701</v>
      </c>
      <c r="R24" s="7">
        <f>SUM(Table5[[#This Row],[Payment 1]:[Payment 15]])</f>
        <v>8849597.6344852038</v>
      </c>
    </row>
    <row r="25" spans="1:18" x14ac:dyDescent="0.3">
      <c r="A25" t="s">
        <v>49</v>
      </c>
      <c r="B25">
        <v>2.6586741036282854E-3</v>
      </c>
      <c r="C25" s="7">
        <f>Table5[[#This Row],[Floor % w/ No Philadelphia]]*$C$70</f>
        <v>40612.82152068818</v>
      </c>
      <c r="D25" s="7">
        <f>Table5[[#This Row],[Floor % w/ No Philadelphia]]*$D$70</f>
        <v>40612.821529993547</v>
      </c>
      <c r="E25" s="7">
        <f>Table5[[#This Row],[Floor % w/ No Philadelphia]]*$E$70</f>
        <v>30114.566957459185</v>
      </c>
      <c r="F25" s="7">
        <f>Table5[[#This Row],[Floor % w/ No Philadelphia]]*$F$70</f>
        <v>30114.566957459185</v>
      </c>
      <c r="G25" s="7">
        <f>Table5[[#This Row],[Floor % w/ No Philadelphia]]*$G$70</f>
        <v>30114.566957459185</v>
      </c>
      <c r="H25" s="7">
        <f>Table5[[#This Row],[Floor % w/ No Philadelphia]]*$H$70</f>
        <v>38291.192766541215</v>
      </c>
      <c r="I25" s="7">
        <f>Table5[[#This Row],[Floor % w/ No Philadelphia]]*$I$70</f>
        <v>37322.340786693414</v>
      </c>
      <c r="J25" s="7">
        <f>Table5[[#This Row],[Floor % w/ No Philadelphia]]*$J$70</f>
        <v>40587.124578411567</v>
      </c>
      <c r="K25" s="7">
        <f>Table5[[#This Row],[Floor % w/ No Philadelphia]]*$K$70</f>
        <v>40571.748314442782</v>
      </c>
      <c r="L25" s="7">
        <f>Table5[[#This Row],[Floor % w/ No Philadelphia]]*$L$70</f>
        <v>40571.74834859898</v>
      </c>
      <c r="M25" s="7">
        <f>Table5[[#This Row],[Floor % w/ No Philadelphia]]*$M$70</f>
        <v>19624.575547701308</v>
      </c>
      <c r="N25" s="7">
        <f>Table5[[#This Row],[Floor % w/ No Philadelphia]]*$N$70</f>
        <v>19624.575547701308</v>
      </c>
      <c r="O25" s="7">
        <f>Table5[[#This Row],[Floor % w/ No Philadelphia]]*$O$70</f>
        <v>19624.575547701308</v>
      </c>
      <c r="P25" s="7">
        <f>Table5[[#This Row],[Floor % w/ No Philadelphia]]*$P$70</f>
        <v>19624.575547701308</v>
      </c>
      <c r="Q25" s="7">
        <f>Table5[[#This Row],[Floor % w/ No Philadelphia]]*$Q$70</f>
        <v>19624.575547701308</v>
      </c>
      <c r="R25" s="7">
        <f>SUM(Table5[[#This Row],[Payment 1]:[Payment 15]])</f>
        <v>467036.37645625381</v>
      </c>
    </row>
    <row r="26" spans="1:18" x14ac:dyDescent="0.3">
      <c r="A26" t="s">
        <v>50</v>
      </c>
      <c r="B26">
        <v>2.3975889288647613E-2</v>
      </c>
      <c r="C26" s="7">
        <f>Table5[[#This Row],[Floor % w/ No Philadelphia]]*$C$70</f>
        <v>366245.90849656239</v>
      </c>
      <c r="D26" s="7">
        <f>Table5[[#This Row],[Floor % w/ No Philadelphia]]*$D$70</f>
        <v>366245.90858047805</v>
      </c>
      <c r="E26" s="7">
        <f>Table5[[#This Row],[Floor % w/ No Philadelphia]]*$E$70</f>
        <v>271572.78222338849</v>
      </c>
      <c r="F26" s="7">
        <f>Table5[[#This Row],[Floor % w/ No Philadelphia]]*$F$70</f>
        <v>271572.78222338849</v>
      </c>
      <c r="G26" s="7">
        <f>Table5[[#This Row],[Floor % w/ No Philadelphia]]*$G$70</f>
        <v>271572.78222338849</v>
      </c>
      <c r="H26" s="7">
        <f>Table5[[#This Row],[Floor % w/ No Philadelphia]]*$H$70</f>
        <v>345309.48988744995</v>
      </c>
      <c r="I26" s="7">
        <f>Table5[[#This Row],[Floor % w/ No Philadelphia]]*$I$70</f>
        <v>336572.39504223474</v>
      </c>
      <c r="J26" s="7">
        <f>Table5[[#This Row],[Floor % w/ No Philadelphia]]*$J$70</f>
        <v>366014.17379758589</v>
      </c>
      <c r="K26" s="7">
        <f>Table5[[#This Row],[Floor % w/ No Philadelphia]]*$K$70</f>
        <v>365875.5108444675</v>
      </c>
      <c r="L26" s="7">
        <f>Table5[[#This Row],[Floor % w/ No Philadelphia]]*$L$70</f>
        <v>365875.51115248766</v>
      </c>
      <c r="M26" s="7">
        <f>Table5[[#This Row],[Floor % w/ No Philadelphia]]*$M$70</f>
        <v>176974.17296323561</v>
      </c>
      <c r="N26" s="7">
        <f>Table5[[#This Row],[Floor % w/ No Philadelphia]]*$N$70</f>
        <v>176974.17296323561</v>
      </c>
      <c r="O26" s="7">
        <f>Table5[[#This Row],[Floor % w/ No Philadelphia]]*$O$70</f>
        <v>176974.17296323561</v>
      </c>
      <c r="P26" s="7">
        <f>Table5[[#This Row],[Floor % w/ No Philadelphia]]*$P$70</f>
        <v>176974.17296323561</v>
      </c>
      <c r="Q26" s="7">
        <f>Table5[[#This Row],[Floor % w/ No Philadelphia]]*$Q$70</f>
        <v>176974.17296323561</v>
      </c>
      <c r="R26" s="7">
        <f>SUM(Table5[[#This Row],[Payment 1]:[Payment 15]])</f>
        <v>4211728.1092876103</v>
      </c>
    </row>
    <row r="27" spans="1:18" x14ac:dyDescent="0.3">
      <c r="A27" t="s">
        <v>51</v>
      </c>
      <c r="B27">
        <v>1.1491054365511299E-2</v>
      </c>
      <c r="C27" s="7">
        <f>Table5[[#This Row],[Floor % w/ No Philadelphia]]*$C$70</f>
        <v>175532.66095838996</v>
      </c>
      <c r="D27" s="7">
        <f>Table5[[#This Row],[Floor % w/ No Philadelphia]]*$D$70</f>
        <v>175532.66099860868</v>
      </c>
      <c r="E27" s="7">
        <f>Table5[[#This Row],[Floor % w/ No Philadelphia]]*$E$70</f>
        <v>130158.15877160075</v>
      </c>
      <c r="F27" s="7">
        <f>Table5[[#This Row],[Floor % w/ No Philadelphia]]*$F$70</f>
        <v>130158.15877160075</v>
      </c>
      <c r="G27" s="7">
        <f>Table5[[#This Row],[Floor % w/ No Philadelphia]]*$G$70</f>
        <v>130158.15877160075</v>
      </c>
      <c r="H27" s="7">
        <f>Table5[[#This Row],[Floor % w/ No Philadelphia]]*$H$70</f>
        <v>165498.3501739167</v>
      </c>
      <c r="I27" s="7">
        <f>Table5[[#This Row],[Floor % w/ No Philadelphia]]*$I$70</f>
        <v>161310.87538813122</v>
      </c>
      <c r="J27" s="7">
        <f>Table5[[#This Row],[Floor % w/ No Philadelphia]]*$J$70</f>
        <v>175421.59621362676</v>
      </c>
      <c r="K27" s="7">
        <f>Table5[[#This Row],[Floor % w/ No Philadelphia]]*$K$70</f>
        <v>175355.13846878221</v>
      </c>
      <c r="L27" s="7">
        <f>Table5[[#This Row],[Floor % w/ No Philadelphia]]*$L$70</f>
        <v>175355.13861640872</v>
      </c>
      <c r="M27" s="7">
        <f>Table5[[#This Row],[Floor % w/ No Philadelphia]]*$M$70</f>
        <v>84819.370757390119</v>
      </c>
      <c r="N27" s="7">
        <f>Table5[[#This Row],[Floor % w/ No Philadelphia]]*$N$70</f>
        <v>84819.370757390119</v>
      </c>
      <c r="O27" s="7">
        <f>Table5[[#This Row],[Floor % w/ No Philadelphia]]*$O$70</f>
        <v>84819.370757390119</v>
      </c>
      <c r="P27" s="7">
        <f>Table5[[#This Row],[Floor % w/ No Philadelphia]]*$P$70</f>
        <v>84819.370757390119</v>
      </c>
      <c r="Q27" s="7">
        <f>Table5[[#This Row],[Floor % w/ No Philadelphia]]*$Q$70</f>
        <v>84819.370757390119</v>
      </c>
      <c r="R27" s="7">
        <f>SUM(Table5[[#This Row],[Payment 1]:[Payment 15]])</f>
        <v>2018577.7509196165</v>
      </c>
    </row>
    <row r="28" spans="1:18" x14ac:dyDescent="0.3">
      <c r="A28" t="s">
        <v>52</v>
      </c>
      <c r="B28">
        <v>1.4285890000000001E-3</v>
      </c>
      <c r="C28" s="7">
        <f>Table5[[#This Row],[Floor % w/ No Philadelphia]]*$C$70</f>
        <v>21822.543050402452</v>
      </c>
      <c r="D28" s="7">
        <f>Table5[[#This Row],[Floor % w/ No Philadelphia]]*$D$70</f>
        <v>21822.543055402519</v>
      </c>
      <c r="E28" s="7">
        <f>Table5[[#This Row],[Floor % w/ No Philadelphia]]*$E$70</f>
        <v>16181.501537355991</v>
      </c>
      <c r="F28" s="7">
        <f>Table5[[#This Row],[Floor % w/ No Philadelphia]]*$F$70</f>
        <v>16181.501537355991</v>
      </c>
      <c r="G28" s="7">
        <f>Table5[[#This Row],[Floor % w/ No Philadelphia]]*$G$70</f>
        <v>16181.501537355991</v>
      </c>
      <c r="H28" s="7">
        <f>Table5[[#This Row],[Floor % w/ No Philadelphia]]*$H$70</f>
        <v>20575.059089983297</v>
      </c>
      <c r="I28" s="7">
        <f>Table5[[#This Row],[Floor % w/ No Philadelphia]]*$I$70</f>
        <v>20054.46452777279</v>
      </c>
      <c r="J28" s="7">
        <f>Table5[[#This Row],[Floor % w/ No Philadelphia]]*$J$70</f>
        <v>21808.735277189517</v>
      </c>
      <c r="K28" s="7">
        <f>Table5[[#This Row],[Floor % w/ No Philadelphia]]*$K$70</f>
        <v>21800.473128196936</v>
      </c>
      <c r="L28" s="7">
        <f>Table5[[#This Row],[Floor % w/ No Philadelphia]]*$L$70</f>
        <v>21800.473146550132</v>
      </c>
      <c r="M28" s="7">
        <f>Table5[[#This Row],[Floor % w/ No Philadelphia]]*$M$70</f>
        <v>10544.900075889391</v>
      </c>
      <c r="N28" s="7">
        <f>Table5[[#This Row],[Floor % w/ No Philadelphia]]*$N$70</f>
        <v>10544.900075889391</v>
      </c>
      <c r="O28" s="7">
        <f>Table5[[#This Row],[Floor % w/ No Philadelphia]]*$O$70</f>
        <v>10544.900075889391</v>
      </c>
      <c r="P28" s="7">
        <f>Table5[[#This Row],[Floor % w/ No Philadelphia]]*$P$70</f>
        <v>10544.900075889391</v>
      </c>
      <c r="Q28" s="7">
        <f>Table5[[#This Row],[Floor % w/ No Philadelphia]]*$Q$70</f>
        <v>10544.900075889391</v>
      </c>
      <c r="R28" s="7">
        <f>SUM(Table5[[#This Row],[Payment 1]:[Payment 15]])</f>
        <v>250953.2962670126</v>
      </c>
    </row>
    <row r="29" spans="1:18" x14ac:dyDescent="0.3">
      <c r="A29" t="s">
        <v>53</v>
      </c>
      <c r="B29">
        <v>1.3780216324412644E-2</v>
      </c>
      <c r="C29" s="7">
        <f>Table5[[#This Row],[Floor % w/ No Philadelphia]]*$C$70</f>
        <v>210500.96562647028</v>
      </c>
      <c r="D29" s="7">
        <f>Table5[[#This Row],[Floor % w/ No Philadelphia]]*$D$70</f>
        <v>210500.96567470109</v>
      </c>
      <c r="E29" s="7">
        <f>Table5[[#This Row],[Floor % w/ No Philadelphia]]*$E$70</f>
        <v>156087.29427328735</v>
      </c>
      <c r="F29" s="7">
        <f>Table5[[#This Row],[Floor % w/ No Philadelphia]]*$F$70</f>
        <v>156087.29427328735</v>
      </c>
      <c r="G29" s="7">
        <f>Table5[[#This Row],[Floor % w/ No Philadelphia]]*$G$70</f>
        <v>156087.29427328735</v>
      </c>
      <c r="H29" s="7">
        <f>Table5[[#This Row],[Floor % w/ No Philadelphia]]*$H$70</f>
        <v>198467.69445063808</v>
      </c>
      <c r="I29" s="7">
        <f>Table5[[#This Row],[Floor % w/ No Philadelphia]]*$I$70</f>
        <v>193446.02223800469</v>
      </c>
      <c r="J29" s="7">
        <f>Table5[[#This Row],[Floor % w/ No Philadelphia]]*$J$70</f>
        <v>210367.77539342729</v>
      </c>
      <c r="K29" s="7">
        <f>Table5[[#This Row],[Floor % w/ No Philadelphia]]*$K$70</f>
        <v>210288.07843340427</v>
      </c>
      <c r="L29" s="7">
        <f>Table5[[#This Row],[Floor % w/ No Philadelphia]]*$L$70</f>
        <v>210288.07861043978</v>
      </c>
      <c r="M29" s="7">
        <f>Table5[[#This Row],[Floor % w/ No Philadelphia]]*$M$70</f>
        <v>101716.45180319258</v>
      </c>
      <c r="N29" s="7">
        <f>Table5[[#This Row],[Floor % w/ No Philadelphia]]*$N$70</f>
        <v>101716.45180319258</v>
      </c>
      <c r="O29" s="7">
        <f>Table5[[#This Row],[Floor % w/ No Philadelphia]]*$O$70</f>
        <v>101716.45180319258</v>
      </c>
      <c r="P29" s="7">
        <f>Table5[[#This Row],[Floor % w/ No Philadelphia]]*$P$70</f>
        <v>101716.45180319258</v>
      </c>
      <c r="Q29" s="7">
        <f>Table5[[#This Row],[Floor % w/ No Philadelphia]]*$Q$70</f>
        <v>101716.45180319258</v>
      </c>
      <c r="R29" s="7">
        <f>SUM(Table5[[#This Row],[Payment 1]:[Payment 15]])</f>
        <v>2420703.7222629101</v>
      </c>
    </row>
    <row r="30" spans="1:18" x14ac:dyDescent="0.3">
      <c r="A30" t="s">
        <v>54</v>
      </c>
      <c r="B30">
        <v>1.4285890000000001E-3</v>
      </c>
      <c r="C30" s="7">
        <f>Table5[[#This Row],[Floor % w/ No Philadelphia]]*$C$70</f>
        <v>21822.543050402452</v>
      </c>
      <c r="D30" s="7">
        <f>Table5[[#This Row],[Floor % w/ No Philadelphia]]*$D$70</f>
        <v>21822.543055402519</v>
      </c>
      <c r="E30" s="7">
        <f>Table5[[#This Row],[Floor % w/ No Philadelphia]]*$E$70</f>
        <v>16181.501537355991</v>
      </c>
      <c r="F30" s="7">
        <f>Table5[[#This Row],[Floor % w/ No Philadelphia]]*$F$70</f>
        <v>16181.501537355991</v>
      </c>
      <c r="G30" s="7">
        <f>Table5[[#This Row],[Floor % w/ No Philadelphia]]*$G$70</f>
        <v>16181.501537355991</v>
      </c>
      <c r="H30" s="7">
        <f>Table5[[#This Row],[Floor % w/ No Philadelphia]]*$H$70</f>
        <v>20575.059089983297</v>
      </c>
      <c r="I30" s="7">
        <f>Table5[[#This Row],[Floor % w/ No Philadelphia]]*$I$70</f>
        <v>20054.46452777279</v>
      </c>
      <c r="J30" s="7">
        <f>Table5[[#This Row],[Floor % w/ No Philadelphia]]*$J$70</f>
        <v>21808.735277189517</v>
      </c>
      <c r="K30" s="7">
        <f>Table5[[#This Row],[Floor % w/ No Philadelphia]]*$K$70</f>
        <v>21800.473128196936</v>
      </c>
      <c r="L30" s="7">
        <f>Table5[[#This Row],[Floor % w/ No Philadelphia]]*$L$70</f>
        <v>21800.473146550132</v>
      </c>
      <c r="M30" s="7">
        <f>Table5[[#This Row],[Floor % w/ No Philadelphia]]*$M$70</f>
        <v>10544.900075889391</v>
      </c>
      <c r="N30" s="7">
        <f>Table5[[#This Row],[Floor % w/ No Philadelphia]]*$N$70</f>
        <v>10544.900075889391</v>
      </c>
      <c r="O30" s="7">
        <f>Table5[[#This Row],[Floor % w/ No Philadelphia]]*$O$70</f>
        <v>10544.900075889391</v>
      </c>
      <c r="P30" s="7">
        <f>Table5[[#This Row],[Floor % w/ No Philadelphia]]*$P$70</f>
        <v>10544.900075889391</v>
      </c>
      <c r="Q30" s="7">
        <f>Table5[[#This Row],[Floor % w/ No Philadelphia]]*$Q$70</f>
        <v>10544.900075889391</v>
      </c>
      <c r="R30" s="7">
        <f>SUM(Table5[[#This Row],[Payment 1]:[Payment 15]])</f>
        <v>250953.2962670126</v>
      </c>
    </row>
    <row r="31" spans="1:18" x14ac:dyDescent="0.3">
      <c r="A31" t="s">
        <v>55</v>
      </c>
      <c r="B31">
        <v>3.2207201202528808E-3</v>
      </c>
      <c r="C31" s="7">
        <f>Table5[[#This Row],[Floor % w/ No Philadelphia]]*$C$70</f>
        <v>49198.407293851385</v>
      </c>
      <c r="D31" s="7">
        <f>Table5[[#This Row],[Floor % w/ No Philadelphia]]*$D$70</f>
        <v>49198.40730512391</v>
      </c>
      <c r="E31" s="7">
        <f>Table5[[#This Row],[Floor % w/ No Philadelphia]]*$E$70</f>
        <v>36480.812590090893</v>
      </c>
      <c r="F31" s="7">
        <f>Table5[[#This Row],[Floor % w/ No Philadelphia]]*$F$70</f>
        <v>36480.812590090893</v>
      </c>
      <c r="G31" s="7">
        <f>Table5[[#This Row],[Floor % w/ No Philadelphia]]*$G$70</f>
        <v>36480.812590090893</v>
      </c>
      <c r="H31" s="7">
        <f>Table5[[#This Row],[Floor % w/ No Philadelphia]]*$H$70</f>
        <v>46385.984202945096</v>
      </c>
      <c r="I31" s="7">
        <f>Table5[[#This Row],[Floor % w/ No Philadelphia]]*$I$70</f>
        <v>45212.316072359165</v>
      </c>
      <c r="J31" s="7">
        <f>Table5[[#This Row],[Floor % w/ No Philadelphia]]*$J$70</f>
        <v>49167.277995639801</v>
      </c>
      <c r="K31" s="7">
        <f>Table5[[#This Row],[Floor % w/ No Philadelphia]]*$K$70</f>
        <v>49148.651176101819</v>
      </c>
      <c r="L31" s="7">
        <f>Table5[[#This Row],[Floor % w/ No Philadelphia]]*$L$70</f>
        <v>49148.651217478669</v>
      </c>
      <c r="M31" s="7">
        <f>Table5[[#This Row],[Floor % w/ No Philadelphia]]*$M$70</f>
        <v>23773.227877628266</v>
      </c>
      <c r="N31" s="7">
        <f>Table5[[#This Row],[Floor % w/ No Philadelphia]]*$N$70</f>
        <v>23773.227877628266</v>
      </c>
      <c r="O31" s="7">
        <f>Table5[[#This Row],[Floor % w/ No Philadelphia]]*$O$70</f>
        <v>23773.227877628266</v>
      </c>
      <c r="P31" s="7">
        <f>Table5[[#This Row],[Floor % w/ No Philadelphia]]*$P$70</f>
        <v>23773.227877628266</v>
      </c>
      <c r="Q31" s="7">
        <f>Table5[[#This Row],[Floor % w/ No Philadelphia]]*$Q$70</f>
        <v>23773.227877628266</v>
      </c>
      <c r="R31" s="7">
        <f>SUM(Table5[[#This Row],[Payment 1]:[Payment 15]])</f>
        <v>565768.27242191392</v>
      </c>
    </row>
    <row r="32" spans="1:18" x14ac:dyDescent="0.3">
      <c r="A32" t="s">
        <v>56</v>
      </c>
      <c r="B32">
        <v>4.0128112248142868E-3</v>
      </c>
      <c r="C32" s="7">
        <f>Table5[[#This Row],[Floor % w/ No Philadelphia]]*$C$70</f>
        <v>61298.068028416827</v>
      </c>
      <c r="D32" s="7">
        <f>Table5[[#This Row],[Floor % w/ No Philadelphia]]*$D$70</f>
        <v>61298.06804246168</v>
      </c>
      <c r="E32" s="7">
        <f>Table5[[#This Row],[Floor % w/ No Philadelphia]]*$E$70</f>
        <v>45452.758633485035</v>
      </c>
      <c r="F32" s="7">
        <f>Table5[[#This Row],[Floor % w/ No Philadelphia]]*$F$70</f>
        <v>45452.758633485035</v>
      </c>
      <c r="G32" s="7">
        <f>Table5[[#This Row],[Floor % w/ No Philadelphia]]*$G$70</f>
        <v>45452.758633485035</v>
      </c>
      <c r="H32" s="7">
        <f>Table5[[#This Row],[Floor % w/ No Philadelphia]]*$H$70</f>
        <v>57793.968781435527</v>
      </c>
      <c r="I32" s="7">
        <f>Table5[[#This Row],[Floor % w/ No Philadelphia]]*$I$70</f>
        <v>56331.653375944086</v>
      </c>
      <c r="J32" s="7">
        <f>Table5[[#This Row],[Floor % w/ No Philadelphia]]*$J$70</f>
        <v>61259.282914336742</v>
      </c>
      <c r="K32" s="7">
        <f>Table5[[#This Row],[Floor % w/ No Philadelphia]]*$K$70</f>
        <v>61236.075088840022</v>
      </c>
      <c r="L32" s="7">
        <f>Table5[[#This Row],[Floor % w/ No Philadelphia]]*$L$70</f>
        <v>61236.075140392924</v>
      </c>
      <c r="M32" s="7">
        <f>Table5[[#This Row],[Floor % w/ No Philadelphia]]*$M$70</f>
        <v>29619.921047322896</v>
      </c>
      <c r="N32" s="7">
        <f>Table5[[#This Row],[Floor % w/ No Philadelphia]]*$N$70</f>
        <v>29619.921047322896</v>
      </c>
      <c r="O32" s="7">
        <f>Table5[[#This Row],[Floor % w/ No Philadelphia]]*$O$70</f>
        <v>29619.921047322896</v>
      </c>
      <c r="P32" s="7">
        <f>Table5[[#This Row],[Floor % w/ No Philadelphia]]*$P$70</f>
        <v>29619.921047322896</v>
      </c>
      <c r="Q32" s="7">
        <f>Table5[[#This Row],[Floor % w/ No Philadelphia]]*$Q$70</f>
        <v>29619.921047322896</v>
      </c>
      <c r="R32" s="7">
        <f>SUM(Table5[[#This Row],[Payment 1]:[Payment 15]])</f>
        <v>704911.07250889752</v>
      </c>
    </row>
    <row r="33" spans="1:18" x14ac:dyDescent="0.3">
      <c r="A33" t="s">
        <v>57</v>
      </c>
      <c r="B33">
        <v>7.4731764598576006E-3</v>
      </c>
      <c r="C33" s="7">
        <f>Table5[[#This Row],[Floor % w/ No Philadelphia]]*$C$70</f>
        <v>114157.19637943221</v>
      </c>
      <c r="D33" s="7">
        <f>Table5[[#This Row],[Floor % w/ No Philadelphia]]*$D$70</f>
        <v>114157.19640558834</v>
      </c>
      <c r="E33" s="7">
        <f>Table5[[#This Row],[Floor % w/ No Philadelphia]]*$E$70</f>
        <v>84648.010291356273</v>
      </c>
      <c r="F33" s="7">
        <f>Table5[[#This Row],[Floor % w/ No Philadelphia]]*$F$70</f>
        <v>84648.010291356273</v>
      </c>
      <c r="G33" s="7">
        <f>Table5[[#This Row],[Floor % w/ No Philadelphia]]*$G$70</f>
        <v>84648.010291356273</v>
      </c>
      <c r="H33" s="7">
        <f>Table5[[#This Row],[Floor % w/ No Philadelphia]]*$H$70</f>
        <v>107631.40920967635</v>
      </c>
      <c r="I33" s="7">
        <f>Table5[[#This Row],[Floor % w/ No Philadelphia]]*$I$70</f>
        <v>104908.09618721751</v>
      </c>
      <c r="J33" s="7">
        <f>Table5[[#This Row],[Floor % w/ No Philadelphia]]*$J$70</f>
        <v>114084.96571985274</v>
      </c>
      <c r="K33" s="7">
        <f>Table5[[#This Row],[Floor % w/ No Philadelphia]]*$K$70</f>
        <v>114041.74510331488</v>
      </c>
      <c r="L33" s="7">
        <f>Table5[[#This Row],[Floor % w/ No Philadelphia]]*$L$70</f>
        <v>114041.74519932337</v>
      </c>
      <c r="M33" s="7">
        <f>Table5[[#This Row],[Floor % w/ No Philadelphia]]*$M$70</f>
        <v>55162.050819855962</v>
      </c>
      <c r="N33" s="7">
        <f>Table5[[#This Row],[Floor % w/ No Philadelphia]]*$N$70</f>
        <v>55162.050819855962</v>
      </c>
      <c r="O33" s="7">
        <f>Table5[[#This Row],[Floor % w/ No Philadelphia]]*$O$70</f>
        <v>55162.050819855962</v>
      </c>
      <c r="P33" s="7">
        <f>Table5[[#This Row],[Floor % w/ No Philadelphia]]*$P$70</f>
        <v>55162.050819855962</v>
      </c>
      <c r="Q33" s="7">
        <f>Table5[[#This Row],[Floor % w/ No Philadelphia]]*$Q$70</f>
        <v>55162.050819855962</v>
      </c>
      <c r="R33" s="7">
        <f>SUM(Table5[[#This Row],[Payment 1]:[Payment 15]])</f>
        <v>1312776.6391777536</v>
      </c>
    </row>
    <row r="34" spans="1:18" x14ac:dyDescent="0.3">
      <c r="A34" t="s">
        <v>58</v>
      </c>
      <c r="B34">
        <v>3.8600107973941252E-3</v>
      </c>
      <c r="C34" s="7">
        <f>Table5[[#This Row],[Floor % w/ No Philadelphia]]*$C$70</f>
        <v>58963.951004208764</v>
      </c>
      <c r="D34" s="7">
        <f>Table5[[#This Row],[Floor % w/ No Philadelphia]]*$D$70</f>
        <v>58963.951017718813</v>
      </c>
      <c r="E34" s="7">
        <f>Table5[[#This Row],[Floor % w/ No Philadelphia]]*$E$70</f>
        <v>43722.001675950014</v>
      </c>
      <c r="F34" s="7">
        <f>Table5[[#This Row],[Floor % w/ No Philadelphia]]*$F$70</f>
        <v>43722.001675950014</v>
      </c>
      <c r="G34" s="7">
        <f>Table5[[#This Row],[Floor % w/ No Philadelphia]]*$G$70</f>
        <v>43722.001675950014</v>
      </c>
      <c r="H34" s="7">
        <f>Table5[[#This Row],[Floor % w/ No Philadelphia]]*$H$70</f>
        <v>55593.281373689475</v>
      </c>
      <c r="I34" s="7">
        <f>Table5[[#This Row],[Floor % w/ No Philadelphia]]*$I$70</f>
        <v>54186.648233439038</v>
      </c>
      <c r="J34" s="7">
        <f>Table5[[#This Row],[Floor % w/ No Philadelphia]]*$J$70</f>
        <v>58926.642755517292</v>
      </c>
      <c r="K34" s="7">
        <f>Table5[[#This Row],[Floor % w/ No Philadelphia]]*$K$70</f>
        <v>58904.318641079168</v>
      </c>
      <c r="L34" s="7">
        <f>Table5[[#This Row],[Floor % w/ No Philadelphia]]*$L$70</f>
        <v>58904.318690669032</v>
      </c>
      <c r="M34" s="7">
        <f>Table5[[#This Row],[Floor % w/ No Philadelphia]]*$M$70</f>
        <v>28492.049253056812</v>
      </c>
      <c r="N34" s="7">
        <f>Table5[[#This Row],[Floor % w/ No Philadelphia]]*$N$70</f>
        <v>28492.049253056812</v>
      </c>
      <c r="O34" s="7">
        <f>Table5[[#This Row],[Floor % w/ No Philadelphia]]*$O$70</f>
        <v>28492.049253056812</v>
      </c>
      <c r="P34" s="7">
        <f>Table5[[#This Row],[Floor % w/ No Philadelphia]]*$P$70</f>
        <v>28492.049253056812</v>
      </c>
      <c r="Q34" s="7">
        <f>Table5[[#This Row],[Floor % w/ No Philadelphia]]*$Q$70</f>
        <v>28492.049253056812</v>
      </c>
      <c r="R34" s="7">
        <f>SUM(Table5[[#This Row],[Payment 1]:[Payment 15]])</f>
        <v>678069.36300945538</v>
      </c>
    </row>
    <row r="35" spans="1:18" x14ac:dyDescent="0.3">
      <c r="A35" t="s">
        <v>59</v>
      </c>
      <c r="B35">
        <v>2.2011617127431372E-3</v>
      </c>
      <c r="C35" s="7">
        <f>Table5[[#This Row],[Floor % w/ No Philadelphia]]*$C$70</f>
        <v>33624.048790264176</v>
      </c>
      <c r="D35" s="7">
        <f>Table5[[#This Row],[Floor % w/ No Philadelphia]]*$D$70</f>
        <v>33624.048797968244</v>
      </c>
      <c r="E35" s="7">
        <f>Table5[[#This Row],[Floor % w/ No Philadelphia]]*$E$70</f>
        <v>24932.364479022461</v>
      </c>
      <c r="F35" s="7">
        <f>Table5[[#This Row],[Floor % w/ No Philadelphia]]*$F$70</f>
        <v>24932.364479022461</v>
      </c>
      <c r="G35" s="7">
        <f>Table5[[#This Row],[Floor % w/ No Philadelphia]]*$G$70</f>
        <v>24932.364479022461</v>
      </c>
      <c r="H35" s="7">
        <f>Table5[[#This Row],[Floor % w/ No Philadelphia]]*$H$70</f>
        <v>31701.932680637248</v>
      </c>
      <c r="I35" s="7">
        <f>Table5[[#This Row],[Floor % w/ No Philadelphia]]*$I$70</f>
        <v>30899.803574085225</v>
      </c>
      <c r="J35" s="7">
        <f>Table5[[#This Row],[Floor % w/ No Philadelphia]]*$J$70</f>
        <v>33602.77385273172</v>
      </c>
      <c r="K35" s="7">
        <f>Table5[[#This Row],[Floor % w/ No Philadelphia]]*$K$70</f>
        <v>33590.04358109484</v>
      </c>
      <c r="L35" s="7">
        <f>Table5[[#This Row],[Floor % w/ No Philadelphia]]*$L$70</f>
        <v>33590.043609373337</v>
      </c>
      <c r="M35" s="7">
        <f>Table5[[#This Row],[Floor % w/ No Philadelphia]]*$M$70</f>
        <v>16247.521373712052</v>
      </c>
      <c r="N35" s="7">
        <f>Table5[[#This Row],[Floor % w/ No Philadelphia]]*$N$70</f>
        <v>16247.521373712052</v>
      </c>
      <c r="O35" s="7">
        <f>Table5[[#This Row],[Floor % w/ No Philadelphia]]*$O$70</f>
        <v>16247.521373712052</v>
      </c>
      <c r="P35" s="7">
        <f>Table5[[#This Row],[Floor % w/ No Philadelphia]]*$P$70</f>
        <v>16247.521373712052</v>
      </c>
      <c r="Q35" s="7">
        <f>Table5[[#This Row],[Floor % w/ No Philadelphia]]*$Q$70</f>
        <v>16247.521373712052</v>
      </c>
      <c r="R35" s="7">
        <f>SUM(Table5[[#This Row],[Payment 1]:[Payment 15]])</f>
        <v>386667.39519178245</v>
      </c>
    </row>
    <row r="36" spans="1:18" x14ac:dyDescent="0.3">
      <c r="A36" t="s">
        <v>60</v>
      </c>
      <c r="B36">
        <v>1.8637741023208192E-2</v>
      </c>
      <c r="C36" s="7">
        <f>Table5[[#This Row],[Floor % w/ No Philadelphia]]*$C$70</f>
        <v>284702.53224770218</v>
      </c>
      <c r="D36" s="7">
        <f>Table5[[#This Row],[Floor % w/ No Philadelphia]]*$D$70</f>
        <v>284702.53231293435</v>
      </c>
      <c r="E36" s="7">
        <f>Table5[[#This Row],[Floor % w/ No Philadelphia]]*$E$70</f>
        <v>211108.04788493132</v>
      </c>
      <c r="F36" s="7">
        <f>Table5[[#This Row],[Floor % w/ No Philadelphia]]*$F$70</f>
        <v>211108.04788493132</v>
      </c>
      <c r="G36" s="7">
        <f>Table5[[#This Row],[Floor % w/ No Philadelphia]]*$G$70</f>
        <v>211108.04788493132</v>
      </c>
      <c r="H36" s="7">
        <f>Table5[[#This Row],[Floor % w/ No Philadelphia]]*$H$70</f>
        <v>268427.53434074763</v>
      </c>
      <c r="I36" s="7">
        <f>Table5[[#This Row],[Floor % w/ No Philadelphia]]*$I$70</f>
        <v>261635.72324002523</v>
      </c>
      <c r="J36" s="7">
        <f>Table5[[#This Row],[Floor % w/ No Philadelphia]]*$J$70</f>
        <v>284522.39247254649</v>
      </c>
      <c r="K36" s="7">
        <f>Table5[[#This Row],[Floor % w/ No Philadelphia]]*$K$70</f>
        <v>284414.60234311182</v>
      </c>
      <c r="L36" s="7">
        <f>Table5[[#This Row],[Floor % w/ No Philadelphia]]*$L$70</f>
        <v>284414.60258255235</v>
      </c>
      <c r="M36" s="7">
        <f>Table5[[#This Row],[Floor % w/ No Philadelphia]]*$M$70</f>
        <v>137571.48958170254</v>
      </c>
      <c r="N36" s="7">
        <f>Table5[[#This Row],[Floor % w/ No Philadelphia]]*$N$70</f>
        <v>137571.48958170254</v>
      </c>
      <c r="O36" s="7">
        <f>Table5[[#This Row],[Floor % w/ No Philadelphia]]*$O$70</f>
        <v>137571.48958170254</v>
      </c>
      <c r="P36" s="7">
        <f>Table5[[#This Row],[Floor % w/ No Philadelphia]]*$P$70</f>
        <v>137571.48958170254</v>
      </c>
      <c r="Q36" s="7">
        <f>Table5[[#This Row],[Floor % w/ No Philadelphia]]*$Q$70</f>
        <v>137571.48958170254</v>
      </c>
      <c r="R36" s="7">
        <f>SUM(Table5[[#This Row],[Payment 1]:[Payment 15]])</f>
        <v>3274001.5111029278</v>
      </c>
    </row>
    <row r="37" spans="1:18" x14ac:dyDescent="0.3">
      <c r="A37" t="s">
        <v>61</v>
      </c>
      <c r="B37">
        <v>4.8508935691355483E-2</v>
      </c>
      <c r="C37" s="7">
        <f>Table5[[#This Row],[Floor % w/ No Philadelphia]]*$C$70</f>
        <v>741002.72188418719</v>
      </c>
      <c r="D37" s="7">
        <f>Table5[[#This Row],[Floor % w/ No Philadelphia]]*$D$70</f>
        <v>741002.72205396858</v>
      </c>
      <c r="E37" s="7">
        <f>Table5[[#This Row],[Floor % w/ No Philadelphia]]*$E$70</f>
        <v>549456.43391148304</v>
      </c>
      <c r="F37" s="7">
        <f>Table5[[#This Row],[Floor % w/ No Philadelphia]]*$F$70</f>
        <v>549456.43391148304</v>
      </c>
      <c r="G37" s="7">
        <f>Table5[[#This Row],[Floor % w/ No Philadelphia]]*$G$70</f>
        <v>549456.43391148304</v>
      </c>
      <c r="H37" s="7">
        <f>Table5[[#This Row],[Floor % w/ No Philadelphia]]*$H$70</f>
        <v>698643.35945596581</v>
      </c>
      <c r="I37" s="7">
        <f>Table5[[#This Row],[Floor % w/ No Philadelphia]]*$I$70</f>
        <v>680966.13518814708</v>
      </c>
      <c r="J37" s="7">
        <f>Table5[[#This Row],[Floor % w/ No Philadelphia]]*$J$70</f>
        <v>740533.86738311849</v>
      </c>
      <c r="K37" s="7">
        <f>Table5[[#This Row],[Floor % w/ No Philadelphia]]*$K$70</f>
        <v>740253.31919595378</v>
      </c>
      <c r="L37" s="7">
        <f>Table5[[#This Row],[Floor % w/ No Philadelphia]]*$L$70</f>
        <v>740253.31981915189</v>
      </c>
      <c r="M37" s="7">
        <f>Table5[[#This Row],[Floor % w/ No Philadelphia]]*$M$70</f>
        <v>358060.91160794877</v>
      </c>
      <c r="N37" s="7">
        <f>Table5[[#This Row],[Floor % w/ No Philadelphia]]*$N$70</f>
        <v>358060.91160794877</v>
      </c>
      <c r="O37" s="7">
        <f>Table5[[#This Row],[Floor % w/ No Philadelphia]]*$O$70</f>
        <v>358060.91160794877</v>
      </c>
      <c r="P37" s="7">
        <f>Table5[[#This Row],[Floor % w/ No Philadelphia]]*$P$70</f>
        <v>358060.91160794877</v>
      </c>
      <c r="Q37" s="7">
        <f>Table5[[#This Row],[Floor % w/ No Philadelphia]]*$Q$70</f>
        <v>358060.91160794877</v>
      </c>
      <c r="R37" s="7">
        <f>SUM(Table5[[#This Row],[Payment 1]:[Payment 15]])</f>
        <v>8521329.3047546875</v>
      </c>
    </row>
    <row r="38" spans="1:18" x14ac:dyDescent="0.3">
      <c r="A38" t="s">
        <v>62</v>
      </c>
      <c r="B38">
        <v>7.6010879287683698E-3</v>
      </c>
      <c r="C38" s="7">
        <f>Table5[[#This Row],[Floor % w/ No Philadelphia]]*$C$70</f>
        <v>116111.11982203569</v>
      </c>
      <c r="D38" s="7">
        <f>Table5[[#This Row],[Floor % w/ No Philadelphia]]*$D$70</f>
        <v>116111.11984863953</v>
      </c>
      <c r="E38" s="7">
        <f>Table5[[#This Row],[Floor % w/ No Philadelphia]]*$E$70</f>
        <v>86096.852212178201</v>
      </c>
      <c r="F38" s="7">
        <f>Table5[[#This Row],[Floor % w/ No Philadelphia]]*$F$70</f>
        <v>86096.852212178201</v>
      </c>
      <c r="G38" s="7">
        <f>Table5[[#This Row],[Floor % w/ No Philadelphia]]*$G$70</f>
        <v>86096.852212178201</v>
      </c>
      <c r="H38" s="7">
        <f>Table5[[#This Row],[Floor % w/ No Philadelphia]]*$H$70</f>
        <v>109473.63677206528</v>
      </c>
      <c r="I38" s="7">
        <f>Table5[[#This Row],[Floor % w/ No Philadelphia]]*$I$70</f>
        <v>106703.7113123279</v>
      </c>
      <c r="J38" s="7">
        <f>Table5[[#This Row],[Floor % w/ No Philadelphia]]*$J$70</f>
        <v>116037.65285687496</v>
      </c>
      <c r="K38" s="7">
        <f>Table5[[#This Row],[Floor % w/ No Philadelphia]]*$K$70</f>
        <v>115993.69247290643</v>
      </c>
      <c r="L38" s="7">
        <f>Table5[[#This Row],[Floor % w/ No Philadelphia]]*$L$70</f>
        <v>115993.69257055821</v>
      </c>
      <c r="M38" s="7">
        <f>Table5[[#This Row],[Floor % w/ No Philadelphia]]*$M$70</f>
        <v>56106.208767470212</v>
      </c>
      <c r="N38" s="7">
        <f>Table5[[#This Row],[Floor % w/ No Philadelphia]]*$N$70</f>
        <v>56106.208767470212</v>
      </c>
      <c r="O38" s="7">
        <f>Table5[[#This Row],[Floor % w/ No Philadelphia]]*$O$70</f>
        <v>56106.208767470212</v>
      </c>
      <c r="P38" s="7">
        <f>Table5[[#This Row],[Floor % w/ No Philadelphia]]*$P$70</f>
        <v>56106.208767470212</v>
      </c>
      <c r="Q38" s="7">
        <f>Table5[[#This Row],[Floor % w/ No Philadelphia]]*$Q$70</f>
        <v>56106.208767470212</v>
      </c>
      <c r="R38" s="7">
        <f>SUM(Table5[[#This Row],[Payment 1]:[Payment 15]])</f>
        <v>1335246.2261292937</v>
      </c>
    </row>
    <row r="39" spans="1:18" x14ac:dyDescent="0.3">
      <c r="A39" t="s">
        <v>63</v>
      </c>
      <c r="B39">
        <v>1.2603857478293731E-2</v>
      </c>
      <c r="C39" s="7">
        <f>Table5[[#This Row],[Floor % w/ No Philadelphia]]*$C$70</f>
        <v>192531.3875587743</v>
      </c>
      <c r="D39" s="7">
        <f>Table5[[#This Row],[Floor % w/ No Philadelphia]]*$D$70</f>
        <v>192531.38760288784</v>
      </c>
      <c r="E39" s="7">
        <f>Table5[[#This Row],[Floor % w/ No Philadelphia]]*$E$70</f>
        <v>142762.78143092646</v>
      </c>
      <c r="F39" s="7">
        <f>Table5[[#This Row],[Floor % w/ No Philadelphia]]*$F$70</f>
        <v>142762.78143092646</v>
      </c>
      <c r="G39" s="7">
        <f>Table5[[#This Row],[Floor % w/ No Philadelphia]]*$G$70</f>
        <v>142762.78143092646</v>
      </c>
      <c r="H39" s="7">
        <f>Table5[[#This Row],[Floor % w/ No Philadelphia]]*$H$70</f>
        <v>181525.34590258036</v>
      </c>
      <c r="I39" s="7">
        <f>Table5[[#This Row],[Floor % w/ No Philadelphia]]*$I$70</f>
        <v>176932.35263014442</v>
      </c>
      <c r="J39" s="7">
        <f>Table5[[#This Row],[Floor % w/ No Philadelphia]]*$J$70</f>
        <v>192409.56721319666</v>
      </c>
      <c r="K39" s="7">
        <f>Table5[[#This Row],[Floor % w/ No Philadelphia]]*$K$70</f>
        <v>192336.67364593066</v>
      </c>
      <c r="L39" s="7">
        <f>Table5[[#This Row],[Floor % w/ No Philadelphia]]*$L$70</f>
        <v>192336.67380785343</v>
      </c>
      <c r="M39" s="7">
        <f>Table5[[#This Row],[Floor % w/ No Philadelphia]]*$M$70</f>
        <v>93033.348065369821</v>
      </c>
      <c r="N39" s="7">
        <f>Table5[[#This Row],[Floor % w/ No Philadelphia]]*$N$70</f>
        <v>93033.348065369821</v>
      </c>
      <c r="O39" s="7">
        <f>Table5[[#This Row],[Floor % w/ No Philadelphia]]*$O$70</f>
        <v>93033.348065369821</v>
      </c>
      <c r="P39" s="7">
        <f>Table5[[#This Row],[Floor % w/ No Philadelphia]]*$P$70</f>
        <v>93033.348065369821</v>
      </c>
      <c r="Q39" s="7">
        <f>Table5[[#This Row],[Floor % w/ No Philadelphia]]*$Q$70</f>
        <v>93033.348065369821</v>
      </c>
      <c r="R39" s="7">
        <f>SUM(Table5[[#This Row],[Payment 1]:[Payment 15]])</f>
        <v>2214058.4729809957</v>
      </c>
    </row>
    <row r="40" spans="1:18" x14ac:dyDescent="0.3">
      <c r="A40" t="s">
        <v>64</v>
      </c>
      <c r="B40">
        <v>3.2828358495613212E-2</v>
      </c>
      <c r="C40" s="7">
        <f>Table5[[#This Row],[Floor % w/ No Philadelphia]]*$C$70</f>
        <v>501472.61846798792</v>
      </c>
      <c r="D40" s="7">
        <f>Table5[[#This Row],[Floor % w/ No Philadelphia]]*$D$70</f>
        <v>501472.61858288728</v>
      </c>
      <c r="E40" s="7">
        <f>Table5[[#This Row],[Floor % w/ No Philadelphia]]*$E$70</f>
        <v>371843.91974573425</v>
      </c>
      <c r="F40" s="7">
        <f>Table5[[#This Row],[Floor % w/ No Philadelphia]]*$F$70</f>
        <v>371843.91974573425</v>
      </c>
      <c r="G40" s="7">
        <f>Table5[[#This Row],[Floor % w/ No Philadelphia]]*$G$70</f>
        <v>371843.91974573425</v>
      </c>
      <c r="H40" s="7">
        <f>Table5[[#This Row],[Floor % w/ No Philadelphia]]*$H$70</f>
        <v>472805.97559857805</v>
      </c>
      <c r="I40" s="7">
        <f>Table5[[#This Row],[Floor % w/ No Philadelphia]]*$I$70</f>
        <v>460842.93730056973</v>
      </c>
      <c r="J40" s="7">
        <f>Table5[[#This Row],[Floor % w/ No Philadelphia]]*$J$70</f>
        <v>501155.32180039468</v>
      </c>
      <c r="K40" s="7">
        <f>Table5[[#This Row],[Floor % w/ No Philadelphia]]*$K$70</f>
        <v>500965.4611833294</v>
      </c>
      <c r="L40" s="7">
        <f>Table5[[#This Row],[Floor % w/ No Philadelphia]]*$L$70</f>
        <v>500965.4616050779</v>
      </c>
      <c r="M40" s="7">
        <f>Table5[[#This Row],[Floor % w/ No Philadelphia]]*$M$70</f>
        <v>242317.25149200775</v>
      </c>
      <c r="N40" s="7">
        <f>Table5[[#This Row],[Floor % w/ No Philadelphia]]*$N$70</f>
        <v>242317.25149200775</v>
      </c>
      <c r="O40" s="7">
        <f>Table5[[#This Row],[Floor % w/ No Philadelphia]]*$O$70</f>
        <v>242317.25149200775</v>
      </c>
      <c r="P40" s="7">
        <f>Table5[[#This Row],[Floor % w/ No Philadelphia]]*$P$70</f>
        <v>242317.25149200775</v>
      </c>
      <c r="Q40" s="7">
        <f>Table5[[#This Row],[Floor % w/ No Philadelphia]]*$Q$70</f>
        <v>242317.25149200775</v>
      </c>
      <c r="R40" s="7">
        <f>SUM(Table5[[#This Row],[Payment 1]:[Payment 15]])</f>
        <v>5766798.4112360664</v>
      </c>
    </row>
    <row r="41" spans="1:18" x14ac:dyDescent="0.3">
      <c r="A41" t="s">
        <v>65</v>
      </c>
      <c r="B41">
        <v>2.821492336848477E-2</v>
      </c>
      <c r="C41" s="7">
        <f>Table5[[#This Row],[Floor % w/ No Philadelphia]]*$C$70</f>
        <v>430999.66461492074</v>
      </c>
      <c r="D41" s="7">
        <f>Table5[[#This Row],[Floor % w/ No Philadelphia]]*$D$70</f>
        <v>430999.66471367306</v>
      </c>
      <c r="E41" s="7">
        <f>Table5[[#This Row],[Floor % w/ No Philadelphia]]*$E$70</f>
        <v>319587.94717271219</v>
      </c>
      <c r="F41" s="7">
        <f>Table5[[#This Row],[Floor % w/ No Philadelphia]]*$F$70</f>
        <v>319587.94717271219</v>
      </c>
      <c r="G41" s="7">
        <f>Table5[[#This Row],[Floor % w/ No Philadelphia]]*$G$70</f>
        <v>319587.94717271219</v>
      </c>
      <c r="H41" s="7">
        <f>Table5[[#This Row],[Floor % w/ No Philadelphia]]*$H$70</f>
        <v>406361.60262043506</v>
      </c>
      <c r="I41" s="7">
        <f>Table5[[#This Row],[Floor % w/ No Philadelphia]]*$I$70</f>
        <v>396079.75411199813</v>
      </c>
      <c r="J41" s="7">
        <f>Table5[[#This Row],[Floor % w/ No Philadelphia]]*$J$70</f>
        <v>430726.95828504395</v>
      </c>
      <c r="K41" s="7">
        <f>Table5[[#This Row],[Floor % w/ No Philadelphia]]*$K$70</f>
        <v>430563.77916166786</v>
      </c>
      <c r="L41" s="7">
        <f>Table5[[#This Row],[Floor % w/ No Philadelphia]]*$L$70</f>
        <v>430563.77952414722</v>
      </c>
      <c r="M41" s="7">
        <f>Table5[[#This Row],[Floor % w/ No Philadelphia]]*$M$70</f>
        <v>208263.92165244752</v>
      </c>
      <c r="N41" s="7">
        <f>Table5[[#This Row],[Floor % w/ No Philadelphia]]*$N$70</f>
        <v>208263.92165244752</v>
      </c>
      <c r="O41" s="7">
        <f>Table5[[#This Row],[Floor % w/ No Philadelphia]]*$O$70</f>
        <v>208263.92165244752</v>
      </c>
      <c r="P41" s="7">
        <f>Table5[[#This Row],[Floor % w/ No Philadelphia]]*$P$70</f>
        <v>208263.92165244752</v>
      </c>
      <c r="Q41" s="7">
        <f>Table5[[#This Row],[Floor % w/ No Philadelphia]]*$Q$70</f>
        <v>208263.92165244752</v>
      </c>
      <c r="R41" s="7">
        <f>SUM(Table5[[#This Row],[Payment 1]:[Payment 15]])</f>
        <v>4956378.6528122593</v>
      </c>
    </row>
    <row r="42" spans="1:18" x14ac:dyDescent="0.3">
      <c r="A42" t="s">
        <v>66</v>
      </c>
      <c r="B42">
        <v>1.0071050393412943E-2</v>
      </c>
      <c r="C42" s="7">
        <f>Table5[[#This Row],[Floor % w/ No Philadelphia]]*$C$70</f>
        <v>153841.25929362923</v>
      </c>
      <c r="D42" s="7">
        <f>Table5[[#This Row],[Floor % w/ No Philadelphia]]*$D$70</f>
        <v>153841.25932887793</v>
      </c>
      <c r="E42" s="7">
        <f>Table5[[#This Row],[Floor % w/ No Philadelphia]]*$E$70</f>
        <v>114073.89908770204</v>
      </c>
      <c r="F42" s="7">
        <f>Table5[[#This Row],[Floor % w/ No Philadelphia]]*$F$70</f>
        <v>114073.89908770204</v>
      </c>
      <c r="G42" s="7">
        <f>Table5[[#This Row],[Floor % w/ No Philadelphia]]*$G$70</f>
        <v>114073.89908770204</v>
      </c>
      <c r="H42" s="7">
        <f>Table5[[#This Row],[Floor % w/ No Philadelphia]]*$H$70</f>
        <v>145046.93578255945</v>
      </c>
      <c r="I42" s="7">
        <f>Table5[[#This Row],[Floor % w/ No Philadelphia]]*$I$70</f>
        <v>141376.92707427542</v>
      </c>
      <c r="J42" s="7">
        <f>Table5[[#This Row],[Floor % w/ No Philadelphia]]*$J$70</f>
        <v>153743.91934501679</v>
      </c>
      <c r="K42" s="7">
        <f>Table5[[#This Row],[Floor % w/ No Philadelphia]]*$K$70</f>
        <v>153685.67409822979</v>
      </c>
      <c r="L42" s="7">
        <f>Table5[[#This Row],[Floor % w/ No Philadelphia]]*$L$70</f>
        <v>153685.67422761337</v>
      </c>
      <c r="M42" s="7">
        <f>Table5[[#This Row],[Floor % w/ No Philadelphia]]*$M$70</f>
        <v>74337.839685022074</v>
      </c>
      <c r="N42" s="7">
        <f>Table5[[#This Row],[Floor % w/ No Philadelphia]]*$N$70</f>
        <v>74337.839685022074</v>
      </c>
      <c r="O42" s="7">
        <f>Table5[[#This Row],[Floor % w/ No Philadelphia]]*$O$70</f>
        <v>74337.839685022074</v>
      </c>
      <c r="P42" s="7">
        <f>Table5[[#This Row],[Floor % w/ No Philadelphia]]*$P$70</f>
        <v>74337.839685022074</v>
      </c>
      <c r="Q42" s="7">
        <f>Table5[[#This Row],[Floor % w/ No Philadelphia]]*$Q$70</f>
        <v>74337.839685022074</v>
      </c>
      <c r="R42" s="7">
        <f>SUM(Table5[[#This Row],[Payment 1]:[Payment 15]])</f>
        <v>1769132.5448384185</v>
      </c>
    </row>
    <row r="43" spans="1:18" x14ac:dyDescent="0.3">
      <c r="A43" t="s">
        <v>67</v>
      </c>
      <c r="B43">
        <v>3.611121212300204E-3</v>
      </c>
      <c r="C43" s="7">
        <f>Table5[[#This Row],[Floor % w/ No Philadelphia]]*$C$70</f>
        <v>55162.015188163074</v>
      </c>
      <c r="D43" s="7">
        <f>Table5[[#This Row],[Floor % w/ No Philadelphia]]*$D$70</f>
        <v>55162.015200802009</v>
      </c>
      <c r="E43" s="7">
        <f>Table5[[#This Row],[Floor % w/ No Philadelphia]]*$E$70</f>
        <v>40902.851308819103</v>
      </c>
      <c r="F43" s="7">
        <f>Table5[[#This Row],[Floor % w/ No Philadelphia]]*$F$70</f>
        <v>40902.851308819103</v>
      </c>
      <c r="G43" s="7">
        <f>Table5[[#This Row],[Floor % w/ No Philadelphia]]*$G$70</f>
        <v>40902.851308819103</v>
      </c>
      <c r="H43" s="7">
        <f>Table5[[#This Row],[Floor % w/ No Philadelphia]]*$H$70</f>
        <v>52008.682920118255</v>
      </c>
      <c r="I43" s="7">
        <f>Table5[[#This Row],[Floor % w/ No Philadelphia]]*$I$70</f>
        <v>50692.748059492485</v>
      </c>
      <c r="J43" s="7">
        <f>Table5[[#This Row],[Floor % w/ No Philadelphia]]*$J$70</f>
        <v>55127.11253754497</v>
      </c>
      <c r="K43" s="7">
        <f>Table5[[#This Row],[Floor % w/ No Philadelphia]]*$K$70</f>
        <v>55106.227859386105</v>
      </c>
      <c r="L43" s="7">
        <f>Table5[[#This Row],[Floor % w/ No Philadelphia]]*$L$70</f>
        <v>55106.227905778462</v>
      </c>
      <c r="M43" s="7">
        <f>Table5[[#This Row],[Floor % w/ No Philadelphia]]*$M$70</f>
        <v>26654.910786538469</v>
      </c>
      <c r="N43" s="7">
        <f>Table5[[#This Row],[Floor % w/ No Philadelphia]]*$N$70</f>
        <v>26654.910786538469</v>
      </c>
      <c r="O43" s="7">
        <f>Table5[[#This Row],[Floor % w/ No Philadelphia]]*$O$70</f>
        <v>26654.910786538469</v>
      </c>
      <c r="P43" s="7">
        <f>Table5[[#This Row],[Floor % w/ No Philadelphia]]*$P$70</f>
        <v>26654.910786538469</v>
      </c>
      <c r="Q43" s="7">
        <f>Table5[[#This Row],[Floor % w/ No Philadelphia]]*$Q$70</f>
        <v>26654.910786538469</v>
      </c>
      <c r="R43" s="7">
        <f>SUM(Table5[[#This Row],[Payment 1]:[Payment 15]])</f>
        <v>634348.13753043523</v>
      </c>
    </row>
    <row r="44" spans="1:18" x14ac:dyDescent="0.3">
      <c r="A44" t="s">
        <v>68</v>
      </c>
      <c r="B44">
        <v>9.726604985470462E-3</v>
      </c>
      <c r="C44" s="7">
        <f>Table5[[#This Row],[Floor % w/ No Philadelphia]]*$C$70</f>
        <v>148579.65169106598</v>
      </c>
      <c r="D44" s="7">
        <f>Table5[[#This Row],[Floor % w/ No Philadelphia]]*$D$70</f>
        <v>148579.65172510914</v>
      </c>
      <c r="E44" s="7">
        <f>Table5[[#This Row],[Floor % w/ No Philadelphia]]*$E$70</f>
        <v>110172.39634747623</v>
      </c>
      <c r="F44" s="7">
        <f>Table5[[#This Row],[Floor % w/ No Philadelphia]]*$F$70</f>
        <v>110172.39634747623</v>
      </c>
      <c r="G44" s="7">
        <f>Table5[[#This Row],[Floor % w/ No Philadelphia]]*$G$70</f>
        <v>110172.39634747623</v>
      </c>
      <c r="H44" s="7">
        <f>Table5[[#This Row],[Floor % w/ No Philadelphia]]*$H$70</f>
        <v>140086.10756556355</v>
      </c>
      <c r="I44" s="7">
        <f>Table5[[#This Row],[Floor % w/ No Philadelphia]]*$I$70</f>
        <v>136541.61879783153</v>
      </c>
      <c r="J44" s="7">
        <f>Table5[[#This Row],[Floor % w/ No Philadelphia]]*$J$70</f>
        <v>148485.64091835867</v>
      </c>
      <c r="K44" s="7">
        <f>Table5[[#This Row],[Floor % w/ No Philadelphia]]*$K$70</f>
        <v>148429.38774856529</v>
      </c>
      <c r="L44" s="7">
        <f>Table5[[#This Row],[Floor % w/ No Philadelphia]]*$L$70</f>
        <v>148429.38787352375</v>
      </c>
      <c r="M44" s="7">
        <f>Table5[[#This Row],[Floor % w/ No Philadelphia]]*$M$70</f>
        <v>71795.371271536875</v>
      </c>
      <c r="N44" s="7">
        <f>Table5[[#This Row],[Floor % w/ No Philadelphia]]*$N$70</f>
        <v>71795.371271536875</v>
      </c>
      <c r="O44" s="7">
        <f>Table5[[#This Row],[Floor % w/ No Philadelphia]]*$O$70</f>
        <v>71795.371271536875</v>
      </c>
      <c r="P44" s="7">
        <f>Table5[[#This Row],[Floor % w/ No Philadelphia]]*$P$70</f>
        <v>71795.371271536875</v>
      </c>
      <c r="Q44" s="7">
        <f>Table5[[#This Row],[Floor % w/ No Philadelphia]]*$Q$70</f>
        <v>71795.371271536875</v>
      </c>
      <c r="R44" s="7">
        <f>SUM(Table5[[#This Row],[Payment 1]:[Payment 15]])</f>
        <v>1708625.4917201314</v>
      </c>
    </row>
    <row r="45" spans="1:18" x14ac:dyDescent="0.3">
      <c r="A45" t="s">
        <v>69</v>
      </c>
      <c r="B45">
        <v>4.1011670275226285E-3</v>
      </c>
      <c r="C45" s="7">
        <f>Table5[[#This Row],[Floor % w/ No Philadelphia]]*$C$70</f>
        <v>62647.755243113039</v>
      </c>
      <c r="D45" s="7">
        <f>Table5[[#This Row],[Floor % w/ No Philadelphia]]*$D$70</f>
        <v>62647.755257467135</v>
      </c>
      <c r="E45" s="7">
        <f>Table5[[#This Row],[Floor % w/ No Philadelphia]]*$E$70</f>
        <v>46453.557013816506</v>
      </c>
      <c r="F45" s="7">
        <f>Table5[[#This Row],[Floor % w/ No Philadelphia]]*$F$70</f>
        <v>46453.557013816506</v>
      </c>
      <c r="G45" s="7">
        <f>Table5[[#This Row],[Floor % w/ No Philadelphia]]*$G$70</f>
        <v>46453.557013816506</v>
      </c>
      <c r="H45" s="7">
        <f>Table5[[#This Row],[Floor % w/ No Philadelphia]]*$H$70</f>
        <v>59066.501232453302</v>
      </c>
      <c r="I45" s="7">
        <f>Table5[[#This Row],[Floor % w/ No Philadelphia]]*$I$70</f>
        <v>57571.987937695107</v>
      </c>
      <c r="J45" s="7">
        <f>Table5[[#This Row],[Floor % w/ No Philadelphia]]*$J$70</f>
        <v>62608.116141716906</v>
      </c>
      <c r="K45" s="7">
        <f>Table5[[#This Row],[Floor % w/ No Philadelphia]]*$K$70</f>
        <v>62584.397316341056</v>
      </c>
      <c r="L45" s="7">
        <f>Table5[[#This Row],[Floor % w/ No Philadelphia]]*$L$70</f>
        <v>62584.397369029073</v>
      </c>
      <c r="M45" s="7">
        <f>Table5[[#This Row],[Floor % w/ No Philadelphia]]*$M$70</f>
        <v>30272.105202936902</v>
      </c>
      <c r="N45" s="7">
        <f>Table5[[#This Row],[Floor % w/ No Philadelphia]]*$N$70</f>
        <v>30272.105202936902</v>
      </c>
      <c r="O45" s="7">
        <f>Table5[[#This Row],[Floor % w/ No Philadelphia]]*$O$70</f>
        <v>30272.105202936902</v>
      </c>
      <c r="P45" s="7">
        <f>Table5[[#This Row],[Floor % w/ No Philadelphia]]*$P$70</f>
        <v>30272.105202936902</v>
      </c>
      <c r="Q45" s="7">
        <f>Table5[[#This Row],[Floor % w/ No Philadelphia]]*$Q$70</f>
        <v>30272.105202936902</v>
      </c>
      <c r="R45" s="7">
        <f>SUM(Table5[[#This Row],[Payment 1]:[Payment 15]])</f>
        <v>720432.1075539497</v>
      </c>
    </row>
    <row r="46" spans="1:18" x14ac:dyDescent="0.3">
      <c r="A46" t="s">
        <v>70</v>
      </c>
      <c r="B46">
        <v>1.5135242336973982E-2</v>
      </c>
      <c r="C46" s="7">
        <f>Table5[[#This Row],[Floor % w/ No Philadelphia]]*$C$70</f>
        <v>231199.7904763991</v>
      </c>
      <c r="D46" s="7">
        <f>Table5[[#This Row],[Floor % w/ No Philadelphia]]*$D$70</f>
        <v>231199.79052937252</v>
      </c>
      <c r="E46" s="7">
        <f>Table5[[#This Row],[Floor % w/ No Philadelphia]]*$E$70</f>
        <v>171435.55434348155</v>
      </c>
      <c r="F46" s="7">
        <f>Table5[[#This Row],[Floor % w/ No Philadelphia]]*$F$70</f>
        <v>171435.55434348155</v>
      </c>
      <c r="G46" s="7">
        <f>Table5[[#This Row],[Floor % w/ No Philadelphia]]*$G$70</f>
        <v>171435.55434348155</v>
      </c>
      <c r="H46" s="7">
        <f>Table5[[#This Row],[Floor % w/ No Philadelphia]]*$H$70</f>
        <v>217983.27260286658</v>
      </c>
      <c r="I46" s="7">
        <f>Table5[[#This Row],[Floor % w/ No Philadelphia]]*$I$70</f>
        <v>212467.81304216234</v>
      </c>
      <c r="J46" s="7">
        <f>Table5[[#This Row],[Floor % w/ No Philadelphia]]*$J$70</f>
        <v>231053.50348013092</v>
      </c>
      <c r="K46" s="7">
        <f>Table5[[#This Row],[Floor % w/ No Philadelphia]]*$K$70</f>
        <v>230965.96981773613</v>
      </c>
      <c r="L46" s="7">
        <f>Table5[[#This Row],[Floor % w/ No Philadelphia]]*$L$70</f>
        <v>230965.97001217978</v>
      </c>
      <c r="M46" s="7">
        <f>Table5[[#This Row],[Floor % w/ No Philadelphia]]*$M$70</f>
        <v>111718.35851162318</v>
      </c>
      <c r="N46" s="7">
        <f>Table5[[#This Row],[Floor % w/ No Philadelphia]]*$N$70</f>
        <v>111718.35851162318</v>
      </c>
      <c r="O46" s="7">
        <f>Table5[[#This Row],[Floor % w/ No Philadelphia]]*$O$70</f>
        <v>111718.35851162318</v>
      </c>
      <c r="P46" s="7">
        <f>Table5[[#This Row],[Floor % w/ No Philadelphia]]*$P$70</f>
        <v>111718.35851162318</v>
      </c>
      <c r="Q46" s="7">
        <f>Table5[[#This Row],[Floor % w/ No Philadelphia]]*$Q$70</f>
        <v>111718.35851162318</v>
      </c>
      <c r="R46" s="7">
        <f>SUM(Table5[[#This Row],[Payment 1]:[Payment 15]])</f>
        <v>2658734.5655494067</v>
      </c>
    </row>
    <row r="47" spans="1:18" x14ac:dyDescent="0.3">
      <c r="A47" t="s">
        <v>71</v>
      </c>
      <c r="B47">
        <v>7.3859317713684272E-2</v>
      </c>
      <c r="C47" s="7">
        <f>Table5[[#This Row],[Floor % w/ No Philadelphia]]*$C$70</f>
        <v>1128244.8209248618</v>
      </c>
      <c r="D47" s="7">
        <f>Table5[[#This Row],[Floor % w/ No Philadelphia]]*$D$70</f>
        <v>1128244.8211833697</v>
      </c>
      <c r="E47" s="7">
        <f>Table5[[#This Row],[Floor % w/ No Philadelphia]]*$E$70</f>
        <v>836597.9740373519</v>
      </c>
      <c r="F47" s="7">
        <f>Table5[[#This Row],[Floor % w/ No Philadelphia]]*$F$70</f>
        <v>836597.9740373519</v>
      </c>
      <c r="G47" s="7">
        <f>Table5[[#This Row],[Floor % w/ No Philadelphia]]*$G$70</f>
        <v>836597.9740373519</v>
      </c>
      <c r="H47" s="7">
        <f>Table5[[#This Row],[Floor % w/ No Philadelphia]]*$H$70</f>
        <v>1063748.7943032628</v>
      </c>
      <c r="I47" s="7">
        <f>Table5[[#This Row],[Floor % w/ No Philadelphia]]*$I$70</f>
        <v>1036833.5939410016</v>
      </c>
      <c r="J47" s="7">
        <f>Table5[[#This Row],[Floor % w/ No Philadelphia]]*$J$70</f>
        <v>1127530.9468094565</v>
      </c>
      <c r="K47" s="7">
        <f>Table5[[#This Row],[Floor % w/ No Philadelphia]]*$K$70</f>
        <v>1127103.786382321</v>
      </c>
      <c r="L47" s="7">
        <f>Table5[[#This Row],[Floor % w/ No Philadelphia]]*$L$70</f>
        <v>1127103.7873311976</v>
      </c>
      <c r="M47" s="7">
        <f>Table5[[#This Row],[Floor % w/ No Philadelphia]]*$M$70</f>
        <v>545180.68175253191</v>
      </c>
      <c r="N47" s="7">
        <f>Table5[[#This Row],[Floor % w/ No Philadelphia]]*$N$70</f>
        <v>545180.68175253191</v>
      </c>
      <c r="O47" s="7">
        <f>Table5[[#This Row],[Floor % w/ No Philadelphia]]*$O$70</f>
        <v>545180.68175253191</v>
      </c>
      <c r="P47" s="7">
        <f>Table5[[#This Row],[Floor % w/ No Philadelphia]]*$P$70</f>
        <v>545180.68175253191</v>
      </c>
      <c r="Q47" s="7">
        <f>Table5[[#This Row],[Floor % w/ No Philadelphia]]*$Q$70</f>
        <v>545180.68175253191</v>
      </c>
      <c r="R47" s="7">
        <f>SUM(Table5[[#This Row],[Payment 1]:[Payment 15]])</f>
        <v>12974507.881750191</v>
      </c>
    </row>
    <row r="48" spans="1:18" x14ac:dyDescent="0.3">
      <c r="A48" t="s">
        <v>72</v>
      </c>
      <c r="B48">
        <v>1.6204489772364977E-3</v>
      </c>
      <c r="C48" s="7">
        <f>Table5[[#This Row],[Floor % w/ No Philadelphia]]*$C$70</f>
        <v>24753.317830897544</v>
      </c>
      <c r="D48" s="7">
        <f>Table5[[#This Row],[Floor % w/ No Philadelphia]]*$D$70</f>
        <v>24753.31783656912</v>
      </c>
      <c r="E48" s="7">
        <f>Table5[[#This Row],[Floor % w/ No Philadelphia]]*$E$70</f>
        <v>18354.682568855933</v>
      </c>
      <c r="F48" s="7">
        <f>Table5[[#This Row],[Floor % w/ No Philadelphia]]*$F$70</f>
        <v>18354.682568855933</v>
      </c>
      <c r="G48" s="7">
        <f>Table5[[#This Row],[Floor % w/ No Philadelphia]]*$G$70</f>
        <v>18354.682568855933</v>
      </c>
      <c r="H48" s="7">
        <f>Table5[[#This Row],[Floor % w/ No Philadelphia]]*$H$70</f>
        <v>23338.296360215525</v>
      </c>
      <c r="I48" s="7">
        <f>Table5[[#This Row],[Floor % w/ No Philadelphia]]*$I$70</f>
        <v>22747.78577537349</v>
      </c>
      <c r="J48" s="7">
        <f>Table5[[#This Row],[Floor % w/ No Philadelphia]]*$J$70</f>
        <v>24737.655669155563</v>
      </c>
      <c r="K48" s="7">
        <f>Table5[[#This Row],[Floor % w/ No Philadelphia]]*$K$70</f>
        <v>24728.283910808826</v>
      </c>
      <c r="L48" s="7">
        <f>Table5[[#This Row],[Floor % w/ No Philadelphia]]*$L$70</f>
        <v>24728.283931626862</v>
      </c>
      <c r="M48" s="7">
        <f>Table5[[#This Row],[Floor % w/ No Philadelphia]]*$M$70</f>
        <v>11961.083658796217</v>
      </c>
      <c r="N48" s="7">
        <f>Table5[[#This Row],[Floor % w/ No Philadelphia]]*$N$70</f>
        <v>11961.083658796217</v>
      </c>
      <c r="O48" s="7">
        <f>Table5[[#This Row],[Floor % w/ No Philadelphia]]*$O$70</f>
        <v>11961.083658796217</v>
      </c>
      <c r="P48" s="7">
        <f>Table5[[#This Row],[Floor % w/ No Philadelphia]]*$P$70</f>
        <v>11961.083658796217</v>
      </c>
      <c r="Q48" s="7">
        <f>Table5[[#This Row],[Floor % w/ No Philadelphia]]*$Q$70</f>
        <v>11961.083658796217</v>
      </c>
      <c r="R48" s="7">
        <f>SUM(Table5[[#This Row],[Payment 1]:[Payment 15]])</f>
        <v>284656.40731519577</v>
      </c>
    </row>
    <row r="49" spans="1:18" x14ac:dyDescent="0.3">
      <c r="A49" t="s">
        <v>73</v>
      </c>
      <c r="B49">
        <v>2.7136520351927821E-2</v>
      </c>
      <c r="C49" s="7">
        <f>Table5[[#This Row],[Floor % w/ No Philadelphia]]*$C$70</f>
        <v>414526.41985768278</v>
      </c>
      <c r="D49" s="7">
        <f>Table5[[#This Row],[Floor % w/ No Philadelphia]]*$D$70</f>
        <v>414526.41995266068</v>
      </c>
      <c r="E49" s="7">
        <f>Table5[[#This Row],[Floor % w/ No Philadelphia]]*$E$70</f>
        <v>307372.97136770067</v>
      </c>
      <c r="F49" s="7">
        <f>Table5[[#This Row],[Floor % w/ No Philadelphia]]*$F$70</f>
        <v>307372.97136770067</v>
      </c>
      <c r="G49" s="7">
        <f>Table5[[#This Row],[Floor % w/ No Philadelphia]]*$G$70</f>
        <v>307372.97136770067</v>
      </c>
      <c r="H49" s="7">
        <f>Table5[[#This Row],[Floor % w/ No Philadelphia]]*$H$70</f>
        <v>390830.04960660433</v>
      </c>
      <c r="I49" s="7">
        <f>Table5[[#This Row],[Floor % w/ No Philadelphia]]*$I$70</f>
        <v>380941.18378688401</v>
      </c>
      <c r="J49" s="7">
        <f>Table5[[#This Row],[Floor % w/ No Philadelphia]]*$J$70</f>
        <v>414264.13664060098</v>
      </c>
      <c r="K49" s="7">
        <f>Table5[[#This Row],[Floor % w/ No Philadelphia]]*$K$70</f>
        <v>414107.19438898918</v>
      </c>
      <c r="L49" s="7">
        <f>Table5[[#This Row],[Floor % w/ No Philadelphia]]*$L$70</f>
        <v>414107.19473761419</v>
      </c>
      <c r="M49" s="7">
        <f>Table5[[#This Row],[Floor % w/ No Philadelphia]]*$M$70</f>
        <v>200303.86312537591</v>
      </c>
      <c r="N49" s="7">
        <f>Table5[[#This Row],[Floor % w/ No Philadelphia]]*$N$70</f>
        <v>200303.86312537591</v>
      </c>
      <c r="O49" s="7">
        <f>Table5[[#This Row],[Floor % w/ No Philadelphia]]*$O$70</f>
        <v>200303.86312537591</v>
      </c>
      <c r="P49" s="7">
        <f>Table5[[#This Row],[Floor % w/ No Philadelphia]]*$P$70</f>
        <v>200303.86312537591</v>
      </c>
      <c r="Q49" s="7">
        <f>Table5[[#This Row],[Floor % w/ No Philadelphia]]*$Q$70</f>
        <v>200303.86312537591</v>
      </c>
      <c r="R49" s="7">
        <f>SUM(Table5[[#This Row],[Payment 1]:[Payment 15]])</f>
        <v>4766940.8287010165</v>
      </c>
    </row>
    <row r="50" spans="1:18" x14ac:dyDescent="0.3">
      <c r="A50" t="s">
        <v>74</v>
      </c>
      <c r="B50">
        <v>8.0749559209596904E-3</v>
      </c>
      <c r="C50" s="7">
        <f>Table5[[#This Row],[Floor % w/ No Philadelphia]]*$C$70</f>
        <v>123349.73404894272</v>
      </c>
      <c r="D50" s="7">
        <f>Table5[[#This Row],[Floor % w/ No Philadelphia]]*$D$70</f>
        <v>123349.73407720508</v>
      </c>
      <c r="E50" s="7">
        <f>Table5[[#This Row],[Floor % w/ No Philadelphia]]*$E$70</f>
        <v>91464.313143312102</v>
      </c>
      <c r="F50" s="7">
        <f>Table5[[#This Row],[Floor % w/ No Philadelphia]]*$F$70</f>
        <v>91464.313143312102</v>
      </c>
      <c r="G50" s="7">
        <f>Table5[[#This Row],[Floor % w/ No Philadelphia]]*$G$70</f>
        <v>91464.313143312102</v>
      </c>
      <c r="H50" s="7">
        <f>Table5[[#This Row],[Floor % w/ No Philadelphia]]*$H$70</f>
        <v>116298.45618491821</v>
      </c>
      <c r="I50" s="7">
        <f>Table5[[#This Row],[Floor % w/ No Philadelphia]]*$I$70</f>
        <v>113355.84767922401</v>
      </c>
      <c r="J50" s="7">
        <f>Table5[[#This Row],[Floor % w/ No Philadelphia]]*$J$70</f>
        <v>123271.68699687871</v>
      </c>
      <c r="K50" s="7">
        <f>Table5[[#This Row],[Floor % w/ No Philadelphia]]*$K$70</f>
        <v>123224.98602905136</v>
      </c>
      <c r="L50" s="7">
        <f>Table5[[#This Row],[Floor % w/ No Philadelphia]]*$L$70</f>
        <v>123224.98613279096</v>
      </c>
      <c r="M50" s="7">
        <f>Table5[[#This Row],[Floor % w/ No Philadelphia]]*$M$70</f>
        <v>59603.989183544967</v>
      </c>
      <c r="N50" s="7">
        <f>Table5[[#This Row],[Floor % w/ No Philadelphia]]*$N$70</f>
        <v>59603.989183544967</v>
      </c>
      <c r="O50" s="7">
        <f>Table5[[#This Row],[Floor % w/ No Philadelphia]]*$O$70</f>
        <v>59603.989183544967</v>
      </c>
      <c r="P50" s="7">
        <f>Table5[[#This Row],[Floor % w/ No Philadelphia]]*$P$70</f>
        <v>59603.989183544967</v>
      </c>
      <c r="Q50" s="7">
        <f>Table5[[#This Row],[Floor % w/ No Philadelphia]]*$Q$70</f>
        <v>59603.989183544967</v>
      </c>
      <c r="R50" s="7">
        <f>SUM(Table5[[#This Row],[Payment 1]:[Payment 15]])</f>
        <v>1418488.3164966719</v>
      </c>
    </row>
    <row r="51" spans="1:18" x14ac:dyDescent="0.3">
      <c r="A51" t="s">
        <v>75</v>
      </c>
      <c r="B51">
        <v>4.1130781719521236E-3</v>
      </c>
      <c r="C51" s="7">
        <f>Table5[[#This Row],[Floor % w/ No Philadelphia]]*$C$70</f>
        <v>62829.705028595228</v>
      </c>
      <c r="D51" s="7">
        <f>Table5[[#This Row],[Floor % w/ No Philadelphia]]*$D$70</f>
        <v>62829.705042991016</v>
      </c>
      <c r="E51" s="7">
        <f>Table5[[#This Row],[Floor % w/ No Philadelphia]]*$E$70</f>
        <v>46588.473495672064</v>
      </c>
      <c r="F51" s="7">
        <f>Table5[[#This Row],[Floor % w/ No Philadelphia]]*$F$70</f>
        <v>46588.473495672064</v>
      </c>
      <c r="G51" s="7">
        <f>Table5[[#This Row],[Floor % w/ No Philadelphia]]*$G$70</f>
        <v>46588.473495672064</v>
      </c>
      <c r="H51" s="7">
        <f>Table5[[#This Row],[Floor % w/ No Philadelphia]]*$H$70</f>
        <v>59238.049872731361</v>
      </c>
      <c r="I51" s="7">
        <f>Table5[[#This Row],[Floor % w/ No Philadelphia]]*$I$70</f>
        <v>57739.196017448267</v>
      </c>
      <c r="J51" s="7">
        <f>Table5[[#This Row],[Floor % w/ No Philadelphia]]*$J$70</f>
        <v>62789.950802148443</v>
      </c>
      <c r="K51" s="7">
        <f>Table5[[#This Row],[Floor % w/ No Philadelphia]]*$K$70</f>
        <v>62766.163089464942</v>
      </c>
      <c r="L51" s="7">
        <f>Table5[[#This Row],[Floor % w/ No Philadelphia]]*$L$70</f>
        <v>62766.163142305988</v>
      </c>
      <c r="M51" s="7">
        <f>Table5[[#This Row],[Floor % w/ No Philadelphia]]*$M$70</f>
        <v>30360.025400977425</v>
      </c>
      <c r="N51" s="7">
        <f>Table5[[#This Row],[Floor % w/ No Philadelphia]]*$N$70</f>
        <v>30360.025400977425</v>
      </c>
      <c r="O51" s="7">
        <f>Table5[[#This Row],[Floor % w/ No Philadelphia]]*$O$70</f>
        <v>30360.025400977425</v>
      </c>
      <c r="P51" s="7">
        <f>Table5[[#This Row],[Floor % w/ No Philadelphia]]*$P$70</f>
        <v>30360.025400977425</v>
      </c>
      <c r="Q51" s="7">
        <f>Table5[[#This Row],[Floor % w/ No Philadelphia]]*$Q$70</f>
        <v>30360.025400977425</v>
      </c>
      <c r="R51" s="7">
        <f>SUM(Table5[[#This Row],[Payment 1]:[Payment 15]])</f>
        <v>722524.48048758879</v>
      </c>
    </row>
    <row r="52" spans="1:18" x14ac:dyDescent="0.3">
      <c r="A52" t="s">
        <v>76</v>
      </c>
      <c r="B52">
        <v>0</v>
      </c>
      <c r="C52" s="7">
        <f>Table5[[#This Row],[Floor % w/ No Philadelphia]]*$C$70</f>
        <v>0</v>
      </c>
      <c r="D52" s="7">
        <f>Table5[[#This Row],[Floor % w/ No Philadelphia]]*$D$70</f>
        <v>0</v>
      </c>
      <c r="E52" s="7">
        <f>Table5[[#This Row],[Floor % w/ No Philadelphia]]*$E$70</f>
        <v>0</v>
      </c>
      <c r="F52" s="7">
        <f>Table5[[#This Row],[Floor % w/ No Philadelphia]]*$F$70</f>
        <v>0</v>
      </c>
      <c r="G52" s="7">
        <f>Table5[[#This Row],[Floor % w/ No Philadelphia]]*$G$70</f>
        <v>0</v>
      </c>
      <c r="H52" s="7">
        <f>Table5[[#This Row],[Floor % w/ No Philadelphia]]*$H$70</f>
        <v>0</v>
      </c>
      <c r="I52" s="7">
        <f>Table5[[#This Row],[Floor % w/ No Philadelphia]]*$I$70</f>
        <v>0</v>
      </c>
      <c r="J52" s="7">
        <f>Table5[[#This Row],[Floor % w/ No Philadelphia]]*$J$70</f>
        <v>0</v>
      </c>
      <c r="K52" s="7">
        <f>Table5[[#This Row],[Floor % w/ No Philadelphia]]*$K$70</f>
        <v>0</v>
      </c>
      <c r="L52" s="7">
        <f>Table5[[#This Row],[Floor % w/ No Philadelphia]]*$L$70</f>
        <v>0</v>
      </c>
      <c r="M52" s="7">
        <f>Table5[[#This Row],[Floor % w/ No Philadelphia]]*$M$70</f>
        <v>0</v>
      </c>
      <c r="N52" s="7">
        <f>Table5[[#This Row],[Floor % w/ No Philadelphia]]*$N$70</f>
        <v>0</v>
      </c>
      <c r="O52" s="7">
        <f>Table5[[#This Row],[Floor % w/ No Philadelphia]]*$O$70</f>
        <v>0</v>
      </c>
      <c r="P52" s="7">
        <f>Table5[[#This Row],[Floor % w/ No Philadelphia]]*$P$70</f>
        <v>0</v>
      </c>
      <c r="Q52" s="7">
        <f>Table5[[#This Row],[Floor % w/ No Philadelphia]]*$Q$70</f>
        <v>0</v>
      </c>
      <c r="R52" s="7">
        <f>SUM(Table5[[#This Row],[Payment 1]:[Payment 15]])</f>
        <v>0</v>
      </c>
    </row>
    <row r="53" spans="1:18" x14ac:dyDescent="0.3">
      <c r="A53" t="s">
        <v>77</v>
      </c>
      <c r="B53">
        <v>4.9608138766095277E-3</v>
      </c>
      <c r="C53" s="7">
        <f>Table5[[#This Row],[Floor % w/ No Philadelphia]]*$C$70</f>
        <v>75779.369984890887</v>
      </c>
      <c r="D53" s="7">
        <f>Table5[[#This Row],[Floor % w/ No Philadelphia]]*$D$70</f>
        <v>75779.370002253752</v>
      </c>
      <c r="E53" s="7">
        <f>Table5[[#This Row],[Floor % w/ No Philadelphia]]*$E$70</f>
        <v>56190.701014003331</v>
      </c>
      <c r="F53" s="7">
        <f>Table5[[#This Row],[Floor % w/ No Philadelphia]]*$F$70</f>
        <v>56190.701014003331</v>
      </c>
      <c r="G53" s="7">
        <f>Table5[[#This Row],[Floor % w/ No Philadelphia]]*$G$70</f>
        <v>56190.701014003331</v>
      </c>
      <c r="H53" s="7">
        <f>Table5[[#This Row],[Floor % w/ No Philadelphia]]*$H$70</f>
        <v>71447.44824834165</v>
      </c>
      <c r="I53" s="7">
        <f>Table5[[#This Row],[Floor % w/ No Philadelphia]]*$I$70</f>
        <v>69639.669574208383</v>
      </c>
      <c r="J53" s="7">
        <f>Table5[[#This Row],[Floor % w/ No Philadelphia]]*$J$70</f>
        <v>75731.422119577765</v>
      </c>
      <c r="K53" s="7">
        <f>Table5[[#This Row],[Floor % w/ No Philadelphia]]*$K$70</f>
        <v>75702.731584110239</v>
      </c>
      <c r="L53" s="7">
        <f>Table5[[#This Row],[Floor % w/ No Philadelphia]]*$L$70</f>
        <v>75702.731647842214</v>
      </c>
      <c r="M53" s="7">
        <f>Table5[[#This Row],[Floor % w/ No Philadelphia]]*$M$70</f>
        <v>36617.450242115083</v>
      </c>
      <c r="N53" s="7">
        <f>Table5[[#This Row],[Floor % w/ No Philadelphia]]*$N$70</f>
        <v>36617.450242115083</v>
      </c>
      <c r="O53" s="7">
        <f>Table5[[#This Row],[Floor % w/ No Philadelphia]]*$O$70</f>
        <v>36617.450242115083</v>
      </c>
      <c r="P53" s="7">
        <f>Table5[[#This Row],[Floor % w/ No Philadelphia]]*$P$70</f>
        <v>36617.450242115083</v>
      </c>
      <c r="Q53" s="7">
        <f>Table5[[#This Row],[Floor % w/ No Philadelphia]]*$Q$70</f>
        <v>36617.450242115083</v>
      </c>
      <c r="R53" s="7">
        <f>SUM(Table5[[#This Row],[Payment 1]:[Payment 15]])</f>
        <v>871442.0974138102</v>
      </c>
    </row>
    <row r="54" spans="1:18" x14ac:dyDescent="0.3">
      <c r="A54" t="s">
        <v>78</v>
      </c>
      <c r="B54">
        <v>1.4731779718619976E-3</v>
      </c>
      <c r="C54" s="7">
        <f>Table5[[#This Row],[Floor % w/ No Philadelphia]]*$C$70</f>
        <v>22503.666003212271</v>
      </c>
      <c r="D54" s="7">
        <f>Table5[[#This Row],[Floor % w/ No Philadelphia]]*$D$70</f>
        <v>22503.666008368396</v>
      </c>
      <c r="E54" s="7">
        <f>Table5[[#This Row],[Floor % w/ No Philadelphia]]*$E$70</f>
        <v>16686.556886889015</v>
      </c>
      <c r="F54" s="7">
        <f>Table5[[#This Row],[Floor % w/ No Philadelphia]]*$F$70</f>
        <v>16686.556886889015</v>
      </c>
      <c r="G54" s="7">
        <f>Table5[[#This Row],[Floor % w/ No Philadelphia]]*$G$70</f>
        <v>16686.556886889015</v>
      </c>
      <c r="H54" s="7">
        <f>Table5[[#This Row],[Floor % w/ No Philadelphia]]*$H$70</f>
        <v>21217.245702663502</v>
      </c>
      <c r="I54" s="7">
        <f>Table5[[#This Row],[Floor % w/ No Philadelphia]]*$I$70</f>
        <v>20680.402396912399</v>
      </c>
      <c r="J54" s="7">
        <f>Table5[[#This Row],[Floor % w/ No Philadelphia]]*$J$70</f>
        <v>22489.427263212339</v>
      </c>
      <c r="K54" s="7">
        <f>Table5[[#This Row],[Floor % w/ No Philadelphia]]*$K$70</f>
        <v>22480.907236881383</v>
      </c>
      <c r="L54" s="7">
        <f>Table5[[#This Row],[Floor % w/ No Philadelphia]]*$L$70</f>
        <v>22480.907255807415</v>
      </c>
      <c r="M54" s="7">
        <f>Table5[[#This Row],[Floor % w/ No Philadelphia]]*$M$70</f>
        <v>10874.026404575532</v>
      </c>
      <c r="N54" s="7">
        <f>Table5[[#This Row],[Floor % w/ No Philadelphia]]*$N$70</f>
        <v>10874.026404575532</v>
      </c>
      <c r="O54" s="7">
        <f>Table5[[#This Row],[Floor % w/ No Philadelphia]]*$O$70</f>
        <v>10874.026404575532</v>
      </c>
      <c r="P54" s="7">
        <f>Table5[[#This Row],[Floor % w/ No Philadelphia]]*$P$70</f>
        <v>10874.026404575532</v>
      </c>
      <c r="Q54" s="7">
        <f>Table5[[#This Row],[Floor % w/ No Philadelphia]]*$Q$70</f>
        <v>10874.026404575532</v>
      </c>
      <c r="R54" s="7">
        <f>SUM(Table5[[#This Row],[Payment 1]:[Payment 15]])</f>
        <v>258786.02455060239</v>
      </c>
    </row>
    <row r="55" spans="1:18" x14ac:dyDescent="0.3">
      <c r="A55" t="s">
        <v>79</v>
      </c>
      <c r="B55">
        <v>1.2565279592604173E-2</v>
      </c>
      <c r="C55" s="7">
        <f>Table5[[#This Row],[Floor % w/ No Philadelphia]]*$C$70</f>
        <v>191942.08750728721</v>
      </c>
      <c r="D55" s="7">
        <f>Table5[[#This Row],[Floor % w/ No Philadelphia]]*$D$70</f>
        <v>191942.08755126572</v>
      </c>
      <c r="E55" s="7">
        <f>Table5[[#This Row],[Floor % w/ No Philadelphia]]*$E$70</f>
        <v>142325.81312402117</v>
      </c>
      <c r="F55" s="7">
        <f>Table5[[#This Row],[Floor % w/ No Philadelphia]]*$F$70</f>
        <v>142325.81312402117</v>
      </c>
      <c r="G55" s="7">
        <f>Table5[[#This Row],[Floor % w/ No Philadelphia]]*$G$70</f>
        <v>142325.81312402117</v>
      </c>
      <c r="H55" s="7">
        <f>Table5[[#This Row],[Floor % w/ No Philadelphia]]*$H$70</f>
        <v>180969.73314227682</v>
      </c>
      <c r="I55" s="7">
        <f>Table5[[#This Row],[Floor % w/ No Philadelphia]]*$I$70</f>
        <v>176390.79810318272</v>
      </c>
      <c r="J55" s="7">
        <f>Table5[[#This Row],[Floor % w/ No Philadelphia]]*$J$70</f>
        <v>191820.64002941092</v>
      </c>
      <c r="K55" s="7">
        <f>Table5[[#This Row],[Floor % w/ No Philadelphia]]*$K$70</f>
        <v>191747.96957476824</v>
      </c>
      <c r="L55" s="7">
        <f>Table5[[#This Row],[Floor % w/ No Philadelphia]]*$L$70</f>
        <v>191747.96973619537</v>
      </c>
      <c r="M55" s="7">
        <f>Table5[[#This Row],[Floor % w/ No Philadelphia]]*$M$70</f>
        <v>92748.591603059482</v>
      </c>
      <c r="N55" s="7">
        <f>Table5[[#This Row],[Floor % w/ No Philadelphia]]*$N$70</f>
        <v>92748.591603059482</v>
      </c>
      <c r="O55" s="7">
        <f>Table5[[#This Row],[Floor % w/ No Philadelphia]]*$O$70</f>
        <v>92748.591603059482</v>
      </c>
      <c r="P55" s="7">
        <f>Table5[[#This Row],[Floor % w/ No Philadelphia]]*$P$70</f>
        <v>92748.591603059482</v>
      </c>
      <c r="Q55" s="7">
        <f>Table5[[#This Row],[Floor % w/ No Philadelphia]]*$Q$70</f>
        <v>92748.591603059482</v>
      </c>
      <c r="R55" s="7">
        <f>SUM(Table5[[#This Row],[Payment 1]:[Payment 15]])</f>
        <v>2207281.683031748</v>
      </c>
    </row>
    <row r="56" spans="1:18" x14ac:dyDescent="0.3">
      <c r="A56" t="s">
        <v>80</v>
      </c>
      <c r="B56">
        <v>3.5886322605042172E-3</v>
      </c>
      <c r="C56" s="7">
        <f>Table5[[#This Row],[Floor % w/ No Philadelphia]]*$C$70</f>
        <v>54818.483130498935</v>
      </c>
      <c r="D56" s="7">
        <f>Table5[[#This Row],[Floor % w/ No Philadelphia]]*$D$70</f>
        <v>54818.483143059158</v>
      </c>
      <c r="E56" s="7">
        <f>Table5[[#This Row],[Floor % w/ No Philadelphia]]*$E$70</f>
        <v>40648.120936360487</v>
      </c>
      <c r="F56" s="7">
        <f>Table5[[#This Row],[Floor % w/ No Philadelphia]]*$F$70</f>
        <v>40648.120936360487</v>
      </c>
      <c r="G56" s="7">
        <f>Table5[[#This Row],[Floor % w/ No Philadelphia]]*$G$70</f>
        <v>40648.120936360487</v>
      </c>
      <c r="H56" s="7">
        <f>Table5[[#This Row],[Floor % w/ No Philadelphia]]*$H$70</f>
        <v>51684.788845563417</v>
      </c>
      <c r="I56" s="7">
        <f>Table5[[#This Row],[Floor % w/ No Philadelphia]]*$I$70</f>
        <v>50377.049222346592</v>
      </c>
      <c r="J56" s="7">
        <f>Table5[[#This Row],[Floor % w/ No Philadelphia]]*$J$70</f>
        <v>54783.797842849606</v>
      </c>
      <c r="K56" s="7">
        <f>Table5[[#This Row],[Floor % w/ No Philadelphia]]*$K$70</f>
        <v>54763.04322804026</v>
      </c>
      <c r="L56" s="7">
        <f>Table5[[#This Row],[Floor % w/ No Philadelphia]]*$L$70</f>
        <v>54763.043274143696</v>
      </c>
      <c r="M56" s="7">
        <f>Table5[[#This Row],[Floor % w/ No Philadelphia]]*$M$70</f>
        <v>26488.912203670916</v>
      </c>
      <c r="N56" s="7">
        <f>Table5[[#This Row],[Floor % w/ No Philadelphia]]*$N$70</f>
        <v>26488.912203670916</v>
      </c>
      <c r="O56" s="7">
        <f>Table5[[#This Row],[Floor % w/ No Philadelphia]]*$O$70</f>
        <v>26488.912203670916</v>
      </c>
      <c r="P56" s="7">
        <f>Table5[[#This Row],[Floor % w/ No Philadelphia]]*$P$70</f>
        <v>26488.912203670916</v>
      </c>
      <c r="Q56" s="7">
        <f>Table5[[#This Row],[Floor % w/ No Philadelphia]]*$Q$70</f>
        <v>26488.912203670916</v>
      </c>
      <c r="R56" s="7">
        <f>SUM(Table5[[#This Row],[Payment 1]:[Payment 15]])</f>
        <v>630397.61251393787</v>
      </c>
    </row>
    <row r="57" spans="1:18" x14ac:dyDescent="0.3">
      <c r="A57" t="s">
        <v>81</v>
      </c>
      <c r="B57">
        <v>6.5286404844261681E-3</v>
      </c>
      <c r="C57" s="7">
        <f>Table5[[#This Row],[Floor % w/ No Philadelphia]]*$C$70</f>
        <v>99728.849957538783</v>
      </c>
      <c r="D57" s="7">
        <f>Table5[[#This Row],[Floor % w/ No Philadelphia]]*$D$70</f>
        <v>99728.849980389045</v>
      </c>
      <c r="E57" s="7">
        <f>Table5[[#This Row],[Floor % w/ No Philadelphia]]*$E$70</f>
        <v>73949.334648094446</v>
      </c>
      <c r="F57" s="7">
        <f>Table5[[#This Row],[Floor % w/ No Philadelphia]]*$F$70</f>
        <v>73949.334648094446</v>
      </c>
      <c r="G57" s="7">
        <f>Table5[[#This Row],[Floor % w/ No Philadelphia]]*$G$70</f>
        <v>73949.334648094446</v>
      </c>
      <c r="H57" s="7">
        <f>Table5[[#This Row],[Floor % w/ No Philadelphia]]*$H$70</f>
        <v>94027.858078373538</v>
      </c>
      <c r="I57" s="7">
        <f>Table5[[#This Row],[Floor % w/ No Philadelphia]]*$I$70</f>
        <v>91648.745027090321</v>
      </c>
      <c r="J57" s="7">
        <f>Table5[[#This Row],[Floor % w/ No Philadelphia]]*$J$70</f>
        <v>99665.748542647765</v>
      </c>
      <c r="K57" s="7">
        <f>Table5[[#This Row],[Floor % w/ No Philadelphia]]*$K$70</f>
        <v>99627.990586789689</v>
      </c>
      <c r="L57" s="7">
        <f>Table5[[#This Row],[Floor % w/ No Philadelphia]]*$L$70</f>
        <v>99627.990670663639</v>
      </c>
      <c r="M57" s="7">
        <f>Table5[[#This Row],[Floor % w/ No Philadelphia]]*$M$70</f>
        <v>48190.110339418854</v>
      </c>
      <c r="N57" s="7">
        <f>Table5[[#This Row],[Floor % w/ No Philadelphia]]*$N$70</f>
        <v>48190.110339418854</v>
      </c>
      <c r="O57" s="7">
        <f>Table5[[#This Row],[Floor % w/ No Philadelphia]]*$O$70</f>
        <v>48190.110339418854</v>
      </c>
      <c r="P57" s="7">
        <f>Table5[[#This Row],[Floor % w/ No Philadelphia]]*$P$70</f>
        <v>48190.110339418854</v>
      </c>
      <c r="Q57" s="7">
        <f>Table5[[#This Row],[Floor % w/ No Philadelphia]]*$Q$70</f>
        <v>48190.110339418854</v>
      </c>
      <c r="R57" s="7">
        <f>SUM(Table5[[#This Row],[Payment 1]:[Payment 15]])</f>
        <v>1146854.5884848703</v>
      </c>
    </row>
    <row r="58" spans="1:18" x14ac:dyDescent="0.3">
      <c r="A58" t="s">
        <v>82</v>
      </c>
      <c r="B58">
        <v>1.4285890000000001E-3</v>
      </c>
      <c r="C58" s="7">
        <f>Table5[[#This Row],[Floor % w/ No Philadelphia]]*$C$70</f>
        <v>21822.543050402452</v>
      </c>
      <c r="D58" s="7">
        <f>Table5[[#This Row],[Floor % w/ No Philadelphia]]*$D$70</f>
        <v>21822.543055402519</v>
      </c>
      <c r="E58" s="7">
        <f>Table5[[#This Row],[Floor % w/ No Philadelphia]]*$E$70</f>
        <v>16181.501537355991</v>
      </c>
      <c r="F58" s="7">
        <f>Table5[[#This Row],[Floor % w/ No Philadelphia]]*$F$70</f>
        <v>16181.501537355991</v>
      </c>
      <c r="G58" s="7">
        <f>Table5[[#This Row],[Floor % w/ No Philadelphia]]*$G$70</f>
        <v>16181.501537355991</v>
      </c>
      <c r="H58" s="7">
        <f>Table5[[#This Row],[Floor % w/ No Philadelphia]]*$H$70</f>
        <v>20575.059089983297</v>
      </c>
      <c r="I58" s="7">
        <f>Table5[[#This Row],[Floor % w/ No Philadelphia]]*$I$70</f>
        <v>20054.46452777279</v>
      </c>
      <c r="J58" s="7">
        <f>Table5[[#This Row],[Floor % w/ No Philadelphia]]*$J$70</f>
        <v>21808.735277189517</v>
      </c>
      <c r="K58" s="7">
        <f>Table5[[#This Row],[Floor % w/ No Philadelphia]]*$K$70</f>
        <v>21800.473128196936</v>
      </c>
      <c r="L58" s="7">
        <f>Table5[[#This Row],[Floor % w/ No Philadelphia]]*$L$70</f>
        <v>21800.473146550132</v>
      </c>
      <c r="M58" s="7">
        <f>Table5[[#This Row],[Floor % w/ No Philadelphia]]*$M$70</f>
        <v>10544.900075889391</v>
      </c>
      <c r="N58" s="7">
        <f>Table5[[#This Row],[Floor % w/ No Philadelphia]]*$N$70</f>
        <v>10544.900075889391</v>
      </c>
      <c r="O58" s="7">
        <f>Table5[[#This Row],[Floor % w/ No Philadelphia]]*$O$70</f>
        <v>10544.900075889391</v>
      </c>
      <c r="P58" s="7">
        <f>Table5[[#This Row],[Floor % w/ No Philadelphia]]*$P$70</f>
        <v>10544.900075889391</v>
      </c>
      <c r="Q58" s="7">
        <f>Table5[[#This Row],[Floor % w/ No Philadelphia]]*$Q$70</f>
        <v>10544.900075889391</v>
      </c>
      <c r="R58" s="7">
        <f>SUM(Table5[[#This Row],[Payment 1]:[Payment 15]])</f>
        <v>250953.2962670126</v>
      </c>
    </row>
    <row r="59" spans="1:18" x14ac:dyDescent="0.3">
      <c r="A59" t="s">
        <v>83</v>
      </c>
      <c r="B59">
        <v>3.5847211384527414E-3</v>
      </c>
      <c r="C59" s="7">
        <f>Table5[[#This Row],[Floor % w/ No Philadelphia]]*$C$70</f>
        <v>54758.738424818221</v>
      </c>
      <c r="D59" s="7">
        <f>Table5[[#This Row],[Floor % w/ No Philadelphia]]*$D$70</f>
        <v>54758.738437364758</v>
      </c>
      <c r="E59" s="7">
        <f>Table5[[#This Row],[Floor % w/ No Philadelphia]]*$E$70</f>
        <v>40603.820002019856</v>
      </c>
      <c r="F59" s="7">
        <f>Table5[[#This Row],[Floor % w/ No Philadelphia]]*$F$70</f>
        <v>40603.820002019856</v>
      </c>
      <c r="G59" s="7">
        <f>Table5[[#This Row],[Floor % w/ No Philadelphia]]*$G$70</f>
        <v>40603.820002019856</v>
      </c>
      <c r="H59" s="7">
        <f>Table5[[#This Row],[Floor % w/ No Philadelphia]]*$H$70</f>
        <v>51628.459441293016</v>
      </c>
      <c r="I59" s="7">
        <f>Table5[[#This Row],[Floor % w/ No Philadelphia]]*$I$70</f>
        <v>50322.145076756009</v>
      </c>
      <c r="J59" s="7">
        <f>Table5[[#This Row],[Floor % w/ No Philadelphia]]*$J$70</f>
        <v>54724.090939424328</v>
      </c>
      <c r="K59" s="7">
        <f>Table5[[#This Row],[Floor % w/ No Philadelphia]]*$K$70</f>
        <v>54703.358944327942</v>
      </c>
      <c r="L59" s="7">
        <f>Table5[[#This Row],[Floor % w/ No Philadelphia]]*$L$70</f>
        <v>54703.358990381137</v>
      </c>
      <c r="M59" s="7">
        <f>Table5[[#This Row],[Floor % w/ No Philadelphia]]*$M$70</f>
        <v>26460.042884911345</v>
      </c>
      <c r="N59" s="7">
        <f>Table5[[#This Row],[Floor % w/ No Philadelphia]]*$N$70</f>
        <v>26460.042884911345</v>
      </c>
      <c r="O59" s="7">
        <f>Table5[[#This Row],[Floor % w/ No Philadelphia]]*$O$70</f>
        <v>26460.042884911345</v>
      </c>
      <c r="P59" s="7">
        <f>Table5[[#This Row],[Floor % w/ No Philadelphia]]*$P$70</f>
        <v>26460.042884911345</v>
      </c>
      <c r="Q59" s="7">
        <f>Table5[[#This Row],[Floor % w/ No Philadelphia]]*$Q$70</f>
        <v>26460.042884911345</v>
      </c>
      <c r="R59" s="7">
        <f>SUM(Table5[[#This Row],[Payment 1]:[Payment 15]])</f>
        <v>629710.5646849816</v>
      </c>
    </row>
    <row r="60" spans="1:18" x14ac:dyDescent="0.3">
      <c r="A60" t="s">
        <v>84</v>
      </c>
      <c r="B60">
        <v>3.6080989816240634E-3</v>
      </c>
      <c r="C60" s="7">
        <f>Table5[[#This Row],[Floor % w/ No Philadelphia]]*$C$70</f>
        <v>55115.848824682515</v>
      </c>
      <c r="D60" s="7">
        <f>Table5[[#This Row],[Floor % w/ No Philadelphia]]*$D$70</f>
        <v>55115.84883731087</v>
      </c>
      <c r="E60" s="7">
        <f>Table5[[#This Row],[Floor % w/ No Philadelphia]]*$E$70</f>
        <v>40868.618768646804</v>
      </c>
      <c r="F60" s="7">
        <f>Table5[[#This Row],[Floor % w/ No Philadelphia]]*$F$70</f>
        <v>40868.618768646804</v>
      </c>
      <c r="G60" s="7">
        <f>Table5[[#This Row],[Floor % w/ No Philadelphia]]*$G$70</f>
        <v>40868.618768646804</v>
      </c>
      <c r="H60" s="7">
        <f>Table5[[#This Row],[Floor % w/ No Philadelphia]]*$H$70</f>
        <v>51965.155653182032</v>
      </c>
      <c r="I60" s="7">
        <f>Table5[[#This Row],[Floor % w/ No Philadelphia]]*$I$70</f>
        <v>50650.322128808846</v>
      </c>
      <c r="J60" s="7">
        <f>Table5[[#This Row],[Floor % w/ No Philadelphia]]*$J$70</f>
        <v>55080.975384898164</v>
      </c>
      <c r="K60" s="7">
        <f>Table5[[#This Row],[Floor % w/ No Philadelphia]]*$K$70</f>
        <v>55060.108185608398</v>
      </c>
      <c r="L60" s="7">
        <f>Table5[[#This Row],[Floor % w/ No Philadelphia]]*$L$70</f>
        <v>55060.108231961931</v>
      </c>
      <c r="M60" s="7">
        <f>Table5[[#This Row],[Floor % w/ No Philadelphia]]*$M$70</f>
        <v>26632.602676587889</v>
      </c>
      <c r="N60" s="7">
        <f>Table5[[#This Row],[Floor % w/ No Philadelphia]]*$N$70</f>
        <v>26632.602676587889</v>
      </c>
      <c r="O60" s="7">
        <f>Table5[[#This Row],[Floor % w/ No Philadelphia]]*$O$70</f>
        <v>26632.602676587889</v>
      </c>
      <c r="P60" s="7">
        <f>Table5[[#This Row],[Floor % w/ No Philadelphia]]*$P$70</f>
        <v>26632.602676587889</v>
      </c>
      <c r="Q60" s="7">
        <f>Table5[[#This Row],[Floor % w/ No Philadelphia]]*$Q$70</f>
        <v>26632.602676587889</v>
      </c>
      <c r="R60" s="7">
        <f>SUM(Table5[[#This Row],[Payment 1]:[Payment 15]])</f>
        <v>633817.23693533253</v>
      </c>
    </row>
    <row r="61" spans="1:18" x14ac:dyDescent="0.3">
      <c r="A61" t="s">
        <v>85</v>
      </c>
      <c r="B61">
        <v>3.9931667254193733E-3</v>
      </c>
      <c r="C61" s="7">
        <f>Table5[[#This Row],[Floor % w/ No Philadelphia]]*$C$70</f>
        <v>60997.986665793214</v>
      </c>
      <c r="D61" s="7">
        <f>Table5[[#This Row],[Floor % w/ No Philadelphia]]*$D$70</f>
        <v>60997.98667976931</v>
      </c>
      <c r="E61" s="7">
        <f>Table5[[#This Row],[Floor % w/ No Philadelphia]]*$E$70</f>
        <v>45230.247122365057</v>
      </c>
      <c r="F61" s="7">
        <f>Table5[[#This Row],[Floor % w/ No Philadelphia]]*$F$70</f>
        <v>45230.247122365057</v>
      </c>
      <c r="G61" s="7">
        <f>Table5[[#This Row],[Floor % w/ No Philadelphia]]*$G$70</f>
        <v>45230.247122365057</v>
      </c>
      <c r="H61" s="7">
        <f>Table5[[#This Row],[Floor % w/ No Philadelphia]]*$H$70</f>
        <v>57511.041546350076</v>
      </c>
      <c r="I61" s="7">
        <f>Table5[[#This Row],[Floor % w/ No Philadelphia]]*$I$70</f>
        <v>56055.884826500442</v>
      </c>
      <c r="J61" s="7">
        <f>Table5[[#This Row],[Floor % w/ No Philadelphia]]*$J$70</f>
        <v>60959.391422132489</v>
      </c>
      <c r="K61" s="7">
        <f>Table5[[#This Row],[Floor % w/ No Philadelphia]]*$K$70</f>
        <v>60936.29720928496</v>
      </c>
      <c r="L61" s="7">
        <f>Table5[[#This Row],[Floor % w/ No Philadelphia]]*$L$70</f>
        <v>60936.297260585488</v>
      </c>
      <c r="M61" s="7">
        <f>Table5[[#This Row],[Floor % w/ No Philadelphia]]*$M$70</f>
        <v>29474.918332644123</v>
      </c>
      <c r="N61" s="7">
        <f>Table5[[#This Row],[Floor % w/ No Philadelphia]]*$N$70</f>
        <v>29474.918332644123</v>
      </c>
      <c r="O61" s="7">
        <f>Table5[[#This Row],[Floor % w/ No Philadelphia]]*$O$70</f>
        <v>29474.918332644123</v>
      </c>
      <c r="P61" s="7">
        <f>Table5[[#This Row],[Floor % w/ No Philadelphia]]*$P$70</f>
        <v>29474.918332644123</v>
      </c>
      <c r="Q61" s="7">
        <f>Table5[[#This Row],[Floor % w/ No Philadelphia]]*$Q$70</f>
        <v>29474.918332644123</v>
      </c>
      <c r="R61" s="7">
        <f>SUM(Table5[[#This Row],[Payment 1]:[Payment 15]])</f>
        <v>701460.21864073188</v>
      </c>
    </row>
    <row r="62" spans="1:18" x14ac:dyDescent="0.3">
      <c r="A62" t="s">
        <v>86</v>
      </c>
      <c r="B62">
        <v>4.5038348205495814E-3</v>
      </c>
      <c r="C62" s="7">
        <f>Table5[[#This Row],[Floor % w/ No Philadelphia]]*$C$70</f>
        <v>68798.744259786996</v>
      </c>
      <c r="D62" s="7">
        <f>Table5[[#This Row],[Floor % w/ No Philadelphia]]*$D$70</f>
        <v>68798.744275550431</v>
      </c>
      <c r="E62" s="7">
        <f>Table5[[#This Row],[Floor % w/ No Philadelphia]]*$E$70</f>
        <v>51014.53957206761</v>
      </c>
      <c r="F62" s="7">
        <f>Table5[[#This Row],[Floor % w/ No Philadelphia]]*$F$70</f>
        <v>51014.53957206761</v>
      </c>
      <c r="G62" s="7">
        <f>Table5[[#This Row],[Floor % w/ No Philadelphia]]*$G$70</f>
        <v>51014.53957206761</v>
      </c>
      <c r="H62" s="7">
        <f>Table5[[#This Row],[Floor % w/ No Philadelphia]]*$H$70</f>
        <v>64865.869444838194</v>
      </c>
      <c r="I62" s="7">
        <f>Table5[[#This Row],[Floor % w/ No Philadelphia]]*$I$70</f>
        <v>63224.619290544375</v>
      </c>
      <c r="J62" s="7">
        <f>Table5[[#This Row],[Floor % w/ No Philadelphia]]*$J$70</f>
        <v>68755.213244365019</v>
      </c>
      <c r="K62" s="7">
        <f>Table5[[#This Row],[Floor % w/ No Philadelphia]]*$K$70</f>
        <v>68729.165616723083</v>
      </c>
      <c r="L62" s="7">
        <f>Table5[[#This Row],[Floor % w/ No Philadelphia]]*$L$70</f>
        <v>68729.165674584205</v>
      </c>
      <c r="M62" s="7">
        <f>Table5[[#This Row],[Floor % w/ No Philadelphia]]*$M$70</f>
        <v>33244.332793411231</v>
      </c>
      <c r="N62" s="7">
        <f>Table5[[#This Row],[Floor % w/ No Philadelphia]]*$N$70</f>
        <v>33244.332793411231</v>
      </c>
      <c r="O62" s="7">
        <f>Table5[[#This Row],[Floor % w/ No Philadelphia]]*$O$70</f>
        <v>33244.332793411231</v>
      </c>
      <c r="P62" s="7">
        <f>Table5[[#This Row],[Floor % w/ No Philadelphia]]*$P$70</f>
        <v>33244.332793411231</v>
      </c>
      <c r="Q62" s="7">
        <f>Table5[[#This Row],[Floor % w/ No Philadelphia]]*$Q$70</f>
        <v>33244.332793411231</v>
      </c>
      <c r="R62" s="7">
        <f>SUM(Table5[[#This Row],[Payment 1]:[Payment 15]])</f>
        <v>791166.80448965123</v>
      </c>
    </row>
    <row r="63" spans="1:18" x14ac:dyDescent="0.3">
      <c r="A63" t="s">
        <v>87</v>
      </c>
      <c r="B63">
        <v>3.4836541890771022E-3</v>
      </c>
      <c r="C63" s="7">
        <f>Table5[[#This Row],[Floor % w/ No Philadelphia]]*$C$70</f>
        <v>53214.880916659655</v>
      </c>
      <c r="D63" s="7">
        <f>Table5[[#This Row],[Floor % w/ No Philadelphia]]*$D$70</f>
        <v>53214.880928852457</v>
      </c>
      <c r="E63" s="7">
        <f>Table5[[#This Row],[Floor % w/ No Philadelphia]]*$E$70</f>
        <v>39459.043585081337</v>
      </c>
      <c r="F63" s="7">
        <f>Table5[[#This Row],[Floor % w/ No Philadelphia]]*$F$70</f>
        <v>39459.043585081337</v>
      </c>
      <c r="G63" s="7">
        <f>Table5[[#This Row],[Floor % w/ No Philadelphia]]*$G$70</f>
        <v>39459.043585081337</v>
      </c>
      <c r="H63" s="7">
        <f>Table5[[#This Row],[Floor % w/ No Philadelphia]]*$H$70</f>
        <v>50172.856426396407</v>
      </c>
      <c r="I63" s="7">
        <f>Table5[[#This Row],[Floor % w/ No Philadelphia]]*$I$70</f>
        <v>48903.372041835559</v>
      </c>
      <c r="J63" s="7">
        <f>Table5[[#This Row],[Floor % w/ No Philadelphia]]*$J$70</f>
        <v>53181.210275911988</v>
      </c>
      <c r="K63" s="7">
        <f>Table5[[#This Row],[Floor % w/ No Philadelphia]]*$K$70</f>
        <v>53161.062794761856</v>
      </c>
      <c r="L63" s="7">
        <f>Table5[[#This Row],[Floor % w/ No Philadelphia]]*$L$70</f>
        <v>53161.062839516635</v>
      </c>
      <c r="M63" s="7">
        <f>Table5[[#This Row],[Floor % w/ No Philadelphia]]*$M$70</f>
        <v>25714.033443328713</v>
      </c>
      <c r="N63" s="7">
        <f>Table5[[#This Row],[Floor % w/ No Philadelphia]]*$N$70</f>
        <v>25714.033443328713</v>
      </c>
      <c r="O63" s="7">
        <f>Table5[[#This Row],[Floor % w/ No Philadelphia]]*$O$70</f>
        <v>25714.033443328713</v>
      </c>
      <c r="P63" s="7">
        <f>Table5[[#This Row],[Floor % w/ No Philadelphia]]*$P$70</f>
        <v>25714.033443328713</v>
      </c>
      <c r="Q63" s="7">
        <f>Table5[[#This Row],[Floor % w/ No Philadelphia]]*$Q$70</f>
        <v>25714.033443328713</v>
      </c>
      <c r="R63" s="7">
        <f>SUM(Table5[[#This Row],[Payment 1]:[Payment 15]])</f>
        <v>611956.62419582205</v>
      </c>
    </row>
    <row r="64" spans="1:18" x14ac:dyDescent="0.3">
      <c r="A64" t="s">
        <v>88</v>
      </c>
      <c r="B64">
        <v>1.8388051435876473E-2</v>
      </c>
      <c r="C64" s="7">
        <f>Table5[[#This Row],[Floor % w/ No Philadelphia]]*$C$70</f>
        <v>280888.37592367642</v>
      </c>
      <c r="D64" s="7">
        <f>Table5[[#This Row],[Floor % w/ No Philadelphia]]*$D$70</f>
        <v>280888.37598803465</v>
      </c>
      <c r="E64" s="7">
        <f>Table5[[#This Row],[Floor % w/ No Philadelphia]]*$E$70</f>
        <v>208279.83596304897</v>
      </c>
      <c r="F64" s="7">
        <f>Table5[[#This Row],[Floor % w/ No Philadelphia]]*$F$70</f>
        <v>208279.83596304897</v>
      </c>
      <c r="G64" s="7">
        <f>Table5[[#This Row],[Floor % w/ No Philadelphia]]*$G$70</f>
        <v>208279.83596304897</v>
      </c>
      <c r="H64" s="7">
        <f>Table5[[#This Row],[Floor % w/ No Philadelphia]]*$H$70</f>
        <v>264831.41396357567</v>
      </c>
      <c r="I64" s="7">
        <f>Table5[[#This Row],[Floor % w/ No Philadelphia]]*$I$70</f>
        <v>258130.59267266246</v>
      </c>
      <c r="J64" s="7">
        <f>Table5[[#This Row],[Floor % w/ No Philadelphia]]*$J$70</f>
        <v>280710.64947887359</v>
      </c>
      <c r="K64" s="7">
        <f>Table5[[#This Row],[Floor % w/ No Philadelphia]]*$K$70</f>
        <v>280604.30341247766</v>
      </c>
      <c r="L64" s="7">
        <f>Table5[[#This Row],[Floor % w/ No Philadelphia]]*$L$70</f>
        <v>280604.30364871043</v>
      </c>
      <c r="M64" s="7">
        <f>Table5[[#This Row],[Floor % w/ No Philadelphia]]*$M$70</f>
        <v>135728.44602725614</v>
      </c>
      <c r="N64" s="7">
        <f>Table5[[#This Row],[Floor % w/ No Philadelphia]]*$N$70</f>
        <v>135728.44602725614</v>
      </c>
      <c r="O64" s="7">
        <f>Table5[[#This Row],[Floor % w/ No Philadelphia]]*$O$70</f>
        <v>135728.44602725614</v>
      </c>
      <c r="P64" s="7">
        <f>Table5[[#This Row],[Floor % w/ No Philadelphia]]*$P$70</f>
        <v>135728.44602725614</v>
      </c>
      <c r="Q64" s="7">
        <f>Table5[[#This Row],[Floor % w/ No Philadelphia]]*$Q$70</f>
        <v>135728.44602725614</v>
      </c>
      <c r="R64" s="7">
        <f>SUM(Table5[[#This Row],[Payment 1]:[Payment 15]])</f>
        <v>3230139.7531134379</v>
      </c>
    </row>
    <row r="65" spans="1:18" x14ac:dyDescent="0.3">
      <c r="A65" t="s">
        <v>89</v>
      </c>
      <c r="B65">
        <v>4.5654349928603262E-3</v>
      </c>
      <c r="C65" s="7">
        <f>Table5[[#This Row],[Floor % w/ No Philadelphia]]*$C$70</f>
        <v>69739.72337425829</v>
      </c>
      <c r="D65" s="7">
        <f>Table5[[#This Row],[Floor % w/ No Philadelphia]]*$D$70</f>
        <v>69739.723390237326</v>
      </c>
      <c r="E65" s="7">
        <f>Table5[[#This Row],[Floor % w/ No Philadelphia]]*$E$70</f>
        <v>51712.279287932499</v>
      </c>
      <c r="F65" s="7">
        <f>Table5[[#This Row],[Floor % w/ No Philadelphia]]*$F$70</f>
        <v>51712.279287932499</v>
      </c>
      <c r="G65" s="7">
        <f>Table5[[#This Row],[Floor % w/ No Philadelphia]]*$G$70</f>
        <v>51712.279287932499</v>
      </c>
      <c r="H65" s="7">
        <f>Table5[[#This Row],[Floor % w/ No Philadelphia]]*$H$70</f>
        <v>65753.057562097063</v>
      </c>
      <c r="I65" s="7">
        <f>Table5[[#This Row],[Floor % w/ No Philadelphia]]*$I$70</f>
        <v>64089.359583596139</v>
      </c>
      <c r="J65" s="7">
        <f>Table5[[#This Row],[Floor % w/ No Philadelphia]]*$J$70</f>
        <v>69695.59697331315</v>
      </c>
      <c r="K65" s="7">
        <f>Table5[[#This Row],[Floor % w/ No Philadelphia]]*$K$70</f>
        <v>69669.193085192106</v>
      </c>
      <c r="L65" s="7">
        <f>Table5[[#This Row],[Floor % w/ No Philadelphia]]*$L$70</f>
        <v>69669.193143844604</v>
      </c>
      <c r="M65" s="7">
        <f>Table5[[#This Row],[Floor % w/ No Philadelphia]]*$M$70</f>
        <v>33699.024563874518</v>
      </c>
      <c r="N65" s="7">
        <f>Table5[[#This Row],[Floor % w/ No Philadelphia]]*$N$70</f>
        <v>33699.024563874518</v>
      </c>
      <c r="O65" s="7">
        <f>Table5[[#This Row],[Floor % w/ No Philadelphia]]*$O$70</f>
        <v>33699.024563874518</v>
      </c>
      <c r="P65" s="7">
        <f>Table5[[#This Row],[Floor % w/ No Philadelphia]]*$P$70</f>
        <v>33699.024563874518</v>
      </c>
      <c r="Q65" s="7">
        <f>Table5[[#This Row],[Floor % w/ No Philadelphia]]*$Q$70</f>
        <v>33699.024563874518</v>
      </c>
      <c r="R65" s="7">
        <f>SUM(Table5[[#This Row],[Payment 1]:[Payment 15]])</f>
        <v>801987.80779570853</v>
      </c>
    </row>
    <row r="66" spans="1:18" x14ac:dyDescent="0.3">
      <c r="A66" t="s">
        <v>90</v>
      </c>
      <c r="B66">
        <v>3.1013331196315785E-2</v>
      </c>
      <c r="C66" s="7">
        <f>Table5[[#This Row],[Floor % w/ No Philadelphia]]*$C$70</f>
        <v>473747.00152947457</v>
      </c>
      <c r="D66" s="7">
        <f>Table5[[#This Row],[Floor % w/ No Philadelphia]]*$D$70</f>
        <v>473747.00163802138</v>
      </c>
      <c r="E66" s="7">
        <f>Table5[[#This Row],[Floor % w/ No Philadelphia]]*$E$70</f>
        <v>351285.26569343201</v>
      </c>
      <c r="F66" s="7">
        <f>Table5[[#This Row],[Floor % w/ No Philadelphia]]*$F$70</f>
        <v>351285.26569343201</v>
      </c>
      <c r="G66" s="7">
        <f>Table5[[#This Row],[Floor % w/ No Philadelphia]]*$G$70</f>
        <v>351285.26569343201</v>
      </c>
      <c r="H66" s="7">
        <f>Table5[[#This Row],[Floor % w/ No Philadelphia]]*$H$70</f>
        <v>446665.29137590982</v>
      </c>
      <c r="I66" s="7">
        <f>Table5[[#This Row],[Floor % w/ No Philadelphia]]*$I$70</f>
        <v>435363.67028206441</v>
      </c>
      <c r="J66" s="7">
        <f>Table5[[#This Row],[Floor % w/ No Philadelphia]]*$J$70</f>
        <v>473447.24768583139</v>
      </c>
      <c r="K66" s="7">
        <f>Table5[[#This Row],[Floor % w/ No Philadelphia]]*$K$70</f>
        <v>473267.8841578326</v>
      </c>
      <c r="L66" s="7">
        <f>Table5[[#This Row],[Floor % w/ No Philadelphia]]*$L$70</f>
        <v>473267.88455626334</v>
      </c>
      <c r="M66" s="7">
        <f>Table5[[#This Row],[Floor % w/ No Philadelphia]]*$M$70</f>
        <v>228919.91922492269</v>
      </c>
      <c r="N66" s="7">
        <f>Table5[[#This Row],[Floor % w/ No Philadelphia]]*$N$70</f>
        <v>228919.91922492269</v>
      </c>
      <c r="O66" s="7">
        <f>Table5[[#This Row],[Floor % w/ No Philadelphia]]*$O$70</f>
        <v>228919.91922492269</v>
      </c>
      <c r="P66" s="7">
        <f>Table5[[#This Row],[Floor % w/ No Philadelphia]]*$P$70</f>
        <v>228919.91922492269</v>
      </c>
      <c r="Q66" s="7">
        <f>Table5[[#This Row],[Floor % w/ No Philadelphia]]*$Q$70</f>
        <v>228919.91922492269</v>
      </c>
      <c r="R66" s="7">
        <f>SUM(Table5[[#This Row],[Payment 1]:[Payment 15]])</f>
        <v>5447961.3744303063</v>
      </c>
    </row>
    <row r="67" spans="1:18" x14ac:dyDescent="0.3">
      <c r="A67" t="s">
        <v>91</v>
      </c>
      <c r="B67">
        <v>2.381695551073764E-3</v>
      </c>
      <c r="C67" s="7">
        <f>Table5[[#This Row],[Floor % w/ No Philadelphia]]*$C$70</f>
        <v>36381.810091117324</v>
      </c>
      <c r="D67" s="7">
        <f>Table5[[#This Row],[Floor % w/ No Philadelphia]]*$D$70</f>
        <v>36381.810099453265</v>
      </c>
      <c r="E67" s="7">
        <f>Table5[[#This Row],[Floor % w/ No Philadelphia]]*$E$70</f>
        <v>26977.255334609206</v>
      </c>
      <c r="F67" s="7">
        <f>Table5[[#This Row],[Floor % w/ No Philadelphia]]*$F$70</f>
        <v>26977.255334609206</v>
      </c>
      <c r="G67" s="7">
        <f>Table5[[#This Row],[Floor % w/ No Philadelphia]]*$G$70</f>
        <v>26977.255334609206</v>
      </c>
      <c r="H67" s="7">
        <f>Table5[[#This Row],[Floor % w/ No Philadelphia]]*$H$70</f>
        <v>34302.046773209804</v>
      </c>
      <c r="I67" s="7">
        <f>Table5[[#This Row],[Floor % w/ No Philadelphia]]*$I$70</f>
        <v>33434.129021687178</v>
      </c>
      <c r="J67" s="7">
        <f>Table5[[#This Row],[Floor % w/ No Philadelphia]]*$J$70</f>
        <v>36358.790235839508</v>
      </c>
      <c r="K67" s="7">
        <f>Table5[[#This Row],[Floor % w/ No Philadelphia]]*$K$70</f>
        <v>36345.015858815779</v>
      </c>
      <c r="L67" s="7">
        <f>Table5[[#This Row],[Floor % w/ No Philadelphia]]*$L$70</f>
        <v>36345.015889413611</v>
      </c>
      <c r="M67" s="7">
        <f>Table5[[#This Row],[Floor % w/ No Philadelphia]]*$M$70</f>
        <v>17580.102882818752</v>
      </c>
      <c r="N67" s="7">
        <f>Table5[[#This Row],[Floor % w/ No Philadelphia]]*$N$70</f>
        <v>17580.102882818752</v>
      </c>
      <c r="O67" s="7">
        <f>Table5[[#This Row],[Floor % w/ No Philadelphia]]*$O$70</f>
        <v>17580.102882818752</v>
      </c>
      <c r="P67" s="7">
        <f>Table5[[#This Row],[Floor % w/ No Philadelphia]]*$P$70</f>
        <v>17580.102882818752</v>
      </c>
      <c r="Q67" s="7">
        <f>Table5[[#This Row],[Floor % w/ No Philadelphia]]*$Q$70</f>
        <v>17580.102882818752</v>
      </c>
      <c r="R67" s="7">
        <f>SUM(Table5[[#This Row],[Payment 1]:[Payment 15]])</f>
        <v>418380.89838745771</v>
      </c>
    </row>
    <row r="68" spans="1:18" x14ac:dyDescent="0.3">
      <c r="A68" t="s">
        <v>92</v>
      </c>
      <c r="B68">
        <v>3.9916378322537971E-2</v>
      </c>
      <c r="C68" s="7">
        <f>Table5[[#This Row],[Floor % w/ No Philadelphia]]*$C$70</f>
        <v>609746.31917208945</v>
      </c>
      <c r="D68" s="7">
        <f>Table5[[#This Row],[Floor % w/ No Philadelphia]]*$D$70</f>
        <v>609746.31931179692</v>
      </c>
      <c r="E68" s="7">
        <f>Table5[[#This Row],[Floor % w/ No Philadelphia]]*$E$70</f>
        <v>452129.29484395549</v>
      </c>
      <c r="F68" s="7">
        <f>Table5[[#This Row],[Floor % w/ No Philadelphia]]*$F$70</f>
        <v>452129.29484395549</v>
      </c>
      <c r="G68" s="7">
        <f>Table5[[#This Row],[Floor % w/ No Philadelphia]]*$G$70</f>
        <v>452129.29484395549</v>
      </c>
      <c r="H68" s="7">
        <f>Table5[[#This Row],[Floor % w/ No Philadelphia]]*$H$70</f>
        <v>574890.21870135295</v>
      </c>
      <c r="I68" s="7">
        <f>Table5[[#This Row],[Floor % w/ No Philadelphia]]*$I$70</f>
        <v>560344.222968605</v>
      </c>
      <c r="J68" s="7">
        <f>Table5[[#This Row],[Floor % w/ No Philadelphia]]*$J$70</f>
        <v>609360.51450793527</v>
      </c>
      <c r="K68" s="7">
        <f>Table5[[#This Row],[Floor % w/ No Philadelphia]]*$K$70</f>
        <v>609129.66080197424</v>
      </c>
      <c r="L68" s="7">
        <f>Table5[[#This Row],[Floor % w/ No Philadelphia]]*$L$70</f>
        <v>609129.66131478315</v>
      </c>
      <c r="M68" s="7">
        <f>Table5[[#This Row],[Floor % w/ No Philadelphia]]*$M$70</f>
        <v>294636.33053492662</v>
      </c>
      <c r="N68" s="7">
        <f>Table5[[#This Row],[Floor % w/ No Philadelphia]]*$N$70</f>
        <v>294636.33053492662</v>
      </c>
      <c r="O68" s="7">
        <f>Table5[[#This Row],[Floor % w/ No Philadelphia]]*$O$70</f>
        <v>294636.33053492662</v>
      </c>
      <c r="P68" s="7">
        <f>Table5[[#This Row],[Floor % w/ No Philadelphia]]*$P$70</f>
        <v>294636.33053492662</v>
      </c>
      <c r="Q68" s="7">
        <f>Table5[[#This Row],[Floor % w/ No Philadelphia]]*$Q$70</f>
        <v>294636.33053492662</v>
      </c>
      <c r="R68" s="7">
        <f>SUM(Table5[[#This Row],[Payment 1]:[Payment 15]])</f>
        <v>7011916.4539850364</v>
      </c>
    </row>
    <row r="70" spans="1:18" s="16" customFormat="1" x14ac:dyDescent="0.3">
      <c r="A70" s="16" t="s">
        <v>25</v>
      </c>
      <c r="C70" s="34">
        <f>'County Breakdown'!K2</f>
        <v>15275592.245497096</v>
      </c>
      <c r="D70" s="34">
        <f>'County Breakdown'!K3</f>
        <v>15275592.2489971</v>
      </c>
      <c r="E70" s="34">
        <f>'County Breakdown'!K4</f>
        <v>11326911.755134605</v>
      </c>
      <c r="F70" s="34">
        <f>'County Breakdown'!K5</f>
        <v>11326911.755134605</v>
      </c>
      <c r="G70" s="34">
        <f>'County Breakdown'!K6</f>
        <v>11326911.755134605</v>
      </c>
      <c r="H70" s="34">
        <f>'County Breakdown'!K7</f>
        <v>14402364.213908477</v>
      </c>
      <c r="I70" s="34">
        <f>'County Breakdown'!K8</f>
        <v>14037952.502625169</v>
      </c>
      <c r="J70" s="34">
        <f>'County Breakdown'!K9</f>
        <v>15265926.923131507</v>
      </c>
      <c r="K70" s="34">
        <f>'County Breakdown'!K10</f>
        <v>15260143.489972927</v>
      </c>
      <c r="L70" s="34">
        <f>'County Breakdown'!K11</f>
        <v>15260143.502820006</v>
      </c>
      <c r="M70" s="34">
        <f>'County Breakdown'!K12</f>
        <v>7381339.2626496423</v>
      </c>
      <c r="N70" s="34">
        <f>'County Breakdown'!K13</f>
        <v>7381339.2626496423</v>
      </c>
      <c r="O70" s="34">
        <f>'County Breakdown'!K14</f>
        <v>7381339.2626496423</v>
      </c>
      <c r="P70" s="34">
        <f>'County Breakdown'!K15</f>
        <v>7381339.2626496423</v>
      </c>
      <c r="Q70" s="34">
        <f>'County Breakdown'!K16</f>
        <v>7381339.2626496423</v>
      </c>
      <c r="R70" s="34">
        <f>SUM(C70:Q70)</f>
        <v>175665146.70560437</v>
      </c>
    </row>
    <row r="72" spans="1:18" x14ac:dyDescent="0.3">
      <c r="A72" t="s">
        <v>231</v>
      </c>
    </row>
  </sheetData>
  <pageMargins left="0.7" right="0.7" top="0.75" bottom="0.75" header="0.3" footer="0.3"/>
  <pageSetup orientation="portrait" horizontalDpi="200" verticalDpi="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4"/>
  <sheetViews>
    <sheetView workbookViewId="0">
      <selection activeCell="A20" sqref="A20"/>
    </sheetView>
  </sheetViews>
  <sheetFormatPr defaultRowHeight="14.4" x14ac:dyDescent="0.3"/>
  <cols>
    <col min="1" max="1" width="13.5546875" customWidth="1"/>
    <col min="2" max="2" width="17.5546875" customWidth="1"/>
    <col min="3" max="3" width="20" customWidth="1"/>
    <col min="4" max="4" width="26.109375" customWidth="1"/>
    <col min="5" max="6" width="32.88671875" customWidth="1"/>
    <col min="7" max="7" width="29.33203125" customWidth="1"/>
    <col min="8" max="8" width="37" customWidth="1"/>
    <col min="9" max="9" width="28.5546875" customWidth="1"/>
  </cols>
  <sheetData>
    <row r="1" spans="1:11" ht="15.6" x14ac:dyDescent="0.3">
      <c r="A1" s="19" t="s">
        <v>0</v>
      </c>
      <c r="B1" s="19" t="s">
        <v>1</v>
      </c>
      <c r="C1" s="19" t="s">
        <v>18</v>
      </c>
      <c r="D1" s="28" t="s">
        <v>208</v>
      </c>
      <c r="E1" s="27" t="s">
        <v>209</v>
      </c>
      <c r="F1" s="27" t="s">
        <v>210</v>
      </c>
      <c r="G1" s="27" t="s">
        <v>211</v>
      </c>
      <c r="H1" s="27" t="s">
        <v>213</v>
      </c>
      <c r="I1" s="30" t="s">
        <v>212</v>
      </c>
      <c r="J1" s="3"/>
      <c r="K1" s="3"/>
    </row>
    <row r="2" spans="1:11" ht="15.6" x14ac:dyDescent="0.3">
      <c r="A2" s="12">
        <v>1</v>
      </c>
      <c r="B2" s="12">
        <v>2024</v>
      </c>
      <c r="C2" s="5">
        <f>Table14[[#This Row],[Teva/Allergan Litigating]]</f>
        <v>3905511.4386520842</v>
      </c>
      <c r="D2" s="4">
        <f>((Table14[[#This Row],[Teva]]-Table14[[#This Row],[Teva Attorney Fees]])*0.15)*0.25</f>
        <v>471609.57578598958</v>
      </c>
      <c r="E2" s="4">
        <f>((Table14[[#This Row],[Teva]]-Table14[[#This Row],[Teva Attorney Fees]])*0.15)*0.75</f>
        <v>1414828.7273579687</v>
      </c>
      <c r="F2" s="4">
        <f>Table6[[#This Row],[Teva Bellwether]]+Table6[[#This Row],[Teva Litigating Total Less Fees and Bellwether]]</f>
        <v>1886438.3031439583</v>
      </c>
      <c r="G2" s="4">
        <f>((Table14[[#This Row],[Allergan]]-Table14[[#This Row],[Allergan Attorney Fees ]])*0.15)*0.25</f>
        <v>504768.28387703135</v>
      </c>
      <c r="H2" s="4">
        <f>((Table14[[#This Row],[Allergan]]-Table14[[#This Row],[Allergan Attorney Fees ]])*0.15)*0.75</f>
        <v>1514304.851631094</v>
      </c>
      <c r="I2" s="29">
        <f>Table6[[#This Row],[Allergan Bellwether]]+Table6[[#This Row],[Allergan Litigating Less Fees and Bellwether]]</f>
        <v>2019073.1355081254</v>
      </c>
      <c r="J2" s="3"/>
      <c r="K2" s="3"/>
    </row>
    <row r="3" spans="1:11" ht="15.6" x14ac:dyDescent="0.3">
      <c r="A3" s="20">
        <v>2</v>
      </c>
      <c r="B3" s="21">
        <v>46006</v>
      </c>
      <c r="C3" s="6">
        <f>Table14[[#This Row],[Teva/Allergan Litigating]]</f>
        <v>3905511.4386520842</v>
      </c>
      <c r="D3" s="4">
        <f>((Table14[[#This Row],[Teva]]-Table14[[#This Row],[Teva Attorney Fees]])*0.15)*0.25</f>
        <v>471609.57578598958</v>
      </c>
      <c r="E3" s="4">
        <f>((Table14[[#This Row],[Teva]]-Table14[[#This Row],[Teva Attorney Fees]])*0.15)*0.75</f>
        <v>1414828.7273579687</v>
      </c>
      <c r="F3" s="4">
        <f>Table6[[#This Row],[Teva Bellwether]]+Table6[[#This Row],[Teva Litigating Total Less Fees and Bellwether]]</f>
        <v>1886438.3031439583</v>
      </c>
      <c r="G3" s="4">
        <f>((Table14[[#This Row],[Allergan]]-Table14[[#This Row],[Allergan Attorney Fees ]])*0.15)*0.25</f>
        <v>504768.28387703135</v>
      </c>
      <c r="H3" s="4">
        <f>((Table14[[#This Row],[Allergan]]-Table14[[#This Row],[Allergan Attorney Fees ]])*0.15)*0.75</f>
        <v>1514304.851631094</v>
      </c>
      <c r="I3" s="29">
        <f>Table6[[#This Row],[Allergan Bellwether]]+Table6[[#This Row],[Allergan Litigating Less Fees and Bellwether]]</f>
        <v>2019073.1355081254</v>
      </c>
      <c r="J3" s="3"/>
      <c r="K3" s="3"/>
    </row>
    <row r="4" spans="1:11" ht="15.6" x14ac:dyDescent="0.3">
      <c r="A4" s="22">
        <v>3</v>
      </c>
      <c r="B4" s="23">
        <v>46371</v>
      </c>
      <c r="C4" s="24">
        <f>Table14[[#This Row],[Teva/Allergan Litigating]]</f>
        <v>3158865.2785320771</v>
      </c>
      <c r="D4" s="4">
        <f>((Table14[[#This Row],[Teva]]-Table14[[#This Row],[Teva Attorney Fees]])*0.15)*0.25</f>
        <v>366839.71561491856</v>
      </c>
      <c r="E4" s="4">
        <f>((Table14[[#This Row],[Teva]]-Table14[[#This Row],[Teva Attorney Fees]])*0.15)*0.75</f>
        <v>1100519.1468447556</v>
      </c>
      <c r="F4" s="4">
        <f>Table6[[#This Row],[Teva Bellwether]]+Table6[[#This Row],[Teva Litigating Total Less Fees and Bellwether]]</f>
        <v>1467358.8624596742</v>
      </c>
      <c r="G4" s="4">
        <f>((Table14[[#This Row],[Allergan]]-Table14[[#This Row],[Allergan Attorney Fees ]])*0.15)*0.25</f>
        <v>422876.6040181006</v>
      </c>
      <c r="H4" s="4">
        <f>((Table14[[#This Row],[Allergan]]-Table14[[#This Row],[Allergan Attorney Fees ]])*0.15)*0.75</f>
        <v>1268629.8120543018</v>
      </c>
      <c r="I4" s="29">
        <f>Table6[[#This Row],[Allergan Bellwether]]+Table6[[#This Row],[Allergan Litigating Less Fees and Bellwether]]</f>
        <v>1691506.4160724024</v>
      </c>
      <c r="J4" s="3"/>
      <c r="K4" s="3"/>
    </row>
    <row r="5" spans="1:11" ht="15.6" x14ac:dyDescent="0.3">
      <c r="A5" s="20">
        <v>4</v>
      </c>
      <c r="B5" s="21">
        <v>46736</v>
      </c>
      <c r="C5" s="25">
        <f>Table14[[#This Row],[Teva/Allergan Litigating]]</f>
        <v>3158865.2786009004</v>
      </c>
      <c r="D5" s="4">
        <f>((Table14[[#This Row],[Teva]]-Table14[[#This Row],[Teva Attorney Fees]])*0.15)*0.25</f>
        <v>366839.71561491856</v>
      </c>
      <c r="E5" s="4">
        <f>((Table14[[#This Row],[Teva]]-Table14[[#This Row],[Teva Attorney Fees]])*0.15)*0.75</f>
        <v>1100519.1468447556</v>
      </c>
      <c r="F5" s="4">
        <f>Table6[[#This Row],[Teva Bellwether]]+Table6[[#This Row],[Teva Litigating Total Less Fees and Bellwether]]</f>
        <v>1467358.8624596742</v>
      </c>
      <c r="G5" s="4">
        <f>((Table14[[#This Row],[Allergan]]-Table14[[#This Row],[Allergan Attorney Fees ]])*0.15)*0.25</f>
        <v>422876.60403530655</v>
      </c>
      <c r="H5" s="4">
        <f>((Table14[[#This Row],[Allergan]]-Table14[[#This Row],[Allergan Attorney Fees ]])*0.15)*0.75</f>
        <v>1268629.8121059197</v>
      </c>
      <c r="I5" s="29">
        <f>Table6[[#This Row],[Allergan Bellwether]]+Table6[[#This Row],[Allergan Litigating Less Fees and Bellwether]]</f>
        <v>1691506.4161412262</v>
      </c>
      <c r="J5" s="3"/>
      <c r="K5" s="3"/>
    </row>
    <row r="6" spans="1:11" ht="15.6" x14ac:dyDescent="0.3">
      <c r="A6" s="22">
        <v>5</v>
      </c>
      <c r="B6" s="23">
        <v>47102</v>
      </c>
      <c r="C6" s="24">
        <f>Table14[[#This Row],[Teva/Allergan Litigating]]</f>
        <v>3158865.2786009004</v>
      </c>
      <c r="D6" s="4">
        <f>((Table14[[#This Row],[Teva]]-Table14[[#This Row],[Teva Attorney Fees]])*0.15)*0.25</f>
        <v>366839.71561491856</v>
      </c>
      <c r="E6" s="4">
        <f>((Table14[[#This Row],[Teva]]-Table14[[#This Row],[Teva Attorney Fees]])*0.15)*0.75</f>
        <v>1100519.1468447556</v>
      </c>
      <c r="F6" s="4">
        <f>Table6[[#This Row],[Teva Bellwether]]+Table6[[#This Row],[Teva Litigating Total Less Fees and Bellwether]]</f>
        <v>1467358.8624596742</v>
      </c>
      <c r="G6" s="4">
        <f>((Table14[[#This Row],[Allergan]]-Table14[[#This Row],[Allergan Attorney Fees ]])*0.15)*0.25</f>
        <v>422876.60403530655</v>
      </c>
      <c r="H6" s="4">
        <f>((Table14[[#This Row],[Allergan]]-Table14[[#This Row],[Allergan Attorney Fees ]])*0.15)*0.75</f>
        <v>1268629.8121059197</v>
      </c>
      <c r="I6" s="29">
        <f>Table6[[#This Row],[Allergan Bellwether]]+Table6[[#This Row],[Allergan Litigating Less Fees and Bellwether]]</f>
        <v>1691506.4161412262</v>
      </c>
      <c r="J6" s="3"/>
      <c r="K6" s="3"/>
    </row>
    <row r="7" spans="1:11" ht="15.6" x14ac:dyDescent="0.3">
      <c r="A7" s="20">
        <v>6</v>
      </c>
      <c r="B7" s="21">
        <v>47467</v>
      </c>
      <c r="C7" s="25">
        <f>Table14[[#This Row],[Teva/Allergan Litigating]]</f>
        <v>3328350.9154488165</v>
      </c>
      <c r="D7" s="4">
        <f>((Table14[[#This Row],[Teva]]-Table14[[#This Row],[Teva Attorney Fees]])*0.15)*0.25</f>
        <v>389850.00720392901</v>
      </c>
      <c r="E7" s="4">
        <f>((Table14[[#This Row],[Teva]]-Table14[[#This Row],[Teva Attorney Fees]])*0.15)*0.75</f>
        <v>1169550.0216117869</v>
      </c>
      <c r="F7" s="4">
        <f>Table6[[#This Row],[Teva Bellwether]]+Table6[[#This Row],[Teva Litigating Total Less Fees and Bellwether]]</f>
        <v>1559400.028815716</v>
      </c>
      <c r="G7" s="4">
        <f>((Table14[[#This Row],[Allergan]]-Table14[[#This Row],[Allergan Attorney Fees ]])*0.15)*0.25</f>
        <v>442237.72165827511</v>
      </c>
      <c r="H7" s="4">
        <f>((Table14[[#This Row],[Allergan]]-Table14[[#This Row],[Allergan Attorney Fees ]])*0.15)*0.75</f>
        <v>1326713.1649748255</v>
      </c>
      <c r="I7" s="29">
        <f>Table6[[#This Row],[Allergan Bellwether]]+Table6[[#This Row],[Allergan Litigating Less Fees and Bellwether]]</f>
        <v>1768950.8866331005</v>
      </c>
      <c r="J7" s="3"/>
      <c r="K7" s="3"/>
    </row>
    <row r="8" spans="1:11" ht="15.6" x14ac:dyDescent="0.3">
      <c r="A8" s="22">
        <v>7</v>
      </c>
      <c r="B8" s="23">
        <v>47832</v>
      </c>
      <c r="C8" s="24">
        <f>Table14[[#This Row],[Teva/Allergan Litigating]]</f>
        <v>3328350.9154488165</v>
      </c>
      <c r="D8" s="4">
        <f>((Table14[[#This Row],[Teva]]-Table14[[#This Row],[Teva Attorney Fees]])*0.15)*0.25</f>
        <v>389850.00720392895</v>
      </c>
      <c r="E8" s="4">
        <f>((Table14[[#This Row],[Teva]]-Table14[[#This Row],[Teva Attorney Fees]])*0.15)*0.75</f>
        <v>1169550.0216117869</v>
      </c>
      <c r="F8" s="4">
        <f>Table6[[#This Row],[Teva Bellwether]]+Table6[[#This Row],[Teva Litigating Total Less Fees and Bellwether]]</f>
        <v>1559400.0288157158</v>
      </c>
      <c r="G8" s="4">
        <f>((Table14[[#This Row],[Allergan]]-Table14[[#This Row],[Allergan Attorney Fees ]])*0.15)*0.25</f>
        <v>442237.72165827511</v>
      </c>
      <c r="H8" s="4">
        <f>((Table14[[#This Row],[Allergan]]-Table14[[#This Row],[Allergan Attorney Fees ]])*0.15)*0.75</f>
        <v>1326713.1649748255</v>
      </c>
      <c r="I8" s="29">
        <f>Table6[[#This Row],[Allergan Bellwether]]+Table6[[#This Row],[Allergan Litigating Less Fees and Bellwether]]</f>
        <v>1768950.8866331005</v>
      </c>
      <c r="J8" s="3"/>
      <c r="K8" s="3"/>
    </row>
    <row r="9" spans="1:11" ht="15.6" x14ac:dyDescent="0.3">
      <c r="A9" s="20">
        <v>8</v>
      </c>
      <c r="B9" s="21">
        <v>48197</v>
      </c>
      <c r="C9" s="25">
        <f>Table14[[#This Row],[Teva/Allergan Litigating]]</f>
        <v>1559400.0288157158</v>
      </c>
      <c r="D9" s="4">
        <f>((Table14[[#This Row],[Teva]]-Table14[[#This Row],[Teva Attorney Fees]])*0.15)*0.25</f>
        <v>389850.00720392895</v>
      </c>
      <c r="E9" s="4">
        <f>((Table14[[#This Row],[Teva]]-Table14[[#This Row],[Teva Attorney Fees]])*0.15)*0.75</f>
        <v>1169550.0216117869</v>
      </c>
      <c r="F9" s="4">
        <f>Table6[[#This Row],[Teva Bellwether]]+Table6[[#This Row],[Teva Litigating Total Less Fees and Bellwether]]</f>
        <v>1559400.0288157158</v>
      </c>
      <c r="G9" s="4">
        <f>((Table14[[#This Row],[Allergan]]-Table14[[#This Row],[Allergan Attorney Fees ]])*0.15)*0.25</f>
        <v>0</v>
      </c>
      <c r="H9" s="4">
        <f>((Table14[[#This Row],[Allergan]]-Table14[[#This Row],[Allergan Attorney Fees ]])*0.15)*0.75</f>
        <v>0</v>
      </c>
      <c r="I9" s="29">
        <f>Table6[[#This Row],[Allergan Bellwether]]+Table6[[#This Row],[Allergan Litigating Less Fees and Bellwether]]</f>
        <v>0</v>
      </c>
      <c r="J9" s="3"/>
      <c r="K9" s="3"/>
    </row>
    <row r="10" spans="1:11" ht="15.6" x14ac:dyDescent="0.3">
      <c r="A10" s="22">
        <v>9</v>
      </c>
      <c r="B10" s="23">
        <v>48563</v>
      </c>
      <c r="C10" s="24">
        <f>Table14[[#This Row],[Teva/Allergan Litigating]]</f>
        <v>1559400.0288157158</v>
      </c>
      <c r="D10" s="4">
        <f>((Table14[[#This Row],[Teva]]-Table14[[#This Row],[Teva Attorney Fees]])*0.15)*0.25</f>
        <v>389850.00720392895</v>
      </c>
      <c r="E10" s="4">
        <f>((Table14[[#This Row],[Teva]]-Table14[[#This Row],[Teva Attorney Fees]])*0.15)*0.75</f>
        <v>1169550.0216117869</v>
      </c>
      <c r="F10" s="4">
        <f>Table6[[#This Row],[Teva Bellwether]]+Table6[[#This Row],[Teva Litigating Total Less Fees and Bellwether]]</f>
        <v>1559400.0288157158</v>
      </c>
      <c r="G10" s="4">
        <f>((Table14[[#This Row],[Allergan]]-Table14[[#This Row],[Allergan Attorney Fees ]])*0.15)*0.25</f>
        <v>0</v>
      </c>
      <c r="H10" s="4">
        <f>((Table14[[#This Row],[Allergan]]-Table14[[#This Row],[Allergan Attorney Fees ]])*0.15)*0.75</f>
        <v>0</v>
      </c>
      <c r="I10" s="29">
        <f>Table6[[#This Row],[Allergan Bellwether]]+Table6[[#This Row],[Allergan Litigating Less Fees and Bellwether]]</f>
        <v>0</v>
      </c>
      <c r="J10" s="3"/>
      <c r="K10" s="3"/>
    </row>
    <row r="11" spans="1:11" ht="15.6" x14ac:dyDescent="0.3">
      <c r="A11" s="20">
        <v>10</v>
      </c>
      <c r="B11" s="21">
        <v>48928</v>
      </c>
      <c r="C11" s="25">
        <f>Table14[[#This Row],[Teva/Allergan Litigating]]</f>
        <v>1559400.0288157158</v>
      </c>
      <c r="D11" s="4">
        <f>((Table14[[#This Row],[Teva]]-Table14[[#This Row],[Teva Attorney Fees]])*0.15)*0.25</f>
        <v>389850.00720392895</v>
      </c>
      <c r="E11" s="4">
        <f>((Table14[[#This Row],[Teva]]-Table14[[#This Row],[Teva Attorney Fees]])*0.15)*0.75</f>
        <v>1169550.0216117869</v>
      </c>
      <c r="F11" s="4">
        <f>Table6[[#This Row],[Teva Bellwether]]+Table6[[#This Row],[Teva Litigating Total Less Fees and Bellwether]]</f>
        <v>1559400.0288157158</v>
      </c>
      <c r="G11" s="4">
        <f>((Table14[[#This Row],[Allergan]]-Table14[[#This Row],[Allergan Attorney Fees ]])*0.15)*0.25</f>
        <v>0</v>
      </c>
      <c r="H11" s="4">
        <f>((Table14[[#This Row],[Allergan]]-Table14[[#This Row],[Allergan Attorney Fees ]])*0.15)*0.75</f>
        <v>0</v>
      </c>
      <c r="I11" s="29">
        <f>Table6[[#This Row],[Allergan Bellwether]]+Table6[[#This Row],[Allergan Litigating Less Fees and Bellwether]]</f>
        <v>0</v>
      </c>
      <c r="J11" s="3"/>
      <c r="K11" s="3"/>
    </row>
    <row r="12" spans="1:11" ht="15.6" x14ac:dyDescent="0.3">
      <c r="A12" s="22">
        <v>11</v>
      </c>
      <c r="B12" s="23">
        <v>49293</v>
      </c>
      <c r="C12" s="24">
        <f>Table14[[#This Row],[Teva/Allergan Litigating]]</f>
        <v>1559400.028815716</v>
      </c>
      <c r="D12" s="4">
        <f>((Table14[[#This Row],[Teva]]-Table14[[#This Row],[Teva Attorney Fees]])*0.15)*0.25</f>
        <v>389850.00720392901</v>
      </c>
      <c r="E12" s="4">
        <f>((Table14[[#This Row],[Teva]]-Table14[[#This Row],[Teva Attorney Fees]])*0.15)*0.75</f>
        <v>1169550.0216117869</v>
      </c>
      <c r="F12" s="4">
        <f>Table6[[#This Row],[Teva Bellwether]]+Table6[[#This Row],[Teva Litigating Total Less Fees and Bellwether]]</f>
        <v>1559400.028815716</v>
      </c>
      <c r="G12" s="4">
        <f>((Table14[[#This Row],[Allergan]]-Table14[[#This Row],[Allergan Attorney Fees ]])*0.15)*0.25</f>
        <v>0</v>
      </c>
      <c r="H12" s="4">
        <f>((Table14[[#This Row],[Allergan]]-Table14[[#This Row],[Allergan Attorney Fees ]])*0.15)*0.75</f>
        <v>0</v>
      </c>
      <c r="I12" s="29">
        <f>Table6[[#This Row],[Allergan Bellwether]]+Table6[[#This Row],[Allergan Litigating Less Fees and Bellwether]]</f>
        <v>0</v>
      </c>
      <c r="J12" s="3"/>
      <c r="K12" s="3"/>
    </row>
    <row r="13" spans="1:11" ht="15.6" x14ac:dyDescent="0.3">
      <c r="A13" s="20">
        <v>12</v>
      </c>
      <c r="B13" s="21">
        <v>49658</v>
      </c>
      <c r="C13" s="25">
        <f>Table14[[#This Row],[Teva/Allergan Litigating]]</f>
        <v>1559400.028815716</v>
      </c>
      <c r="D13" s="4">
        <f>((Table14[[#This Row],[Teva]]-Table14[[#This Row],[Teva Attorney Fees]])*0.15)*0.25</f>
        <v>389850.00720392901</v>
      </c>
      <c r="E13" s="4">
        <f>((Table14[[#This Row],[Teva]]-Table14[[#This Row],[Teva Attorney Fees]])*0.15)*0.75</f>
        <v>1169550.0216117869</v>
      </c>
      <c r="F13" s="4">
        <f>Table6[[#This Row],[Teva Bellwether]]+Table6[[#This Row],[Teva Litigating Total Less Fees and Bellwether]]</f>
        <v>1559400.028815716</v>
      </c>
      <c r="G13" s="4">
        <f>((Table14[[#This Row],[Allergan]]-Table14[[#This Row],[Allergan Attorney Fees ]])*0.15)*0.25</f>
        <v>0</v>
      </c>
      <c r="H13" s="4">
        <f>((Table14[[#This Row],[Allergan]]-Table14[[#This Row],[Allergan Attorney Fees ]])*0.15)*0.75</f>
        <v>0</v>
      </c>
      <c r="I13" s="29">
        <f>Table6[[#This Row],[Allergan Bellwether]]+Table6[[#This Row],[Allergan Litigating Less Fees and Bellwether]]</f>
        <v>0</v>
      </c>
      <c r="J13" s="3"/>
      <c r="K13" s="3"/>
    </row>
    <row r="14" spans="1:11" ht="15.6" x14ac:dyDescent="0.3">
      <c r="A14" s="22">
        <v>13</v>
      </c>
      <c r="B14" s="23">
        <v>50024</v>
      </c>
      <c r="C14" s="24">
        <f>Table14[[#This Row],[Teva/Allergan Litigating]]</f>
        <v>1559400.028815716</v>
      </c>
      <c r="D14" s="4">
        <f>((Table14[[#This Row],[Teva]]-Table14[[#This Row],[Teva Attorney Fees]])*0.15)*0.25</f>
        <v>389850.00720392901</v>
      </c>
      <c r="E14" s="4">
        <f>((Table14[[#This Row],[Teva]]-Table14[[#This Row],[Teva Attorney Fees]])*0.15)*0.75</f>
        <v>1169550.0216117869</v>
      </c>
      <c r="F14" s="4">
        <f>Table6[[#This Row],[Teva Bellwether]]+Table6[[#This Row],[Teva Litigating Total Less Fees and Bellwether]]</f>
        <v>1559400.028815716</v>
      </c>
      <c r="G14" s="4">
        <f>((Table14[[#This Row],[Allergan]]-Table14[[#This Row],[Allergan Attorney Fees ]])*0.15)*0.25</f>
        <v>0</v>
      </c>
      <c r="H14" s="4">
        <f>((Table14[[#This Row],[Allergan]]-Table14[[#This Row],[Allergan Attorney Fees ]])*0.15)*0.75</f>
        <v>0</v>
      </c>
      <c r="I14" s="29">
        <f>Table6[[#This Row],[Allergan Bellwether]]+Table6[[#This Row],[Allergan Litigating Less Fees and Bellwether]]</f>
        <v>0</v>
      </c>
      <c r="J14" s="3"/>
      <c r="K14" s="3"/>
    </row>
    <row r="15" spans="1:11" ht="15.6" x14ac:dyDescent="0.3">
      <c r="A15" s="26" t="s">
        <v>6</v>
      </c>
      <c r="B15" s="26"/>
      <c r="C15" s="26">
        <f>SUM(C2:C14)</f>
        <v>33300720.716829978</v>
      </c>
      <c r="D15" s="26">
        <f t="shared" ref="D15:I15" si="0">SUM(D2:D14)</f>
        <v>5162538.3560481677</v>
      </c>
      <c r="E15" s="26">
        <f t="shared" si="0"/>
        <v>15487615.068144504</v>
      </c>
      <c r="F15" s="26">
        <f t="shared" si="0"/>
        <v>20650153.424192671</v>
      </c>
      <c r="G15" s="26">
        <f t="shared" si="0"/>
        <v>3162641.8231593263</v>
      </c>
      <c r="H15" s="26">
        <f t="shared" si="0"/>
        <v>9487925.4694779813</v>
      </c>
      <c r="I15" s="26">
        <f t="shared" si="0"/>
        <v>12650567.292637305</v>
      </c>
      <c r="J15" s="3"/>
      <c r="K15" s="3"/>
    </row>
    <row r="16" spans="1:11" ht="15.6" x14ac:dyDescent="0.3">
      <c r="A16" s="3"/>
      <c r="B16" s="3"/>
      <c r="C16" s="3"/>
      <c r="D16" s="3"/>
      <c r="E16" s="3"/>
      <c r="F16" s="3"/>
      <c r="G16" s="3"/>
      <c r="H16" s="3"/>
      <c r="I16" s="3"/>
    </row>
    <row r="17" spans="1:9" ht="15.6" x14ac:dyDescent="0.3">
      <c r="A17" s="3" t="s">
        <v>232</v>
      </c>
      <c r="B17" s="3"/>
      <c r="C17" s="3"/>
      <c r="D17" s="3"/>
      <c r="E17" s="3"/>
      <c r="F17" s="3"/>
      <c r="G17" s="3"/>
      <c r="H17" s="3"/>
      <c r="I17" s="3"/>
    </row>
    <row r="18" spans="1:9" ht="15.6" x14ac:dyDescent="0.3">
      <c r="A18" s="3"/>
      <c r="B18" s="3"/>
      <c r="C18" s="3"/>
      <c r="D18" s="3"/>
      <c r="E18" s="3"/>
      <c r="F18" s="3"/>
      <c r="G18" s="3"/>
      <c r="H18" s="3"/>
      <c r="I18" s="3"/>
    </row>
    <row r="19" spans="1:9" ht="15.6" x14ac:dyDescent="0.3">
      <c r="A19" s="3"/>
      <c r="B19" s="3"/>
      <c r="C19" s="3"/>
      <c r="D19" s="3"/>
      <c r="E19" s="3"/>
      <c r="F19" s="3"/>
      <c r="G19" s="3"/>
      <c r="H19" s="3"/>
      <c r="I19" s="3"/>
    </row>
    <row r="20" spans="1:9" ht="15.6" x14ac:dyDescent="0.3">
      <c r="A20" s="3"/>
      <c r="B20" s="3"/>
      <c r="C20" s="3"/>
      <c r="D20" s="3"/>
      <c r="E20" s="3"/>
      <c r="F20" s="3"/>
      <c r="G20" s="3"/>
      <c r="H20" s="3"/>
      <c r="I20" s="3"/>
    </row>
    <row r="21" spans="1:9" ht="15.6" x14ac:dyDescent="0.3">
      <c r="A21" s="3"/>
      <c r="B21" s="3"/>
      <c r="C21" s="3"/>
      <c r="D21" s="3"/>
      <c r="E21" s="3"/>
      <c r="F21" s="3"/>
      <c r="G21" s="3"/>
      <c r="H21" s="3"/>
      <c r="I21" s="3"/>
    </row>
    <row r="22" spans="1:9" ht="15.6" x14ac:dyDescent="0.3">
      <c r="A22" s="3"/>
      <c r="B22" s="3"/>
      <c r="C22" s="3"/>
      <c r="D22" s="3"/>
      <c r="E22" s="3"/>
      <c r="F22" s="3"/>
      <c r="G22" s="3"/>
      <c r="H22" s="3"/>
      <c r="I22" s="3"/>
    </row>
    <row r="23" spans="1:9" ht="15.6" x14ac:dyDescent="0.3">
      <c r="A23" s="3"/>
      <c r="B23" s="3"/>
      <c r="C23" s="3"/>
      <c r="D23" s="3"/>
      <c r="E23" s="3"/>
      <c r="F23" s="3"/>
      <c r="G23" s="3"/>
      <c r="H23" s="3"/>
      <c r="I23" s="3"/>
    </row>
    <row r="24" spans="1:9" ht="15.6" x14ac:dyDescent="0.3">
      <c r="A24" s="3"/>
      <c r="B24" s="3"/>
      <c r="C24" s="3"/>
      <c r="D24" s="3"/>
      <c r="E24" s="3"/>
      <c r="F24" s="9"/>
      <c r="G24" s="3"/>
      <c r="H24" s="3"/>
      <c r="I24" s="3"/>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9"/>
  <sheetViews>
    <sheetView topLeftCell="I71" workbookViewId="0">
      <selection activeCell="AD109" sqref="AD109"/>
    </sheetView>
  </sheetViews>
  <sheetFormatPr defaultRowHeight="14.4" x14ac:dyDescent="0.3"/>
  <cols>
    <col min="1" max="1" width="35.33203125" customWidth="1"/>
    <col min="2" max="2" width="20.33203125" customWidth="1"/>
    <col min="3" max="16" width="16.6640625" customWidth="1"/>
  </cols>
  <sheetData>
    <row r="1" spans="1:16" x14ac:dyDescent="0.3">
      <c r="A1" t="s">
        <v>117</v>
      </c>
      <c r="B1" t="s">
        <v>118</v>
      </c>
      <c r="C1" t="s">
        <v>93</v>
      </c>
      <c r="D1" t="s">
        <v>94</v>
      </c>
      <c r="E1" t="s">
        <v>95</v>
      </c>
      <c r="F1" t="s">
        <v>96</v>
      </c>
      <c r="G1" t="s">
        <v>97</v>
      </c>
      <c r="H1" t="s">
        <v>98</v>
      </c>
      <c r="I1" t="s">
        <v>99</v>
      </c>
      <c r="J1" t="s">
        <v>100</v>
      </c>
      <c r="K1" t="s">
        <v>101</v>
      </c>
      <c r="L1" t="s">
        <v>102</v>
      </c>
      <c r="M1" t="s">
        <v>103</v>
      </c>
      <c r="N1" t="s">
        <v>104</v>
      </c>
      <c r="O1" t="s">
        <v>105</v>
      </c>
      <c r="P1" t="s">
        <v>6</v>
      </c>
    </row>
    <row r="2" spans="1:16" x14ac:dyDescent="0.3">
      <c r="A2" t="s">
        <v>119</v>
      </c>
      <c r="B2">
        <v>8.3142266292569583E-3</v>
      </c>
      <c r="C2" s="18">
        <f>Table7[[#This Row],[Teva Adjusted %]]*$C$92</f>
        <v>11763.206680837357</v>
      </c>
      <c r="D2" s="18">
        <f>Table7[[#This Row],[Teva Adjusted %]]*$D$92</f>
        <v>11763.206680837357</v>
      </c>
      <c r="E2" s="18">
        <f>Table7[[#This Row],[Teva Adjusted %]]*$E$92</f>
        <v>9149.9655967038161</v>
      </c>
      <c r="F2" s="18">
        <f>Table7[[#This Row],[Teva Adjusted %]]*$F$92</f>
        <v>9149.9655967038161</v>
      </c>
      <c r="G2" s="18">
        <f>Table7[[#This Row],[Teva Adjusted %]]*$G$92</f>
        <v>9149.9655967038161</v>
      </c>
      <c r="H2" s="18">
        <f>Table7[[#This Row],[Teva Adjusted %]]*$H$92</f>
        <v>9723.9039339327701</v>
      </c>
      <c r="I2" s="18">
        <f>Table7[[#This Row],[Teva Adjusted %]]*$I$92</f>
        <v>9723.9039339327701</v>
      </c>
      <c r="J2" s="18">
        <f>Table7[[#This Row],[Teva Adjusted %]]*$J$92</f>
        <v>9723.9039339327701</v>
      </c>
      <c r="K2" s="18">
        <f>Table7[[#This Row],[Teva Adjusted %]]*$K$92</f>
        <v>9723.9039339327701</v>
      </c>
      <c r="L2" s="18">
        <f>Table7[[#This Row],[Teva Adjusted %]]*$L$92</f>
        <v>9723.9039339327701</v>
      </c>
      <c r="M2" s="18">
        <f>Table7[[#This Row],[Teva Adjusted %]]*$M$92</f>
        <v>9723.9039339327701</v>
      </c>
      <c r="N2" s="18">
        <f>Table7[[#This Row],[Teva Adjusted %]]*$N$92</f>
        <v>9723.9039339327701</v>
      </c>
      <c r="O2" s="18">
        <f>Table7[[#This Row],[Teva Adjusted %]]*$O$92</f>
        <v>9723.9039339327701</v>
      </c>
      <c r="P2" s="18">
        <f>SUM(Table7[[#This Row],[Payment 1]:[Payment 13]])</f>
        <v>128767.54162324834</v>
      </c>
    </row>
    <row r="3" spans="1:16" x14ac:dyDescent="0.3">
      <c r="A3" t="s">
        <v>120</v>
      </c>
      <c r="B3">
        <v>8.3142266292569585E-4</v>
      </c>
      <c r="C3" s="18">
        <f>Table7[[#This Row],[Teva Adjusted %]]*$C$92</f>
        <v>1176.3206680837357</v>
      </c>
      <c r="D3" s="18">
        <f>Table7[[#This Row],[Teva Adjusted %]]*$D$92</f>
        <v>1176.3206680837357</v>
      </c>
      <c r="E3" s="18">
        <f>Table7[[#This Row],[Teva Adjusted %]]*$E$92</f>
        <v>914.99655967038166</v>
      </c>
      <c r="F3" s="18">
        <f>Table7[[#This Row],[Teva Adjusted %]]*$F$92</f>
        <v>914.99655967038166</v>
      </c>
      <c r="G3" s="18">
        <f>Table7[[#This Row],[Teva Adjusted %]]*$G$92</f>
        <v>914.99655967038166</v>
      </c>
      <c r="H3" s="18">
        <f>Table7[[#This Row],[Teva Adjusted %]]*$H$92</f>
        <v>972.39039339327701</v>
      </c>
      <c r="I3" s="18">
        <f>Table7[[#This Row],[Teva Adjusted %]]*$I$92</f>
        <v>972.39039339327701</v>
      </c>
      <c r="J3" s="18">
        <f>Table7[[#This Row],[Teva Adjusted %]]*$J$92</f>
        <v>972.39039339327701</v>
      </c>
      <c r="K3" s="18">
        <f>Table7[[#This Row],[Teva Adjusted %]]*$K$92</f>
        <v>972.39039339327701</v>
      </c>
      <c r="L3" s="18">
        <f>Table7[[#This Row],[Teva Adjusted %]]*$L$92</f>
        <v>972.39039339327701</v>
      </c>
      <c r="M3" s="18">
        <f>Table7[[#This Row],[Teva Adjusted %]]*$M$92</f>
        <v>972.39039339327701</v>
      </c>
      <c r="N3" s="18">
        <f>Table7[[#This Row],[Teva Adjusted %]]*$N$92</f>
        <v>972.39039339327701</v>
      </c>
      <c r="O3" s="18">
        <f>Table7[[#This Row],[Teva Adjusted %]]*$O$92</f>
        <v>972.39039339327701</v>
      </c>
      <c r="P3" s="18">
        <f>SUM(Table7[[#This Row],[Payment 1]:[Payment 13]])</f>
        <v>12876.754162324836</v>
      </c>
    </row>
    <row r="4" spans="1:16" x14ac:dyDescent="0.3">
      <c r="A4" t="s">
        <v>121</v>
      </c>
      <c r="B4">
        <v>8.3567450572428037E-2</v>
      </c>
      <c r="C4" s="18">
        <f>Table7[[#This Row],[Teva Adjusted %]]*$C$92</f>
        <v>118233.6297419383</v>
      </c>
      <c r="D4" s="18">
        <f>Table7[[#This Row],[Teva Adjusted %]]*$D$92</f>
        <v>118233.6297419383</v>
      </c>
      <c r="E4" s="18">
        <f>Table7[[#This Row],[Teva Adjusted %]]*$E$92</f>
        <v>91967.579407959784</v>
      </c>
      <c r="F4" s="18">
        <f>Table7[[#This Row],[Teva Adjusted %]]*$F$92</f>
        <v>91967.579407959784</v>
      </c>
      <c r="G4" s="18">
        <f>Table7[[#This Row],[Teva Adjusted %]]*$G$92</f>
        <v>91967.579407959784</v>
      </c>
      <c r="H4" s="18">
        <f>Table7[[#This Row],[Teva Adjusted %]]*$H$92</f>
        <v>97736.31362302514</v>
      </c>
      <c r="I4" s="18">
        <f>Table7[[#This Row],[Teva Adjusted %]]*$I$92</f>
        <v>97736.31362302514</v>
      </c>
      <c r="J4" s="18">
        <f>Table7[[#This Row],[Teva Adjusted %]]*$J$92</f>
        <v>97736.31362302514</v>
      </c>
      <c r="K4" s="18">
        <f>Table7[[#This Row],[Teva Adjusted %]]*$K$92</f>
        <v>97736.31362302514</v>
      </c>
      <c r="L4" s="18">
        <f>Table7[[#This Row],[Teva Adjusted %]]*$L$92</f>
        <v>97736.31362302514</v>
      </c>
      <c r="M4" s="18">
        <f>Table7[[#This Row],[Teva Adjusted %]]*$M$92</f>
        <v>97736.31362302514</v>
      </c>
      <c r="N4" s="18">
        <f>Table7[[#This Row],[Teva Adjusted %]]*$N$92</f>
        <v>97736.31362302514</v>
      </c>
      <c r="O4" s="18">
        <f>Table7[[#This Row],[Teva Adjusted %]]*$O$92</f>
        <v>97736.31362302514</v>
      </c>
      <c r="P4" s="18">
        <f>SUM(Table7[[#This Row],[Payment 1]:[Payment 13]])</f>
        <v>1294260.5066919567</v>
      </c>
    </row>
    <row r="5" spans="1:16" x14ac:dyDescent="0.3">
      <c r="A5" t="s">
        <v>122</v>
      </c>
      <c r="B5">
        <v>8.4093481712353858E-3</v>
      </c>
      <c r="C5" s="18">
        <f>Table7[[#This Row],[Teva Adjusted %]]*$C$92</f>
        <v>11897.787371019022</v>
      </c>
      <c r="D5" s="18">
        <f>Table7[[#This Row],[Teva Adjusted %]]*$D$92</f>
        <v>11897.787371019022</v>
      </c>
      <c r="E5" s="18">
        <f>Table7[[#This Row],[Teva Adjusted %]]*$E$92</f>
        <v>9254.6486749284722</v>
      </c>
      <c r="F5" s="18">
        <f>Table7[[#This Row],[Teva Adjusted %]]*$F$92</f>
        <v>9254.6486749284722</v>
      </c>
      <c r="G5" s="18">
        <f>Table7[[#This Row],[Teva Adjusted %]]*$G$92</f>
        <v>9254.6486749284722</v>
      </c>
      <c r="H5" s="18">
        <f>Table7[[#This Row],[Teva Adjusted %]]*$H$92</f>
        <v>9835.1533354093863</v>
      </c>
      <c r="I5" s="18">
        <f>Table7[[#This Row],[Teva Adjusted %]]*$I$92</f>
        <v>9835.1533354093863</v>
      </c>
      <c r="J5" s="18">
        <f>Table7[[#This Row],[Teva Adjusted %]]*$J$92</f>
        <v>9835.1533354093863</v>
      </c>
      <c r="K5" s="18">
        <f>Table7[[#This Row],[Teva Adjusted %]]*$K$92</f>
        <v>9835.1533354093863</v>
      </c>
      <c r="L5" s="18">
        <f>Table7[[#This Row],[Teva Adjusted %]]*$L$92</f>
        <v>9835.1533354093863</v>
      </c>
      <c r="M5" s="18">
        <f>Table7[[#This Row],[Teva Adjusted %]]*$M$92</f>
        <v>9835.1533354093863</v>
      </c>
      <c r="N5" s="18">
        <f>Table7[[#This Row],[Teva Adjusted %]]*$N$92</f>
        <v>9835.1533354093863</v>
      </c>
      <c r="O5" s="18">
        <f>Table7[[#This Row],[Teva Adjusted %]]*$O$92</f>
        <v>9835.1533354093863</v>
      </c>
      <c r="P5" s="18">
        <f>SUM(Table7[[#This Row],[Payment 1]:[Payment 13]])</f>
        <v>130240.74745009854</v>
      </c>
    </row>
    <row r="6" spans="1:16" x14ac:dyDescent="0.3">
      <c r="A6" t="s">
        <v>123</v>
      </c>
      <c r="B6">
        <v>4.3807862641332546E-3</v>
      </c>
      <c r="C6" s="18">
        <f>Table7[[#This Row],[Teva Adjusted %]]*$C$92</f>
        <v>6198.062254910923</v>
      </c>
      <c r="D6" s="18">
        <f>Table7[[#This Row],[Teva Adjusted %]]*$D$92</f>
        <v>6198.062254910923</v>
      </c>
      <c r="E6" s="18">
        <f>Table7[[#This Row],[Teva Adjusted %]]*$E$92</f>
        <v>4821.1391619131537</v>
      </c>
      <c r="F6" s="18">
        <f>Table7[[#This Row],[Teva Adjusted %]]*$F$92</f>
        <v>4821.1391619131537</v>
      </c>
      <c r="G6" s="18">
        <f>Table7[[#This Row],[Teva Adjusted %]]*$G$92</f>
        <v>4821.1391619131537</v>
      </c>
      <c r="H6" s="18">
        <f>Table7[[#This Row],[Teva Adjusted %]]*$H$92</f>
        <v>5123.5486698936675</v>
      </c>
      <c r="I6" s="18">
        <f>Table7[[#This Row],[Teva Adjusted %]]*$I$92</f>
        <v>5123.5486698936675</v>
      </c>
      <c r="J6" s="18">
        <f>Table7[[#This Row],[Teva Adjusted %]]*$J$92</f>
        <v>5123.5486698936675</v>
      </c>
      <c r="K6" s="18">
        <f>Table7[[#This Row],[Teva Adjusted %]]*$K$92</f>
        <v>5123.5486698936675</v>
      </c>
      <c r="L6" s="18">
        <f>Table7[[#This Row],[Teva Adjusted %]]*$L$92</f>
        <v>5123.5486698936675</v>
      </c>
      <c r="M6" s="18">
        <f>Table7[[#This Row],[Teva Adjusted %]]*$M$92</f>
        <v>5123.5486698936675</v>
      </c>
      <c r="N6" s="18">
        <f>Table7[[#This Row],[Teva Adjusted %]]*$N$92</f>
        <v>5123.5486698936675</v>
      </c>
      <c r="O6" s="18">
        <f>Table7[[#This Row],[Teva Adjusted %]]*$O$92</f>
        <v>5123.5486698936675</v>
      </c>
      <c r="P6" s="18">
        <f>SUM(Table7[[#This Row],[Payment 1]:[Payment 13]])</f>
        <v>67847.931354710643</v>
      </c>
    </row>
    <row r="7" spans="1:16" x14ac:dyDescent="0.3">
      <c r="A7" t="s">
        <v>124</v>
      </c>
      <c r="B7">
        <v>1.1240641285902181E-2</v>
      </c>
      <c r="C7" s="18">
        <f>Table7[[#This Row],[Teva Adjusted %]]*$C$92</f>
        <v>15903.582205220424</v>
      </c>
      <c r="D7" s="18">
        <f>Table7[[#This Row],[Teva Adjusted %]]*$D$92</f>
        <v>15903.582205220424</v>
      </c>
      <c r="E7" s="18">
        <f>Table7[[#This Row],[Teva Adjusted %]]*$E$92</f>
        <v>12370.540957949006</v>
      </c>
      <c r="F7" s="18">
        <f>Table7[[#This Row],[Teva Adjusted %]]*$F$92</f>
        <v>12370.540957949006</v>
      </c>
      <c r="G7" s="18">
        <f>Table7[[#This Row],[Teva Adjusted %]]*$G$92</f>
        <v>12370.540957949006</v>
      </c>
      <c r="H7" s="18">
        <f>Table7[[#This Row],[Teva Adjusted %]]*$H$92</f>
        <v>13146.492258857241</v>
      </c>
      <c r="I7" s="18">
        <f>Table7[[#This Row],[Teva Adjusted %]]*$I$92</f>
        <v>13146.492258857241</v>
      </c>
      <c r="J7" s="18">
        <f>Table7[[#This Row],[Teva Adjusted %]]*$J$92</f>
        <v>13146.492258857241</v>
      </c>
      <c r="K7" s="18">
        <f>Table7[[#This Row],[Teva Adjusted %]]*$K$92</f>
        <v>13146.492258857241</v>
      </c>
      <c r="L7" s="18">
        <f>Table7[[#This Row],[Teva Adjusted %]]*$L$92</f>
        <v>13146.492258857241</v>
      </c>
      <c r="M7" s="18">
        <f>Table7[[#This Row],[Teva Adjusted %]]*$M$92</f>
        <v>13146.492258857241</v>
      </c>
      <c r="N7" s="18">
        <f>Table7[[#This Row],[Teva Adjusted %]]*$N$92</f>
        <v>13146.492258857241</v>
      </c>
      <c r="O7" s="18">
        <f>Table7[[#This Row],[Teva Adjusted %]]*$O$92</f>
        <v>13146.492258857241</v>
      </c>
      <c r="P7" s="18">
        <f>SUM(Table7[[#This Row],[Payment 1]:[Payment 13]])</f>
        <v>174090.72535514578</v>
      </c>
    </row>
    <row r="8" spans="1:16" x14ac:dyDescent="0.3">
      <c r="A8" t="s">
        <v>125</v>
      </c>
      <c r="B8">
        <v>3.179240795763566E-3</v>
      </c>
      <c r="C8" s="18">
        <f>Table7[[#This Row],[Teva Adjusted %]]*$C$92</f>
        <v>4498.0812090347017</v>
      </c>
      <c r="D8" s="18">
        <f>Table7[[#This Row],[Teva Adjusted %]]*$D$92</f>
        <v>4498.0812090347017</v>
      </c>
      <c r="E8" s="18">
        <f>Table7[[#This Row],[Teva Adjusted %]]*$E$92</f>
        <v>3498.8153681677618</v>
      </c>
      <c r="F8" s="18">
        <f>Table7[[#This Row],[Teva Adjusted %]]*$F$92</f>
        <v>3498.8153681677618</v>
      </c>
      <c r="G8" s="18">
        <f>Table7[[#This Row],[Teva Adjusted %]]*$G$92</f>
        <v>3498.8153681677618</v>
      </c>
      <c r="H8" s="18">
        <f>Table7[[#This Row],[Teva Adjusted %]]*$H$92</f>
        <v>3718.2811413943532</v>
      </c>
      <c r="I8" s="18">
        <f>Table7[[#This Row],[Teva Adjusted %]]*$I$92</f>
        <v>3718.2811413943532</v>
      </c>
      <c r="J8" s="18">
        <f>Table7[[#This Row],[Teva Adjusted %]]*$J$92</f>
        <v>3718.2811413943532</v>
      </c>
      <c r="K8" s="18">
        <f>Table7[[#This Row],[Teva Adjusted %]]*$K$92</f>
        <v>3718.2811413943532</v>
      </c>
      <c r="L8" s="18">
        <f>Table7[[#This Row],[Teva Adjusted %]]*$L$92</f>
        <v>3718.2811413943532</v>
      </c>
      <c r="M8" s="18">
        <f>Table7[[#This Row],[Teva Adjusted %]]*$M$92</f>
        <v>3718.2811413943532</v>
      </c>
      <c r="N8" s="18">
        <f>Table7[[#This Row],[Teva Adjusted %]]*$N$92</f>
        <v>3718.2811413943532</v>
      </c>
      <c r="O8" s="18">
        <f>Table7[[#This Row],[Teva Adjusted %]]*$O$92</f>
        <v>3718.2811413943532</v>
      </c>
      <c r="P8" s="18">
        <f>SUM(Table7[[#This Row],[Payment 1]:[Payment 13]])</f>
        <v>49238.857653727529</v>
      </c>
    </row>
    <row r="9" spans="1:16" x14ac:dyDescent="0.3">
      <c r="A9" t="s">
        <v>126</v>
      </c>
      <c r="B9">
        <v>4.1568621851328195E-3</v>
      </c>
      <c r="C9" s="18">
        <f>Table7[[#This Row],[Teva Adjusted %]]*$C$92</f>
        <v>5881.2480351939321</v>
      </c>
      <c r="D9" s="18">
        <f>Table7[[#This Row],[Teva Adjusted %]]*$D$92</f>
        <v>5881.2480351939321</v>
      </c>
      <c r="E9" s="18">
        <f>Table7[[#This Row],[Teva Adjusted %]]*$E$92</f>
        <v>4574.7064255335972</v>
      </c>
      <c r="F9" s="18">
        <f>Table7[[#This Row],[Teva Adjusted %]]*$F$92</f>
        <v>4574.7064255335972</v>
      </c>
      <c r="G9" s="18">
        <f>Table7[[#This Row],[Teva Adjusted %]]*$G$92</f>
        <v>4574.7064255335972</v>
      </c>
      <c r="H9" s="18">
        <f>Table7[[#This Row],[Teva Adjusted %]]*$H$92</f>
        <v>4861.6582584593089</v>
      </c>
      <c r="I9" s="18">
        <f>Table7[[#This Row],[Teva Adjusted %]]*$I$92</f>
        <v>4861.6582584593089</v>
      </c>
      <c r="J9" s="18">
        <f>Table7[[#This Row],[Teva Adjusted %]]*$J$92</f>
        <v>4861.6582584593089</v>
      </c>
      <c r="K9" s="18">
        <f>Table7[[#This Row],[Teva Adjusted %]]*$K$92</f>
        <v>4861.6582584593089</v>
      </c>
      <c r="L9" s="18">
        <f>Table7[[#This Row],[Teva Adjusted %]]*$L$92</f>
        <v>4861.6582584593089</v>
      </c>
      <c r="M9" s="18">
        <f>Table7[[#This Row],[Teva Adjusted %]]*$M$92</f>
        <v>4861.6582584593089</v>
      </c>
      <c r="N9" s="18">
        <f>Table7[[#This Row],[Teva Adjusted %]]*$N$92</f>
        <v>4861.6582584593089</v>
      </c>
      <c r="O9" s="18">
        <f>Table7[[#This Row],[Teva Adjusted %]]*$O$92</f>
        <v>4861.6582584593089</v>
      </c>
      <c r="P9" s="18">
        <f>SUM(Table7[[#This Row],[Payment 1]:[Payment 13]])</f>
        <v>64379.881414663148</v>
      </c>
    </row>
    <row r="10" spans="1:16" x14ac:dyDescent="0.3">
      <c r="A10" t="s">
        <v>127</v>
      </c>
      <c r="B10">
        <v>4.1571133146284791E-3</v>
      </c>
      <c r="C10" s="18">
        <f>Table7[[#This Row],[Teva Adjusted %]]*$C$92</f>
        <v>5881.6033404186783</v>
      </c>
      <c r="D10" s="18">
        <f>Table7[[#This Row],[Teva Adjusted %]]*$D$92</f>
        <v>5881.6033404186783</v>
      </c>
      <c r="E10" s="18">
        <f>Table7[[#This Row],[Teva Adjusted %]]*$E$92</f>
        <v>4574.9827983519081</v>
      </c>
      <c r="F10" s="18">
        <f>Table7[[#This Row],[Teva Adjusted %]]*$F$92</f>
        <v>4574.9827983519081</v>
      </c>
      <c r="G10" s="18">
        <f>Table7[[#This Row],[Teva Adjusted %]]*$G$92</f>
        <v>4574.9827983519081</v>
      </c>
      <c r="H10" s="18">
        <f>Table7[[#This Row],[Teva Adjusted %]]*$H$92</f>
        <v>4861.951966966385</v>
      </c>
      <c r="I10" s="18">
        <f>Table7[[#This Row],[Teva Adjusted %]]*$I$92</f>
        <v>4861.951966966385</v>
      </c>
      <c r="J10" s="18">
        <f>Table7[[#This Row],[Teva Adjusted %]]*$J$92</f>
        <v>4861.951966966385</v>
      </c>
      <c r="K10" s="18">
        <f>Table7[[#This Row],[Teva Adjusted %]]*$K$92</f>
        <v>4861.951966966385</v>
      </c>
      <c r="L10" s="18">
        <f>Table7[[#This Row],[Teva Adjusted %]]*$L$92</f>
        <v>4861.951966966385</v>
      </c>
      <c r="M10" s="18">
        <f>Table7[[#This Row],[Teva Adjusted %]]*$M$92</f>
        <v>4861.951966966385</v>
      </c>
      <c r="N10" s="18">
        <f>Table7[[#This Row],[Teva Adjusted %]]*$N$92</f>
        <v>4861.951966966385</v>
      </c>
      <c r="O10" s="18">
        <f>Table7[[#This Row],[Teva Adjusted %]]*$O$92</f>
        <v>4861.951966966385</v>
      </c>
      <c r="P10" s="18">
        <f>SUM(Table7[[#This Row],[Payment 1]:[Payment 13]])</f>
        <v>64383.77081162417</v>
      </c>
    </row>
    <row r="11" spans="1:16" x14ac:dyDescent="0.3">
      <c r="A11" t="s">
        <v>128</v>
      </c>
      <c r="B11">
        <v>4.1571133146284791E-3</v>
      </c>
      <c r="C11" s="18">
        <f>Table7[[#This Row],[Teva Adjusted %]]*$C$92</f>
        <v>5881.6033404186783</v>
      </c>
      <c r="D11" s="18">
        <f>Table7[[#This Row],[Teva Adjusted %]]*$D$92</f>
        <v>5881.6033404186783</v>
      </c>
      <c r="E11" s="18">
        <f>Table7[[#This Row],[Teva Adjusted %]]*$E$92</f>
        <v>4574.9827983519081</v>
      </c>
      <c r="F11" s="18">
        <f>Table7[[#This Row],[Teva Adjusted %]]*$F$92</f>
        <v>4574.9827983519081</v>
      </c>
      <c r="G11" s="18">
        <f>Table7[[#This Row],[Teva Adjusted %]]*$G$92</f>
        <v>4574.9827983519081</v>
      </c>
      <c r="H11" s="18">
        <f>Table7[[#This Row],[Teva Adjusted %]]*$H$92</f>
        <v>4861.951966966385</v>
      </c>
      <c r="I11" s="18">
        <f>Table7[[#This Row],[Teva Adjusted %]]*$I$92</f>
        <v>4861.951966966385</v>
      </c>
      <c r="J11" s="18">
        <f>Table7[[#This Row],[Teva Adjusted %]]*$J$92</f>
        <v>4861.951966966385</v>
      </c>
      <c r="K11" s="18">
        <f>Table7[[#This Row],[Teva Adjusted %]]*$K$92</f>
        <v>4861.951966966385</v>
      </c>
      <c r="L11" s="18">
        <f>Table7[[#This Row],[Teva Adjusted %]]*$L$92</f>
        <v>4861.951966966385</v>
      </c>
      <c r="M11" s="18">
        <f>Table7[[#This Row],[Teva Adjusted %]]*$M$92</f>
        <v>4861.951966966385</v>
      </c>
      <c r="N11" s="18">
        <f>Table7[[#This Row],[Teva Adjusted %]]*$N$92</f>
        <v>4861.951966966385</v>
      </c>
      <c r="O11" s="18">
        <f>Table7[[#This Row],[Teva Adjusted %]]*$O$92</f>
        <v>4861.951966966385</v>
      </c>
      <c r="P11" s="18">
        <f>SUM(Table7[[#This Row],[Payment 1]:[Payment 13]])</f>
        <v>64383.77081162417</v>
      </c>
    </row>
    <row r="12" spans="1:16" x14ac:dyDescent="0.3">
      <c r="A12" t="s">
        <v>129</v>
      </c>
      <c r="B12">
        <v>4.3203648519481767E-2</v>
      </c>
      <c r="C12" s="18">
        <f>Table7[[#This Row],[Teva Adjusted %]]*$C$92</f>
        <v>61125.76305203938</v>
      </c>
      <c r="D12" s="18">
        <f>Table7[[#This Row],[Teva Adjusted %]]*$D$92</f>
        <v>61125.76305203938</v>
      </c>
      <c r="E12" s="18">
        <f>Table7[[#This Row],[Teva Adjusted %]]*$E$92</f>
        <v>47546.442409240764</v>
      </c>
      <c r="F12" s="18">
        <f>Table7[[#This Row],[Teva Adjusted %]]*$F$92</f>
        <v>47546.442409240764</v>
      </c>
      <c r="G12" s="18">
        <f>Table7[[#This Row],[Teva Adjusted %]]*$G$92</f>
        <v>47546.442409240764</v>
      </c>
      <c r="H12" s="18">
        <f>Table7[[#This Row],[Teva Adjusted %]]*$H$92</f>
        <v>50528.828059667947</v>
      </c>
      <c r="I12" s="18">
        <f>Table7[[#This Row],[Teva Adjusted %]]*$I$92</f>
        <v>50528.828059667947</v>
      </c>
      <c r="J12" s="18">
        <f>Table7[[#This Row],[Teva Adjusted %]]*$J$92</f>
        <v>50528.828059667947</v>
      </c>
      <c r="K12" s="18">
        <f>Table7[[#This Row],[Teva Adjusted %]]*$K$92</f>
        <v>50528.828059667947</v>
      </c>
      <c r="L12" s="18">
        <f>Table7[[#This Row],[Teva Adjusted %]]*$L$92</f>
        <v>50528.828059667947</v>
      </c>
      <c r="M12" s="18">
        <f>Table7[[#This Row],[Teva Adjusted %]]*$M$92</f>
        <v>50528.828059667947</v>
      </c>
      <c r="N12" s="18">
        <f>Table7[[#This Row],[Teva Adjusted %]]*$N$92</f>
        <v>50528.828059667947</v>
      </c>
      <c r="O12" s="18">
        <f>Table7[[#This Row],[Teva Adjusted %]]*$O$92</f>
        <v>50528.828059667947</v>
      </c>
      <c r="P12" s="18">
        <f>SUM(Table7[[#This Row],[Payment 1]:[Payment 13]])</f>
        <v>669121.47780914465</v>
      </c>
    </row>
    <row r="13" spans="1:16" x14ac:dyDescent="0.3">
      <c r="A13" t="s">
        <v>130</v>
      </c>
      <c r="B13">
        <v>8.9190076611000008E-3</v>
      </c>
      <c r="C13" s="18">
        <f>Table7[[#This Row],[Teva Adjusted %]]*$C$92</f>
        <v>12618.868258450088</v>
      </c>
      <c r="D13" s="18">
        <f>Table7[[#This Row],[Teva Adjusted %]]*$D$92</f>
        <v>12618.868258450088</v>
      </c>
      <c r="E13" s="18">
        <f>Table7[[#This Row],[Teva Adjusted %]]*$E$92</f>
        <v>9815.5387018956117</v>
      </c>
      <c r="F13" s="18">
        <f>Table7[[#This Row],[Teva Adjusted %]]*$F$92</f>
        <v>9815.5387018956117</v>
      </c>
      <c r="G13" s="18">
        <f>Table7[[#This Row],[Teva Adjusted %]]*$G$92</f>
        <v>9815.5387018956117</v>
      </c>
      <c r="H13" s="18">
        <f>Table7[[#This Row],[Teva Adjusted %]]*$H$92</f>
        <v>10431.225602795199</v>
      </c>
      <c r="I13" s="18">
        <f>Table7[[#This Row],[Teva Adjusted %]]*$I$92</f>
        <v>10431.225602795199</v>
      </c>
      <c r="J13" s="18">
        <f>Table7[[#This Row],[Teva Adjusted %]]*$J$92</f>
        <v>10431.225602795199</v>
      </c>
      <c r="K13" s="18">
        <f>Table7[[#This Row],[Teva Adjusted %]]*$K$92</f>
        <v>10431.225602795199</v>
      </c>
      <c r="L13" s="18">
        <f>Table7[[#This Row],[Teva Adjusted %]]*$L$92</f>
        <v>10431.225602795199</v>
      </c>
      <c r="M13" s="18">
        <f>Table7[[#This Row],[Teva Adjusted %]]*$M$92</f>
        <v>10431.225602795199</v>
      </c>
      <c r="N13" s="18">
        <f>Table7[[#This Row],[Teva Adjusted %]]*$N$92</f>
        <v>10431.225602795199</v>
      </c>
      <c r="O13" s="18">
        <f>Table7[[#This Row],[Teva Adjusted %]]*$O$92</f>
        <v>10431.225602795199</v>
      </c>
      <c r="P13" s="18">
        <f>SUM(Table7[[#This Row],[Payment 1]:[Payment 13]])</f>
        <v>138134.15744494859</v>
      </c>
    </row>
    <row r="14" spans="1:16" x14ac:dyDescent="0.3">
      <c r="A14" t="s">
        <v>131</v>
      </c>
      <c r="B14">
        <v>4.3267264074005321E-3</v>
      </c>
      <c r="C14" s="18">
        <f>Table7[[#This Row],[Teva Adjusted %]]*$C$92</f>
        <v>6121.5768166086109</v>
      </c>
      <c r="D14" s="18">
        <f>Table7[[#This Row],[Teva Adjusted %]]*$D$92</f>
        <v>6121.5768166086109</v>
      </c>
      <c r="E14" s="18">
        <f>Table7[[#This Row],[Teva Adjusted %]]*$E$92</f>
        <v>4761.6452545031079</v>
      </c>
      <c r="F14" s="18">
        <f>Table7[[#This Row],[Teva Adjusted %]]*$F$92</f>
        <v>4761.6452545031079</v>
      </c>
      <c r="G14" s="18">
        <f>Table7[[#This Row],[Teva Adjusted %]]*$G$92</f>
        <v>4761.6452545031079</v>
      </c>
      <c r="H14" s="18">
        <f>Table7[[#This Row],[Teva Adjusted %]]*$H$92</f>
        <v>5060.322963283581</v>
      </c>
      <c r="I14" s="18">
        <f>Table7[[#This Row],[Teva Adjusted %]]*$I$92</f>
        <v>5060.322963283581</v>
      </c>
      <c r="J14" s="18">
        <f>Table7[[#This Row],[Teva Adjusted %]]*$J$92</f>
        <v>5060.322963283581</v>
      </c>
      <c r="K14" s="18">
        <f>Table7[[#This Row],[Teva Adjusted %]]*$K$92</f>
        <v>5060.322963283581</v>
      </c>
      <c r="L14" s="18">
        <f>Table7[[#This Row],[Teva Adjusted %]]*$L$92</f>
        <v>5060.322963283581</v>
      </c>
      <c r="M14" s="18">
        <f>Table7[[#This Row],[Teva Adjusted %]]*$M$92</f>
        <v>5060.322963283581</v>
      </c>
      <c r="N14" s="18">
        <f>Table7[[#This Row],[Teva Adjusted %]]*$N$92</f>
        <v>5060.322963283581</v>
      </c>
      <c r="O14" s="18">
        <f>Table7[[#This Row],[Teva Adjusted %]]*$O$92</f>
        <v>5060.322963283581</v>
      </c>
      <c r="P14" s="18">
        <f>SUM(Table7[[#This Row],[Payment 1]:[Payment 13]])</f>
        <v>67010.673102995177</v>
      </c>
    </row>
    <row r="15" spans="1:16" x14ac:dyDescent="0.3">
      <c r="A15" t="s">
        <v>132</v>
      </c>
      <c r="B15">
        <v>3.5711112751674011E-2</v>
      </c>
      <c r="C15" s="18">
        <f>Table7[[#This Row],[Teva Adjusted %]]*$C$92</f>
        <v>50525.108206987868</v>
      </c>
      <c r="D15" s="18">
        <f>Table7[[#This Row],[Teva Adjusted %]]*$D$92</f>
        <v>50525.108206987868</v>
      </c>
      <c r="E15" s="18">
        <f>Table7[[#This Row],[Teva Adjusted %]]*$E$92</f>
        <v>39300.763338349156</v>
      </c>
      <c r="F15" s="18">
        <f>Table7[[#This Row],[Teva Adjusted %]]*$F$92</f>
        <v>39300.763338349156</v>
      </c>
      <c r="G15" s="18">
        <f>Table7[[#This Row],[Teva Adjusted %]]*$G$92</f>
        <v>39300.763338349156</v>
      </c>
      <c r="H15" s="18">
        <f>Table7[[#This Row],[Teva Adjusted %]]*$H$92</f>
        <v>41765.9326905013</v>
      </c>
      <c r="I15" s="18">
        <f>Table7[[#This Row],[Teva Adjusted %]]*$I$92</f>
        <v>41765.9326905013</v>
      </c>
      <c r="J15" s="18">
        <f>Table7[[#This Row],[Teva Adjusted %]]*$J$92</f>
        <v>41765.9326905013</v>
      </c>
      <c r="K15" s="18">
        <f>Table7[[#This Row],[Teva Adjusted %]]*$K$92</f>
        <v>41765.9326905013</v>
      </c>
      <c r="L15" s="18">
        <f>Table7[[#This Row],[Teva Adjusted %]]*$L$92</f>
        <v>41765.9326905013</v>
      </c>
      <c r="M15" s="18">
        <f>Table7[[#This Row],[Teva Adjusted %]]*$M$92</f>
        <v>41765.9326905013</v>
      </c>
      <c r="N15" s="18">
        <f>Table7[[#This Row],[Teva Adjusted %]]*$N$92</f>
        <v>41765.9326905013</v>
      </c>
      <c r="O15" s="18">
        <f>Table7[[#This Row],[Teva Adjusted %]]*$O$92</f>
        <v>41765.9326905013</v>
      </c>
      <c r="P15" s="18">
        <f>SUM(Table7[[#This Row],[Payment 1]:[Payment 13]])</f>
        <v>553079.96795303375</v>
      </c>
    </row>
    <row r="16" spans="1:16" x14ac:dyDescent="0.3">
      <c r="A16" t="s">
        <v>133</v>
      </c>
      <c r="B16">
        <v>2.4885576323650286E-3</v>
      </c>
      <c r="C16" s="18">
        <f>Table7[[#This Row],[Teva Adjusted %]]*$C$92</f>
        <v>3520.882827955973</v>
      </c>
      <c r="D16" s="18">
        <f>Table7[[#This Row],[Teva Adjusted %]]*$D$92</f>
        <v>3520.882827955973</v>
      </c>
      <c r="E16" s="18">
        <f>Table7[[#This Row],[Teva Adjusted %]]*$E$92</f>
        <v>2738.7053224443662</v>
      </c>
      <c r="F16" s="18">
        <f>Table7[[#This Row],[Teva Adjusted %]]*$F$92</f>
        <v>2738.7053224443662</v>
      </c>
      <c r="G16" s="18">
        <f>Table7[[#This Row],[Teva Adjusted %]]*$G$92</f>
        <v>2738.7053224443662</v>
      </c>
      <c r="H16" s="18">
        <f>Table7[[#This Row],[Teva Adjusted %]]*$H$92</f>
        <v>2910.4926327146964</v>
      </c>
      <c r="I16" s="18">
        <f>Table7[[#This Row],[Teva Adjusted %]]*$I$92</f>
        <v>2910.4926327146964</v>
      </c>
      <c r="J16" s="18">
        <f>Table7[[#This Row],[Teva Adjusted %]]*$J$92</f>
        <v>2910.4926327146964</v>
      </c>
      <c r="K16" s="18">
        <f>Table7[[#This Row],[Teva Adjusted %]]*$K$92</f>
        <v>2910.4926327146964</v>
      </c>
      <c r="L16" s="18">
        <f>Table7[[#This Row],[Teva Adjusted %]]*$L$92</f>
        <v>2910.4926327146964</v>
      </c>
      <c r="M16" s="18">
        <f>Table7[[#This Row],[Teva Adjusted %]]*$M$92</f>
        <v>2910.4926327146964</v>
      </c>
      <c r="N16" s="18">
        <f>Table7[[#This Row],[Teva Adjusted %]]*$N$92</f>
        <v>2910.4926327146964</v>
      </c>
      <c r="O16" s="18">
        <f>Table7[[#This Row],[Teva Adjusted %]]*$O$92</f>
        <v>2910.4926327146964</v>
      </c>
      <c r="P16" s="18">
        <f>SUM(Table7[[#This Row],[Payment 1]:[Payment 13]])</f>
        <v>38541.822684962615</v>
      </c>
    </row>
    <row r="17" spans="1:16" x14ac:dyDescent="0.3">
      <c r="A17" t="s">
        <v>134</v>
      </c>
      <c r="B17">
        <v>5.3833994784939013E-3</v>
      </c>
      <c r="C17" s="18">
        <f>Table7[[#This Row],[Teva Adjusted %]]*$C$92</f>
        <v>7616.5882330170789</v>
      </c>
      <c r="D17" s="18">
        <f>Table7[[#This Row],[Teva Adjusted %]]*$D$92</f>
        <v>7616.5882330170789</v>
      </c>
      <c r="E17" s="18">
        <f>Table7[[#This Row],[Teva Adjusted %]]*$E$92</f>
        <v>5924.5342011966104</v>
      </c>
      <c r="F17" s="18">
        <f>Table7[[#This Row],[Teva Adjusted %]]*$F$92</f>
        <v>5924.5342011966104</v>
      </c>
      <c r="G17" s="18">
        <f>Table7[[#This Row],[Teva Adjusted %]]*$G$92</f>
        <v>5924.5342011966104</v>
      </c>
      <c r="H17" s="18">
        <f>Table7[[#This Row],[Teva Adjusted %]]*$H$92</f>
        <v>6296.1549764174242</v>
      </c>
      <c r="I17" s="18">
        <f>Table7[[#This Row],[Teva Adjusted %]]*$I$92</f>
        <v>6296.1549764174242</v>
      </c>
      <c r="J17" s="18">
        <f>Table7[[#This Row],[Teva Adjusted %]]*$J$92</f>
        <v>6296.1549764174242</v>
      </c>
      <c r="K17" s="18">
        <f>Table7[[#This Row],[Teva Adjusted %]]*$K$92</f>
        <v>6296.1549764174242</v>
      </c>
      <c r="L17" s="18">
        <f>Table7[[#This Row],[Teva Adjusted %]]*$L$92</f>
        <v>6296.1549764174242</v>
      </c>
      <c r="M17" s="18">
        <f>Table7[[#This Row],[Teva Adjusted %]]*$M$92</f>
        <v>6296.1549764174242</v>
      </c>
      <c r="N17" s="18">
        <f>Table7[[#This Row],[Teva Adjusted %]]*$N$92</f>
        <v>6296.1549764174242</v>
      </c>
      <c r="O17" s="18">
        <f>Table7[[#This Row],[Teva Adjusted %]]*$O$92</f>
        <v>6296.1549764174242</v>
      </c>
      <c r="P17" s="18">
        <f>SUM(Table7[[#This Row],[Payment 1]:[Payment 13]])</f>
        <v>83376.018880963398</v>
      </c>
    </row>
    <row r="18" spans="1:16" x14ac:dyDescent="0.3">
      <c r="A18" t="s">
        <v>135</v>
      </c>
      <c r="B18">
        <v>2.5025236522131602E-3</v>
      </c>
      <c r="C18" s="18">
        <f>Table7[[#This Row],[Teva Adjusted %]]*$C$92</f>
        <v>3540.6423540439614</v>
      </c>
      <c r="D18" s="18">
        <f>Table7[[#This Row],[Teva Adjusted %]]*$D$92</f>
        <v>3540.6423540439614</v>
      </c>
      <c r="E18" s="18">
        <f>Table7[[#This Row],[Teva Adjusted %]]*$E$92</f>
        <v>2754.0751946924488</v>
      </c>
      <c r="F18" s="18">
        <f>Table7[[#This Row],[Teva Adjusted %]]*$F$92</f>
        <v>2754.0751946924488</v>
      </c>
      <c r="G18" s="18">
        <f>Table7[[#This Row],[Teva Adjusted %]]*$G$92</f>
        <v>2754.0751946924488</v>
      </c>
      <c r="H18" s="18">
        <f>Table7[[#This Row],[Teva Adjusted %]]*$H$92</f>
        <v>2926.8265915299094</v>
      </c>
      <c r="I18" s="18">
        <f>Table7[[#This Row],[Teva Adjusted %]]*$I$92</f>
        <v>2926.8265915299094</v>
      </c>
      <c r="J18" s="18">
        <f>Table7[[#This Row],[Teva Adjusted %]]*$J$92</f>
        <v>2926.8265915299094</v>
      </c>
      <c r="K18" s="18">
        <f>Table7[[#This Row],[Teva Adjusted %]]*$K$92</f>
        <v>2926.8265915299094</v>
      </c>
      <c r="L18" s="18">
        <f>Table7[[#This Row],[Teva Adjusted %]]*$L$92</f>
        <v>2926.8265915299094</v>
      </c>
      <c r="M18" s="18">
        <f>Table7[[#This Row],[Teva Adjusted %]]*$M$92</f>
        <v>2926.8265915299094</v>
      </c>
      <c r="N18" s="18">
        <f>Table7[[#This Row],[Teva Adjusted %]]*$N$92</f>
        <v>2926.8265915299094</v>
      </c>
      <c r="O18" s="18">
        <f>Table7[[#This Row],[Teva Adjusted %]]*$O$92</f>
        <v>2926.8265915299094</v>
      </c>
      <c r="P18" s="18">
        <f>SUM(Table7[[#This Row],[Payment 1]:[Payment 13]])</f>
        <v>38758.123024404551</v>
      </c>
    </row>
    <row r="19" spans="1:16" x14ac:dyDescent="0.3">
      <c r="A19" t="s">
        <v>136</v>
      </c>
      <c r="B19">
        <v>2.0785566573142396E-3</v>
      </c>
      <c r="C19" s="18">
        <f>Table7[[#This Row],[Teva Adjusted %]]*$C$92</f>
        <v>2940.8016702093391</v>
      </c>
      <c r="D19" s="18">
        <f>Table7[[#This Row],[Teva Adjusted %]]*$D$92</f>
        <v>2940.8016702093391</v>
      </c>
      <c r="E19" s="18">
        <f>Table7[[#This Row],[Teva Adjusted %]]*$E$92</f>
        <v>2287.491399175954</v>
      </c>
      <c r="F19" s="18">
        <f>Table7[[#This Row],[Teva Adjusted %]]*$F$92</f>
        <v>2287.491399175954</v>
      </c>
      <c r="G19" s="18">
        <f>Table7[[#This Row],[Teva Adjusted %]]*$G$92</f>
        <v>2287.491399175954</v>
      </c>
      <c r="H19" s="18">
        <f>Table7[[#This Row],[Teva Adjusted %]]*$H$92</f>
        <v>2430.9759834831925</v>
      </c>
      <c r="I19" s="18">
        <f>Table7[[#This Row],[Teva Adjusted %]]*$I$92</f>
        <v>2430.9759834831925</v>
      </c>
      <c r="J19" s="18">
        <f>Table7[[#This Row],[Teva Adjusted %]]*$J$92</f>
        <v>2430.9759834831925</v>
      </c>
      <c r="K19" s="18">
        <f>Table7[[#This Row],[Teva Adjusted %]]*$K$92</f>
        <v>2430.9759834831925</v>
      </c>
      <c r="L19" s="18">
        <f>Table7[[#This Row],[Teva Adjusted %]]*$L$92</f>
        <v>2430.9759834831925</v>
      </c>
      <c r="M19" s="18">
        <f>Table7[[#This Row],[Teva Adjusted %]]*$M$92</f>
        <v>2430.9759834831925</v>
      </c>
      <c r="N19" s="18">
        <f>Table7[[#This Row],[Teva Adjusted %]]*$N$92</f>
        <v>2430.9759834831925</v>
      </c>
      <c r="O19" s="18">
        <f>Table7[[#This Row],[Teva Adjusted %]]*$O$92</f>
        <v>2430.9759834831925</v>
      </c>
      <c r="P19" s="18">
        <f>SUM(Table7[[#This Row],[Payment 1]:[Payment 13]])</f>
        <v>32191.885405812085</v>
      </c>
    </row>
    <row r="20" spans="1:16" x14ac:dyDescent="0.3">
      <c r="A20" t="s">
        <v>137</v>
      </c>
      <c r="B20">
        <v>4.3252563000480979E-3</v>
      </c>
      <c r="C20" s="18">
        <f>Table7[[#This Row],[Teva Adjusted %]]*$C$92</f>
        <v>6119.496866494087</v>
      </c>
      <c r="D20" s="18">
        <f>Table7[[#This Row],[Teva Adjusted %]]*$D$92</f>
        <v>6119.496866494087</v>
      </c>
      <c r="E20" s="18">
        <f>Table7[[#This Row],[Teva Adjusted %]]*$E$92</f>
        <v>4760.0273732138367</v>
      </c>
      <c r="F20" s="18">
        <f>Table7[[#This Row],[Teva Adjusted %]]*$F$92</f>
        <v>4760.0273732138367</v>
      </c>
      <c r="G20" s="18">
        <f>Table7[[#This Row],[Teva Adjusted %]]*$G$92</f>
        <v>4760.0273732138367</v>
      </c>
      <c r="H20" s="18">
        <f>Table7[[#This Row],[Teva Adjusted %]]*$H$92</f>
        <v>5058.6035991977706</v>
      </c>
      <c r="I20" s="18">
        <f>Table7[[#This Row],[Teva Adjusted %]]*$I$92</f>
        <v>5058.6035991977706</v>
      </c>
      <c r="J20" s="18">
        <f>Table7[[#This Row],[Teva Adjusted %]]*$J$92</f>
        <v>5058.6035991977706</v>
      </c>
      <c r="K20" s="18">
        <f>Table7[[#This Row],[Teva Adjusted %]]*$K$92</f>
        <v>5058.6035991977706</v>
      </c>
      <c r="L20" s="18">
        <f>Table7[[#This Row],[Teva Adjusted %]]*$L$92</f>
        <v>5058.6035991977706</v>
      </c>
      <c r="M20" s="18">
        <f>Table7[[#This Row],[Teva Adjusted %]]*$M$92</f>
        <v>5058.6035991977706</v>
      </c>
      <c r="N20" s="18">
        <f>Table7[[#This Row],[Teva Adjusted %]]*$N$92</f>
        <v>5058.6035991977706</v>
      </c>
      <c r="O20" s="18">
        <f>Table7[[#This Row],[Teva Adjusted %]]*$O$92</f>
        <v>5058.6035991977706</v>
      </c>
      <c r="P20" s="18">
        <f>SUM(Table7[[#This Row],[Payment 1]:[Payment 13]])</f>
        <v>66987.904646211842</v>
      </c>
    </row>
    <row r="21" spans="1:16" x14ac:dyDescent="0.3">
      <c r="A21" t="s">
        <v>138</v>
      </c>
      <c r="B21">
        <v>1.733851293767948E-2</v>
      </c>
      <c r="C21" s="18">
        <f>Table7[[#This Row],[Teva Adjusted %]]*$C$92</f>
        <v>24531.026193896734</v>
      </c>
      <c r="D21" s="18">
        <f>Table7[[#This Row],[Teva Adjusted %]]*$D$92</f>
        <v>24531.026193896734</v>
      </c>
      <c r="E21" s="18">
        <f>Table7[[#This Row],[Teva Adjusted %]]*$E$92</f>
        <v>19081.365465731778</v>
      </c>
      <c r="F21" s="18">
        <f>Table7[[#This Row],[Teva Adjusted %]]*$F$92</f>
        <v>19081.365465731778</v>
      </c>
      <c r="G21" s="18">
        <f>Table7[[#This Row],[Teva Adjusted %]]*$G$92</f>
        <v>19081.365465731778</v>
      </c>
      <c r="H21" s="18">
        <f>Table7[[#This Row],[Teva Adjusted %]]*$H$92</f>
        <v>20278.258180979283</v>
      </c>
      <c r="I21" s="18">
        <f>Table7[[#This Row],[Teva Adjusted %]]*$I$92</f>
        <v>20278.258180979283</v>
      </c>
      <c r="J21" s="18">
        <f>Table7[[#This Row],[Teva Adjusted %]]*$J$92</f>
        <v>20278.258180979283</v>
      </c>
      <c r="K21" s="18">
        <f>Table7[[#This Row],[Teva Adjusted %]]*$K$92</f>
        <v>20278.258180979283</v>
      </c>
      <c r="L21" s="18">
        <f>Table7[[#This Row],[Teva Adjusted %]]*$L$92</f>
        <v>20278.258180979283</v>
      </c>
      <c r="M21" s="18">
        <f>Table7[[#This Row],[Teva Adjusted %]]*$M$92</f>
        <v>20278.258180979283</v>
      </c>
      <c r="N21" s="18">
        <f>Table7[[#This Row],[Teva Adjusted %]]*$N$92</f>
        <v>20278.258180979283</v>
      </c>
      <c r="O21" s="18">
        <f>Table7[[#This Row],[Teva Adjusted %]]*$O$92</f>
        <v>20278.258180979283</v>
      </c>
      <c r="P21" s="18">
        <f>SUM(Table7[[#This Row],[Payment 1]:[Payment 13]])</f>
        <v>268532.21423282311</v>
      </c>
    </row>
    <row r="22" spans="1:16" x14ac:dyDescent="0.3">
      <c r="A22" t="s">
        <v>139</v>
      </c>
      <c r="B22">
        <v>1.913819162930578E-2</v>
      </c>
      <c r="C22" s="18">
        <f>Table7[[#This Row],[Teva Adjusted %]]*$C$92</f>
        <v>27077.263306823625</v>
      </c>
      <c r="D22" s="18">
        <f>Table7[[#This Row],[Teva Adjusted %]]*$D$92</f>
        <v>27077.263306823625</v>
      </c>
      <c r="E22" s="18">
        <f>Table7[[#This Row],[Teva Adjusted %]]*$E$92</f>
        <v>21061.946324035041</v>
      </c>
      <c r="F22" s="18">
        <f>Table7[[#This Row],[Teva Adjusted %]]*$F$92</f>
        <v>21061.946324035041</v>
      </c>
      <c r="G22" s="18">
        <f>Table7[[#This Row],[Teva Adjusted %]]*$G$92</f>
        <v>21061.946324035041</v>
      </c>
      <c r="H22" s="18">
        <f>Table7[[#This Row],[Teva Adjusted %]]*$H$92</f>
        <v>22383.072433665093</v>
      </c>
      <c r="I22" s="18">
        <f>Table7[[#This Row],[Teva Adjusted %]]*$I$92</f>
        <v>22383.072433665093</v>
      </c>
      <c r="J22" s="18">
        <f>Table7[[#This Row],[Teva Adjusted %]]*$J$92</f>
        <v>22383.072433665093</v>
      </c>
      <c r="K22" s="18">
        <f>Table7[[#This Row],[Teva Adjusted %]]*$K$92</f>
        <v>22383.072433665093</v>
      </c>
      <c r="L22" s="18">
        <f>Table7[[#This Row],[Teva Adjusted %]]*$L$92</f>
        <v>22383.072433665093</v>
      </c>
      <c r="M22" s="18">
        <f>Table7[[#This Row],[Teva Adjusted %]]*$M$92</f>
        <v>22383.072433665093</v>
      </c>
      <c r="N22" s="18">
        <f>Table7[[#This Row],[Teva Adjusted %]]*$N$92</f>
        <v>22383.072433665093</v>
      </c>
      <c r="O22" s="18">
        <f>Table7[[#This Row],[Teva Adjusted %]]*$O$92</f>
        <v>22383.072433665093</v>
      </c>
      <c r="P22" s="18">
        <f>SUM(Table7[[#This Row],[Payment 1]:[Payment 13]])</f>
        <v>296404.94505507319</v>
      </c>
    </row>
    <row r="23" spans="1:16" x14ac:dyDescent="0.3">
      <c r="A23" t="s">
        <v>140</v>
      </c>
      <c r="B23">
        <v>3.8545546550230105E-2</v>
      </c>
      <c r="C23" s="18">
        <f>Table7[[#This Row],[Teva Adjusted %]]*$C$92</f>
        <v>54535.346570979396</v>
      </c>
      <c r="D23" s="18">
        <f>Table7[[#This Row],[Teva Adjusted %]]*$D$92</f>
        <v>54535.346570979396</v>
      </c>
      <c r="E23" s="18">
        <f>Table7[[#This Row],[Teva Adjusted %]]*$E$92</f>
        <v>42420.11200412405</v>
      </c>
      <c r="F23" s="18">
        <f>Table7[[#This Row],[Teva Adjusted %]]*$F$92</f>
        <v>42420.11200412405</v>
      </c>
      <c r="G23" s="18">
        <f>Table7[[#This Row],[Teva Adjusted %]]*$G$92</f>
        <v>42420.11200412405</v>
      </c>
      <c r="H23" s="18">
        <f>Table7[[#This Row],[Teva Adjusted %]]*$H$92</f>
        <v>45080.944800859754</v>
      </c>
      <c r="I23" s="18">
        <f>Table7[[#This Row],[Teva Adjusted %]]*$I$92</f>
        <v>45080.944800859754</v>
      </c>
      <c r="J23" s="18">
        <f>Table7[[#This Row],[Teva Adjusted %]]*$J$92</f>
        <v>45080.944800859754</v>
      </c>
      <c r="K23" s="18">
        <f>Table7[[#This Row],[Teva Adjusted %]]*$K$92</f>
        <v>45080.944800859754</v>
      </c>
      <c r="L23" s="18">
        <f>Table7[[#This Row],[Teva Adjusted %]]*$L$92</f>
        <v>45080.944800859754</v>
      </c>
      <c r="M23" s="18">
        <f>Table7[[#This Row],[Teva Adjusted %]]*$M$92</f>
        <v>45080.944800859754</v>
      </c>
      <c r="N23" s="18">
        <f>Table7[[#This Row],[Teva Adjusted %]]*$N$92</f>
        <v>45080.944800859754</v>
      </c>
      <c r="O23" s="18">
        <f>Table7[[#This Row],[Teva Adjusted %]]*$O$92</f>
        <v>45080.944800859754</v>
      </c>
      <c r="P23" s="18">
        <f>SUM(Table7[[#This Row],[Payment 1]:[Payment 13]])</f>
        <v>596978.5875612091</v>
      </c>
    </row>
    <row r="24" spans="1:16" x14ac:dyDescent="0.3">
      <c r="A24" t="s">
        <v>141</v>
      </c>
      <c r="B24">
        <v>0</v>
      </c>
      <c r="C24" s="18">
        <f>Table7[[#This Row],[Teva Adjusted %]]*$C$92</f>
        <v>0</v>
      </c>
      <c r="D24" s="18">
        <f>Table7[[#This Row],[Teva Adjusted %]]*$D$92</f>
        <v>0</v>
      </c>
      <c r="E24" s="18">
        <f>Table7[[#This Row],[Teva Adjusted %]]*$E$92</f>
        <v>0</v>
      </c>
      <c r="F24" s="18">
        <f>Table7[[#This Row],[Teva Adjusted %]]*$F$92</f>
        <v>0</v>
      </c>
      <c r="G24" s="18">
        <f>Table7[[#This Row],[Teva Adjusted %]]*$G$92</f>
        <v>0</v>
      </c>
      <c r="H24" s="18">
        <f>Table7[[#This Row],[Teva Adjusted %]]*$H$92</f>
        <v>0</v>
      </c>
      <c r="I24" s="18">
        <f>Table7[[#This Row],[Teva Adjusted %]]*$I$92</f>
        <v>0</v>
      </c>
      <c r="J24" s="18">
        <f>Table7[[#This Row],[Teva Adjusted %]]*$J$92</f>
        <v>0</v>
      </c>
      <c r="K24" s="18">
        <f>Table7[[#This Row],[Teva Adjusted %]]*$K$92</f>
        <v>0</v>
      </c>
      <c r="L24" s="18">
        <f>Table7[[#This Row],[Teva Adjusted %]]*$L$92</f>
        <v>0</v>
      </c>
      <c r="M24" s="18">
        <f>Table7[[#This Row],[Teva Adjusted %]]*$M$92</f>
        <v>0</v>
      </c>
      <c r="N24" s="18">
        <f>Table7[[#This Row],[Teva Adjusted %]]*$N$92</f>
        <v>0</v>
      </c>
      <c r="O24" s="18">
        <f>Table7[[#This Row],[Teva Adjusted %]]*$O$92</f>
        <v>0</v>
      </c>
      <c r="P24" s="18">
        <f>SUM(Table7[[#This Row],[Payment 1]:[Payment 13]])</f>
        <v>0</v>
      </c>
    </row>
    <row r="25" spans="1:16" x14ac:dyDescent="0.3">
      <c r="A25" t="s">
        <v>142</v>
      </c>
      <c r="B25">
        <v>1.7733279812563826E-2</v>
      </c>
      <c r="C25" s="18">
        <f>Table7[[#This Row],[Teva Adjusted %]]*$C$92</f>
        <v>25089.553709092437</v>
      </c>
      <c r="D25" s="18">
        <f>Table7[[#This Row],[Teva Adjusted %]]*$D$92</f>
        <v>25089.553709092437</v>
      </c>
      <c r="E25" s="18">
        <f>Table7[[#This Row],[Teva Adjusted %]]*$E$92</f>
        <v>19515.813970082068</v>
      </c>
      <c r="F25" s="18">
        <f>Table7[[#This Row],[Teva Adjusted %]]*$F$92</f>
        <v>19515.813970082068</v>
      </c>
      <c r="G25" s="18">
        <f>Table7[[#This Row],[Teva Adjusted %]]*$G$92</f>
        <v>19515.813970082068</v>
      </c>
      <c r="H25" s="18">
        <f>Table7[[#This Row],[Teva Adjusted %]]*$H$92</f>
        <v>20739.957788031887</v>
      </c>
      <c r="I25" s="18">
        <f>Table7[[#This Row],[Teva Adjusted %]]*$I$92</f>
        <v>20739.957788031887</v>
      </c>
      <c r="J25" s="18">
        <f>Table7[[#This Row],[Teva Adjusted %]]*$J$92</f>
        <v>20739.957788031887</v>
      </c>
      <c r="K25" s="18">
        <f>Table7[[#This Row],[Teva Adjusted %]]*$K$92</f>
        <v>20739.957788031887</v>
      </c>
      <c r="L25" s="18">
        <f>Table7[[#This Row],[Teva Adjusted %]]*$L$92</f>
        <v>20739.957788031887</v>
      </c>
      <c r="M25" s="18">
        <f>Table7[[#This Row],[Teva Adjusted %]]*$M$92</f>
        <v>20739.957788031887</v>
      </c>
      <c r="N25" s="18">
        <f>Table7[[#This Row],[Teva Adjusted %]]*$N$92</f>
        <v>20739.957788031887</v>
      </c>
      <c r="O25" s="18">
        <f>Table7[[#This Row],[Teva Adjusted %]]*$O$92</f>
        <v>20739.957788031887</v>
      </c>
      <c r="P25" s="18">
        <f>SUM(Table7[[#This Row],[Payment 1]:[Payment 13]])</f>
        <v>274646.2116326862</v>
      </c>
    </row>
    <row r="26" spans="1:16" x14ac:dyDescent="0.3">
      <c r="A26" t="s">
        <v>143</v>
      </c>
      <c r="B26">
        <v>2.6734909638253531E-2</v>
      </c>
      <c r="C26" s="18">
        <f>Table7[[#This Row],[Teva Adjusted %]]*$C$92</f>
        <v>37825.318179520531</v>
      </c>
      <c r="D26" s="18">
        <f>Table7[[#This Row],[Teva Adjusted %]]*$D$92</f>
        <v>37825.318179520531</v>
      </c>
      <c r="E26" s="18">
        <f>Table7[[#This Row],[Teva Adjusted %]]*$E$92</f>
        <v>29422.279946062412</v>
      </c>
      <c r="F26" s="18">
        <f>Table7[[#This Row],[Teva Adjusted %]]*$F$92</f>
        <v>29422.279946062412</v>
      </c>
      <c r="G26" s="18">
        <f>Table7[[#This Row],[Teva Adjusted %]]*$G$92</f>
        <v>29422.279946062412</v>
      </c>
      <c r="H26" s="18">
        <f>Table7[[#This Row],[Teva Adjusted %]]*$H$92</f>
        <v>31267.814145208587</v>
      </c>
      <c r="I26" s="18">
        <f>Table7[[#This Row],[Teva Adjusted %]]*$I$92</f>
        <v>31267.814145208587</v>
      </c>
      <c r="J26" s="18">
        <f>Table7[[#This Row],[Teva Adjusted %]]*$J$92</f>
        <v>31267.814145208587</v>
      </c>
      <c r="K26" s="18">
        <f>Table7[[#This Row],[Teva Adjusted %]]*$K$92</f>
        <v>31267.814145208587</v>
      </c>
      <c r="L26" s="18">
        <f>Table7[[#This Row],[Teva Adjusted %]]*$L$92</f>
        <v>31267.814145208587</v>
      </c>
      <c r="M26" s="18">
        <f>Table7[[#This Row],[Teva Adjusted %]]*$M$92</f>
        <v>31267.814145208587</v>
      </c>
      <c r="N26" s="18">
        <f>Table7[[#This Row],[Teva Adjusted %]]*$N$92</f>
        <v>31267.814145208587</v>
      </c>
      <c r="O26" s="18">
        <f>Table7[[#This Row],[Teva Adjusted %]]*$O$92</f>
        <v>31267.814145208587</v>
      </c>
      <c r="P26" s="18">
        <f>SUM(Table7[[#This Row],[Payment 1]:[Payment 13]])</f>
        <v>414059.98935889697</v>
      </c>
    </row>
    <row r="27" spans="1:16" x14ac:dyDescent="0.3">
      <c r="A27" t="s">
        <v>144</v>
      </c>
      <c r="B27">
        <v>2.2098443192059843E-2</v>
      </c>
      <c r="C27" s="18">
        <f>Table7[[#This Row],[Teva Adjusted %]]*$C$92</f>
        <v>31265.512258014394</v>
      </c>
      <c r="D27" s="18">
        <f>Table7[[#This Row],[Teva Adjusted %]]*$D$92</f>
        <v>31265.512258014394</v>
      </c>
      <c r="E27" s="18">
        <f>Table7[[#This Row],[Teva Adjusted %]]*$E$92</f>
        <v>24319.759848322996</v>
      </c>
      <c r="F27" s="18">
        <f>Table7[[#This Row],[Teva Adjusted %]]*$F$92</f>
        <v>24319.759848322996</v>
      </c>
      <c r="G27" s="18">
        <f>Table7[[#This Row],[Teva Adjusted %]]*$G$92</f>
        <v>24319.759848322996</v>
      </c>
      <c r="H27" s="18">
        <f>Table7[[#This Row],[Teva Adjusted %]]*$H$92</f>
        <v>25845.234712860434</v>
      </c>
      <c r="I27" s="18">
        <f>Table7[[#This Row],[Teva Adjusted %]]*$I$92</f>
        <v>25845.234712860434</v>
      </c>
      <c r="J27" s="18">
        <f>Table7[[#This Row],[Teva Adjusted %]]*$J$92</f>
        <v>25845.234712860434</v>
      </c>
      <c r="K27" s="18">
        <f>Table7[[#This Row],[Teva Adjusted %]]*$K$92</f>
        <v>25845.234712860434</v>
      </c>
      <c r="L27" s="18">
        <f>Table7[[#This Row],[Teva Adjusted %]]*$L$92</f>
        <v>25845.234712860434</v>
      </c>
      <c r="M27" s="18">
        <f>Table7[[#This Row],[Teva Adjusted %]]*$M$92</f>
        <v>25845.234712860434</v>
      </c>
      <c r="N27" s="18">
        <f>Table7[[#This Row],[Teva Adjusted %]]*$N$92</f>
        <v>25845.234712860434</v>
      </c>
      <c r="O27" s="18">
        <f>Table7[[#This Row],[Teva Adjusted %]]*$O$92</f>
        <v>25845.234712860434</v>
      </c>
      <c r="P27" s="18">
        <f>SUM(Table7[[#This Row],[Payment 1]:[Payment 13]])</f>
        <v>342252.18176388124</v>
      </c>
    </row>
    <row r="28" spans="1:16" x14ac:dyDescent="0.3">
      <c r="A28" t="s">
        <v>145</v>
      </c>
      <c r="B28">
        <v>3.3313088948785392E-3</v>
      </c>
      <c r="C28" s="18">
        <f>Table7[[#This Row],[Teva Adjusted %]]*$C$92</f>
        <v>4713.2315241772849</v>
      </c>
      <c r="D28" s="18">
        <f>Table7[[#This Row],[Teva Adjusted %]]*$D$92</f>
        <v>4713.2315241772849</v>
      </c>
      <c r="E28" s="18">
        <f>Table7[[#This Row],[Teva Adjusted %]]*$E$92</f>
        <v>3666.1692228680758</v>
      </c>
      <c r="F28" s="18">
        <f>Table7[[#This Row],[Teva Adjusted %]]*$F$92</f>
        <v>3666.1692228680758</v>
      </c>
      <c r="G28" s="18">
        <f>Table7[[#This Row],[Teva Adjusted %]]*$G$92</f>
        <v>3666.1692228680758</v>
      </c>
      <c r="H28" s="18">
        <f>Table7[[#This Row],[Teva Adjusted %]]*$H$92</f>
        <v>3896.1323900007333</v>
      </c>
      <c r="I28" s="18">
        <f>Table7[[#This Row],[Teva Adjusted %]]*$I$92</f>
        <v>3896.1323900007333</v>
      </c>
      <c r="J28" s="18">
        <f>Table7[[#This Row],[Teva Adjusted %]]*$J$92</f>
        <v>3896.1323900007333</v>
      </c>
      <c r="K28" s="18">
        <f>Table7[[#This Row],[Teva Adjusted %]]*$K$92</f>
        <v>3896.1323900007333</v>
      </c>
      <c r="L28" s="18">
        <f>Table7[[#This Row],[Teva Adjusted %]]*$L$92</f>
        <v>3896.1323900007333</v>
      </c>
      <c r="M28" s="18">
        <f>Table7[[#This Row],[Teva Adjusted %]]*$M$92</f>
        <v>3896.1323900007333</v>
      </c>
      <c r="N28" s="18">
        <f>Table7[[#This Row],[Teva Adjusted %]]*$N$92</f>
        <v>3896.1323900007333</v>
      </c>
      <c r="O28" s="18">
        <f>Table7[[#This Row],[Teva Adjusted %]]*$O$92</f>
        <v>3896.1323900007333</v>
      </c>
      <c r="P28" s="18">
        <f>SUM(Table7[[#This Row],[Payment 1]:[Payment 13]])</f>
        <v>51594.02983696467</v>
      </c>
    </row>
    <row r="29" spans="1:16" x14ac:dyDescent="0.3">
      <c r="A29" t="s">
        <v>146</v>
      </c>
      <c r="B29">
        <v>1.1842930895485573E-2</v>
      </c>
      <c r="C29" s="18">
        <f>Table7[[#This Row],[Teva Adjusted %]]*$C$92</f>
        <v>16755.718847048222</v>
      </c>
      <c r="D29" s="18">
        <f>Table7[[#This Row],[Teva Adjusted %]]*$D$92</f>
        <v>16755.718847048222</v>
      </c>
      <c r="E29" s="18">
        <f>Table7[[#This Row],[Teva Adjusted %]]*$E$92</f>
        <v>13033.372205241179</v>
      </c>
      <c r="F29" s="18">
        <f>Table7[[#This Row],[Teva Adjusted %]]*$F$92</f>
        <v>13033.372205241179</v>
      </c>
      <c r="G29" s="18">
        <f>Table7[[#This Row],[Teva Adjusted %]]*$G$92</f>
        <v>13033.372205241179</v>
      </c>
      <c r="H29" s="18">
        <f>Table7[[#This Row],[Teva Adjusted %]]*$H$92</f>
        <v>13850.90008476205</v>
      </c>
      <c r="I29" s="18">
        <f>Table7[[#This Row],[Teva Adjusted %]]*$I$92</f>
        <v>13850.90008476205</v>
      </c>
      <c r="J29" s="18">
        <f>Table7[[#This Row],[Teva Adjusted %]]*$J$92</f>
        <v>13850.90008476205</v>
      </c>
      <c r="K29" s="18">
        <f>Table7[[#This Row],[Teva Adjusted %]]*$K$92</f>
        <v>13850.90008476205</v>
      </c>
      <c r="L29" s="18">
        <f>Table7[[#This Row],[Teva Adjusted %]]*$L$92</f>
        <v>13850.90008476205</v>
      </c>
      <c r="M29" s="18">
        <f>Table7[[#This Row],[Teva Adjusted %]]*$M$92</f>
        <v>13850.90008476205</v>
      </c>
      <c r="N29" s="18">
        <f>Table7[[#This Row],[Teva Adjusted %]]*$N$92</f>
        <v>13850.90008476205</v>
      </c>
      <c r="O29" s="18">
        <f>Table7[[#This Row],[Teva Adjusted %]]*$O$92</f>
        <v>13850.90008476205</v>
      </c>
      <c r="P29" s="18">
        <f>SUM(Table7[[#This Row],[Payment 1]:[Payment 13]])</f>
        <v>183418.75498791636</v>
      </c>
    </row>
    <row r="30" spans="1:16" x14ac:dyDescent="0.3">
      <c r="A30" t="s">
        <v>147</v>
      </c>
      <c r="B30">
        <v>2.3852423100627941E-2</v>
      </c>
      <c r="C30" s="18">
        <f>Table7[[#This Row],[Teva Adjusted %]]*$C$92</f>
        <v>33747.093419865247</v>
      </c>
      <c r="D30" s="18">
        <f>Table7[[#This Row],[Teva Adjusted %]]*$D$92</f>
        <v>33747.093419865247</v>
      </c>
      <c r="E30" s="18">
        <f>Table7[[#This Row],[Teva Adjusted %]]*$E$92</f>
        <v>26250.048320883201</v>
      </c>
      <c r="F30" s="18">
        <f>Table7[[#This Row],[Teva Adjusted %]]*$F$92</f>
        <v>26250.048320883201</v>
      </c>
      <c r="G30" s="18">
        <f>Table7[[#This Row],[Teva Adjusted %]]*$G$92</f>
        <v>26250.048320883201</v>
      </c>
      <c r="H30" s="18">
        <f>Table7[[#This Row],[Teva Adjusted %]]*$H$92</f>
        <v>27896.601952832894</v>
      </c>
      <c r="I30" s="18">
        <f>Table7[[#This Row],[Teva Adjusted %]]*$I$92</f>
        <v>27896.601952832894</v>
      </c>
      <c r="J30" s="18">
        <f>Table7[[#This Row],[Teva Adjusted %]]*$J$92</f>
        <v>27896.601952832894</v>
      </c>
      <c r="K30" s="18">
        <f>Table7[[#This Row],[Teva Adjusted %]]*$K$92</f>
        <v>27896.601952832894</v>
      </c>
      <c r="L30" s="18">
        <f>Table7[[#This Row],[Teva Adjusted %]]*$L$92</f>
        <v>27896.601952832894</v>
      </c>
      <c r="M30" s="18">
        <f>Table7[[#This Row],[Teva Adjusted %]]*$M$92</f>
        <v>27896.601952832894</v>
      </c>
      <c r="N30" s="18">
        <f>Table7[[#This Row],[Teva Adjusted %]]*$N$92</f>
        <v>27896.601952832894</v>
      </c>
      <c r="O30" s="18">
        <f>Table7[[#This Row],[Teva Adjusted %]]*$O$92</f>
        <v>27896.601952832894</v>
      </c>
      <c r="P30" s="18">
        <f>SUM(Table7[[#This Row],[Payment 1]:[Payment 13]])</f>
        <v>369417.14742504322</v>
      </c>
    </row>
    <row r="31" spans="1:16" x14ac:dyDescent="0.3">
      <c r="A31" t="s">
        <v>148</v>
      </c>
      <c r="B31">
        <v>9.3460507824176791E-3</v>
      </c>
      <c r="C31" s="18">
        <f>Table7[[#This Row],[Teva Adjusted %]]*$C$92</f>
        <v>13223.061134310952</v>
      </c>
      <c r="D31" s="18">
        <f>Table7[[#This Row],[Teva Adjusted %]]*$D$92</f>
        <v>13223.061134310952</v>
      </c>
      <c r="E31" s="18">
        <f>Table7[[#This Row],[Teva Adjusted %]]*$E$92</f>
        <v>10285.507833434065</v>
      </c>
      <c r="F31" s="18">
        <f>Table7[[#This Row],[Teva Adjusted %]]*$F$92</f>
        <v>10285.507833434065</v>
      </c>
      <c r="G31" s="18">
        <f>Table7[[#This Row],[Teva Adjusted %]]*$G$92</f>
        <v>10285.507833434065</v>
      </c>
      <c r="H31" s="18">
        <f>Table7[[#This Row],[Teva Adjusted %]]*$H$92</f>
        <v>10930.673894561454</v>
      </c>
      <c r="I31" s="18">
        <f>Table7[[#This Row],[Teva Adjusted %]]*$I$92</f>
        <v>10930.673894561454</v>
      </c>
      <c r="J31" s="18">
        <f>Table7[[#This Row],[Teva Adjusted %]]*$J$92</f>
        <v>10930.673894561454</v>
      </c>
      <c r="K31" s="18">
        <f>Table7[[#This Row],[Teva Adjusted %]]*$K$92</f>
        <v>10930.673894561454</v>
      </c>
      <c r="L31" s="18">
        <f>Table7[[#This Row],[Teva Adjusted %]]*$L$92</f>
        <v>10930.673894561454</v>
      </c>
      <c r="M31" s="18">
        <f>Table7[[#This Row],[Teva Adjusted %]]*$M$92</f>
        <v>10930.673894561454</v>
      </c>
      <c r="N31" s="18">
        <f>Table7[[#This Row],[Teva Adjusted %]]*$N$92</f>
        <v>10930.673894561454</v>
      </c>
      <c r="O31" s="18">
        <f>Table7[[#This Row],[Teva Adjusted %]]*$O$92</f>
        <v>10930.673894561454</v>
      </c>
      <c r="P31" s="18">
        <f>SUM(Table7[[#This Row],[Payment 1]:[Payment 13]])</f>
        <v>144748.03692541571</v>
      </c>
    </row>
    <row r="32" spans="1:16" x14ac:dyDescent="0.3">
      <c r="A32" t="s">
        <v>149</v>
      </c>
      <c r="B32">
        <v>1.5488258307130175E-2</v>
      </c>
      <c r="C32" s="18">
        <f>Table7[[#This Row],[Teva Adjusted %]]*$C$92</f>
        <v>21913.232789668473</v>
      </c>
      <c r="D32" s="18">
        <f>Table7[[#This Row],[Teva Adjusted %]]*$D$92</f>
        <v>21913.232789668473</v>
      </c>
      <c r="E32" s="18">
        <f>Table7[[#This Row],[Teva Adjusted %]]*$E$92</f>
        <v>17045.1248182741</v>
      </c>
      <c r="F32" s="18">
        <f>Table7[[#This Row],[Teva Adjusted %]]*$F$92</f>
        <v>17045.1248182741</v>
      </c>
      <c r="G32" s="18">
        <f>Table7[[#This Row],[Teva Adjusted %]]*$G$92</f>
        <v>17045.1248182741</v>
      </c>
      <c r="H32" s="18">
        <f>Table7[[#This Row],[Teva Adjusted %]]*$H$92</f>
        <v>18114.292837833036</v>
      </c>
      <c r="I32" s="18">
        <f>Table7[[#This Row],[Teva Adjusted %]]*$I$92</f>
        <v>18114.292837833036</v>
      </c>
      <c r="J32" s="18">
        <f>Table7[[#This Row],[Teva Adjusted %]]*$J$92</f>
        <v>18114.292837833036</v>
      </c>
      <c r="K32" s="18">
        <f>Table7[[#This Row],[Teva Adjusted %]]*$K$92</f>
        <v>18114.292837833036</v>
      </c>
      <c r="L32" s="18">
        <f>Table7[[#This Row],[Teva Adjusted %]]*$L$92</f>
        <v>18114.292837833036</v>
      </c>
      <c r="M32" s="18">
        <f>Table7[[#This Row],[Teva Adjusted %]]*$M$92</f>
        <v>18114.292837833036</v>
      </c>
      <c r="N32" s="18">
        <f>Table7[[#This Row],[Teva Adjusted %]]*$N$92</f>
        <v>18114.292837833036</v>
      </c>
      <c r="O32" s="18">
        <f>Table7[[#This Row],[Teva Adjusted %]]*$O$92</f>
        <v>18114.292837833036</v>
      </c>
      <c r="P32" s="18">
        <f>SUM(Table7[[#This Row],[Payment 1]:[Payment 13]])</f>
        <v>239876.18273682345</v>
      </c>
    </row>
    <row r="33" spans="1:16" x14ac:dyDescent="0.3">
      <c r="A33" t="s">
        <v>150</v>
      </c>
      <c r="B33">
        <v>1.2940796528898662E-2</v>
      </c>
      <c r="C33" s="18">
        <f>Table7[[#This Row],[Teva Adjusted %]]*$C$92</f>
        <v>18309.010683980112</v>
      </c>
      <c r="D33" s="18">
        <f>Table7[[#This Row],[Teva Adjusted %]]*$D$92</f>
        <v>18309.010683980112</v>
      </c>
      <c r="E33" s="18">
        <f>Table7[[#This Row],[Teva Adjusted %]]*$E$92</f>
        <v>14241.59435547513</v>
      </c>
      <c r="F33" s="18">
        <f>Table7[[#This Row],[Teva Adjusted %]]*$F$92</f>
        <v>14241.59435547513</v>
      </c>
      <c r="G33" s="18">
        <f>Table7[[#This Row],[Teva Adjusted %]]*$G$92</f>
        <v>14241.59435547513</v>
      </c>
      <c r="H33" s="18">
        <f>Table7[[#This Row],[Teva Adjusted %]]*$H$92</f>
        <v>15134.908860047168</v>
      </c>
      <c r="I33" s="18">
        <f>Table7[[#This Row],[Teva Adjusted %]]*$I$92</f>
        <v>15134.908860047168</v>
      </c>
      <c r="J33" s="18">
        <f>Table7[[#This Row],[Teva Adjusted %]]*$J$92</f>
        <v>15134.908860047168</v>
      </c>
      <c r="K33" s="18">
        <f>Table7[[#This Row],[Teva Adjusted %]]*$K$92</f>
        <v>15134.908860047168</v>
      </c>
      <c r="L33" s="18">
        <f>Table7[[#This Row],[Teva Adjusted %]]*$L$92</f>
        <v>15134.908860047168</v>
      </c>
      <c r="M33" s="18">
        <f>Table7[[#This Row],[Teva Adjusted %]]*$M$92</f>
        <v>15134.908860047168</v>
      </c>
      <c r="N33" s="18">
        <f>Table7[[#This Row],[Teva Adjusted %]]*$N$92</f>
        <v>15134.908860047168</v>
      </c>
      <c r="O33" s="18">
        <f>Table7[[#This Row],[Teva Adjusted %]]*$O$92</f>
        <v>15134.908860047168</v>
      </c>
      <c r="P33" s="18">
        <f>SUM(Table7[[#This Row],[Payment 1]:[Payment 13]])</f>
        <v>200422.075314763</v>
      </c>
    </row>
    <row r="34" spans="1:16" x14ac:dyDescent="0.3">
      <c r="A34" t="s">
        <v>151</v>
      </c>
      <c r="B34">
        <v>6.6318403362373296E-2</v>
      </c>
      <c r="C34" s="18">
        <f>Table7[[#This Row],[Teva Adjusted %]]*$C$92</f>
        <v>93829.182229599042</v>
      </c>
      <c r="D34" s="18">
        <f>Table7[[#This Row],[Teva Adjusted %]]*$D$92</f>
        <v>93829.182229599042</v>
      </c>
      <c r="E34" s="18">
        <f>Table7[[#This Row],[Teva Adjusted %]]*$E$92</f>
        <v>72984.672688465434</v>
      </c>
      <c r="F34" s="18">
        <f>Table7[[#This Row],[Teva Adjusted %]]*$F$92</f>
        <v>72984.672688465434</v>
      </c>
      <c r="G34" s="18">
        <f>Table7[[#This Row],[Teva Adjusted %]]*$G$92</f>
        <v>72984.672688465434</v>
      </c>
      <c r="H34" s="18">
        <f>Table7[[#This Row],[Teva Adjusted %]]*$H$92</f>
        <v>77562.69008572289</v>
      </c>
      <c r="I34" s="18">
        <f>Table7[[#This Row],[Teva Adjusted %]]*$I$92</f>
        <v>77562.69008572289</v>
      </c>
      <c r="J34" s="18">
        <f>Table7[[#This Row],[Teva Adjusted %]]*$J$92</f>
        <v>77562.69008572289</v>
      </c>
      <c r="K34" s="18">
        <f>Table7[[#This Row],[Teva Adjusted %]]*$K$92</f>
        <v>77562.69008572289</v>
      </c>
      <c r="L34" s="18">
        <f>Table7[[#This Row],[Teva Adjusted %]]*$L$92</f>
        <v>77562.69008572289</v>
      </c>
      <c r="M34" s="18">
        <f>Table7[[#This Row],[Teva Adjusted %]]*$M$92</f>
        <v>77562.69008572289</v>
      </c>
      <c r="N34" s="18">
        <f>Table7[[#This Row],[Teva Adjusted %]]*$N$92</f>
        <v>77562.69008572289</v>
      </c>
      <c r="O34" s="18">
        <f>Table7[[#This Row],[Teva Adjusted %]]*$O$92</f>
        <v>77562.69008572289</v>
      </c>
      <c r="P34" s="18">
        <f>SUM(Table7[[#This Row],[Payment 1]:[Payment 13]])</f>
        <v>1027113.9032103773</v>
      </c>
    </row>
    <row r="35" spans="1:16" x14ac:dyDescent="0.3">
      <c r="A35" t="s">
        <v>152</v>
      </c>
      <c r="B35">
        <v>1.4665624073189684E-2</v>
      </c>
      <c r="C35" s="18">
        <f>Table7[[#This Row],[Teva Adjusted %]]*$C$92</f>
        <v>20749.346243381351</v>
      </c>
      <c r="D35" s="18">
        <f>Table7[[#This Row],[Teva Adjusted %]]*$D$92</f>
        <v>20749.346243381351</v>
      </c>
      <c r="E35" s="18">
        <f>Table7[[#This Row],[Teva Adjusted %]]*$E$92</f>
        <v>16139.80009297262</v>
      </c>
      <c r="F35" s="18">
        <f>Table7[[#This Row],[Teva Adjusted %]]*$F$92</f>
        <v>16139.80009297262</v>
      </c>
      <c r="G35" s="18">
        <f>Table7[[#This Row],[Teva Adjusted %]]*$G$92</f>
        <v>16139.80009297262</v>
      </c>
      <c r="H35" s="18">
        <f>Table7[[#This Row],[Teva Adjusted %]]*$H$92</f>
        <v>17152.180951749338</v>
      </c>
      <c r="I35" s="18">
        <f>Table7[[#This Row],[Teva Adjusted %]]*$I$92</f>
        <v>17152.180951749338</v>
      </c>
      <c r="J35" s="18">
        <f>Table7[[#This Row],[Teva Adjusted %]]*$J$92</f>
        <v>17152.180951749338</v>
      </c>
      <c r="K35" s="18">
        <f>Table7[[#This Row],[Teva Adjusted %]]*$K$92</f>
        <v>17152.180951749338</v>
      </c>
      <c r="L35" s="18">
        <f>Table7[[#This Row],[Teva Adjusted %]]*$L$92</f>
        <v>17152.180951749338</v>
      </c>
      <c r="M35" s="18">
        <f>Table7[[#This Row],[Teva Adjusted %]]*$M$92</f>
        <v>17152.180951749338</v>
      </c>
      <c r="N35" s="18">
        <f>Table7[[#This Row],[Teva Adjusted %]]*$N$92</f>
        <v>17152.180951749338</v>
      </c>
      <c r="O35" s="18">
        <f>Table7[[#This Row],[Teva Adjusted %]]*$O$92</f>
        <v>17152.180951749338</v>
      </c>
      <c r="P35" s="18">
        <f>SUM(Table7[[#This Row],[Payment 1]:[Payment 13]])</f>
        <v>227135.54037967522</v>
      </c>
    </row>
    <row r="36" spans="1:16" x14ac:dyDescent="0.3">
      <c r="A36" t="s">
        <v>153</v>
      </c>
      <c r="B36">
        <v>2.2855273268378349E-3</v>
      </c>
      <c r="C36" s="18">
        <f>Table7[[#This Row],[Teva Adjusted %]]*$C$92</f>
        <v>3233.629719171834</v>
      </c>
      <c r="D36" s="18">
        <f>Table7[[#This Row],[Teva Adjusted %]]*$D$92</f>
        <v>3233.629719171834</v>
      </c>
      <c r="E36" s="18">
        <f>Table7[[#This Row],[Teva Adjusted %]]*$E$92</f>
        <v>2515.2665838219491</v>
      </c>
      <c r="F36" s="18">
        <f>Table7[[#This Row],[Teva Adjusted %]]*$F$92</f>
        <v>2515.2665838219491</v>
      </c>
      <c r="G36" s="18">
        <f>Table7[[#This Row],[Teva Adjusted %]]*$G$92</f>
        <v>2515.2665838219491</v>
      </c>
      <c r="H36" s="18">
        <f>Table7[[#This Row],[Teva Adjusted %]]*$H$92</f>
        <v>2673.0385344975193</v>
      </c>
      <c r="I36" s="18">
        <f>Table7[[#This Row],[Teva Adjusted %]]*$I$92</f>
        <v>2673.0385344975193</v>
      </c>
      <c r="J36" s="18">
        <f>Table7[[#This Row],[Teva Adjusted %]]*$J$92</f>
        <v>2673.0385344975193</v>
      </c>
      <c r="K36" s="18">
        <f>Table7[[#This Row],[Teva Adjusted %]]*$K$92</f>
        <v>2673.0385344975193</v>
      </c>
      <c r="L36" s="18">
        <f>Table7[[#This Row],[Teva Adjusted %]]*$L$92</f>
        <v>2673.0385344975193</v>
      </c>
      <c r="M36" s="18">
        <f>Table7[[#This Row],[Teva Adjusted %]]*$M$92</f>
        <v>2673.0385344975193</v>
      </c>
      <c r="N36" s="18">
        <f>Table7[[#This Row],[Teva Adjusted %]]*$N$92</f>
        <v>2673.0385344975193</v>
      </c>
      <c r="O36" s="18">
        <f>Table7[[#This Row],[Teva Adjusted %]]*$O$92</f>
        <v>2673.0385344975193</v>
      </c>
      <c r="P36" s="18">
        <f>SUM(Table7[[#This Row],[Payment 1]:[Payment 13]])</f>
        <v>35397.367465789663</v>
      </c>
    </row>
    <row r="37" spans="1:16" x14ac:dyDescent="0.3">
      <c r="A37" t="s">
        <v>154</v>
      </c>
      <c r="B37">
        <v>8.3142266292569585E-4</v>
      </c>
      <c r="C37" s="18">
        <f>Table7[[#This Row],[Teva Adjusted %]]*$C$92</f>
        <v>1176.3206680837357</v>
      </c>
      <c r="D37" s="18">
        <f>Table7[[#This Row],[Teva Adjusted %]]*$D$92</f>
        <v>1176.3206680837357</v>
      </c>
      <c r="E37" s="18">
        <f>Table7[[#This Row],[Teva Adjusted %]]*$E$92</f>
        <v>914.99655967038166</v>
      </c>
      <c r="F37" s="18">
        <f>Table7[[#This Row],[Teva Adjusted %]]*$F$92</f>
        <v>914.99655967038166</v>
      </c>
      <c r="G37" s="18">
        <f>Table7[[#This Row],[Teva Adjusted %]]*$G$92</f>
        <v>914.99655967038166</v>
      </c>
      <c r="H37" s="18">
        <f>Table7[[#This Row],[Teva Adjusted %]]*$H$92</f>
        <v>972.39039339327701</v>
      </c>
      <c r="I37" s="18">
        <f>Table7[[#This Row],[Teva Adjusted %]]*$I$92</f>
        <v>972.39039339327701</v>
      </c>
      <c r="J37" s="18">
        <f>Table7[[#This Row],[Teva Adjusted %]]*$J$92</f>
        <v>972.39039339327701</v>
      </c>
      <c r="K37" s="18">
        <f>Table7[[#This Row],[Teva Adjusted %]]*$K$92</f>
        <v>972.39039339327701</v>
      </c>
      <c r="L37" s="18">
        <f>Table7[[#This Row],[Teva Adjusted %]]*$L$92</f>
        <v>972.39039339327701</v>
      </c>
      <c r="M37" s="18">
        <f>Table7[[#This Row],[Teva Adjusted %]]*$M$92</f>
        <v>972.39039339327701</v>
      </c>
      <c r="N37" s="18">
        <f>Table7[[#This Row],[Teva Adjusted %]]*$N$92</f>
        <v>972.39039339327701</v>
      </c>
      <c r="O37" s="18">
        <f>Table7[[#This Row],[Teva Adjusted %]]*$O$92</f>
        <v>972.39039339327701</v>
      </c>
      <c r="P37" s="18">
        <f>SUM(Table7[[#This Row],[Payment 1]:[Payment 13]])</f>
        <v>12876.754162324836</v>
      </c>
    </row>
    <row r="38" spans="1:16" x14ac:dyDescent="0.3">
      <c r="A38" t="s">
        <v>155</v>
      </c>
      <c r="B38">
        <v>1.8100763599917011E-2</v>
      </c>
      <c r="C38" s="18">
        <f>Table7[[#This Row],[Teva Adjusted %]]*$C$92</f>
        <v>25609.480328278027</v>
      </c>
      <c r="D38" s="18">
        <f>Table7[[#This Row],[Teva Adjusted %]]*$D$92</f>
        <v>25609.480328278027</v>
      </c>
      <c r="E38" s="18">
        <f>Table7[[#This Row],[Teva Adjusted %]]*$E$92</f>
        <v>19920.236914219277</v>
      </c>
      <c r="F38" s="18">
        <f>Table7[[#This Row],[Teva Adjusted %]]*$F$92</f>
        <v>19920.236914219277</v>
      </c>
      <c r="G38" s="18">
        <f>Table7[[#This Row],[Teva Adjusted %]]*$G$92</f>
        <v>19920.236914219277</v>
      </c>
      <c r="H38" s="18">
        <f>Table7[[#This Row],[Teva Adjusted %]]*$H$92</f>
        <v>21169.748459472787</v>
      </c>
      <c r="I38" s="18">
        <f>Table7[[#This Row],[Teva Adjusted %]]*$I$92</f>
        <v>21169.748459472787</v>
      </c>
      <c r="J38" s="18">
        <f>Table7[[#This Row],[Teva Adjusted %]]*$J$92</f>
        <v>21169.748459472787</v>
      </c>
      <c r="K38" s="18">
        <f>Table7[[#This Row],[Teva Adjusted %]]*$K$92</f>
        <v>21169.748459472787</v>
      </c>
      <c r="L38" s="18">
        <f>Table7[[#This Row],[Teva Adjusted %]]*$L$92</f>
        <v>21169.748459472787</v>
      </c>
      <c r="M38" s="18">
        <f>Table7[[#This Row],[Teva Adjusted %]]*$M$92</f>
        <v>21169.748459472787</v>
      </c>
      <c r="N38" s="18">
        <f>Table7[[#This Row],[Teva Adjusted %]]*$N$92</f>
        <v>21169.748459472787</v>
      </c>
      <c r="O38" s="18">
        <f>Table7[[#This Row],[Teva Adjusted %]]*$O$92</f>
        <v>21169.748459472787</v>
      </c>
      <c r="P38" s="18">
        <f>SUM(Table7[[#This Row],[Payment 1]:[Payment 13]])</f>
        <v>280337.65907499619</v>
      </c>
    </row>
    <row r="39" spans="1:16" x14ac:dyDescent="0.3">
      <c r="A39" t="s">
        <v>156</v>
      </c>
      <c r="B39">
        <v>8.3142266292569585E-4</v>
      </c>
      <c r="C39" s="18">
        <f>Table7[[#This Row],[Teva Adjusted %]]*$C$92</f>
        <v>1176.3206680837357</v>
      </c>
      <c r="D39" s="18">
        <f>Table7[[#This Row],[Teva Adjusted %]]*$D$92</f>
        <v>1176.3206680837357</v>
      </c>
      <c r="E39" s="18">
        <f>Table7[[#This Row],[Teva Adjusted %]]*$E$92</f>
        <v>914.99655967038166</v>
      </c>
      <c r="F39" s="18">
        <f>Table7[[#This Row],[Teva Adjusted %]]*$F$92</f>
        <v>914.99655967038166</v>
      </c>
      <c r="G39" s="18">
        <f>Table7[[#This Row],[Teva Adjusted %]]*$G$92</f>
        <v>914.99655967038166</v>
      </c>
      <c r="H39" s="18">
        <f>Table7[[#This Row],[Teva Adjusted %]]*$H$92</f>
        <v>972.39039339327701</v>
      </c>
      <c r="I39" s="18">
        <f>Table7[[#This Row],[Teva Adjusted %]]*$I$92</f>
        <v>972.39039339327701</v>
      </c>
      <c r="J39" s="18">
        <f>Table7[[#This Row],[Teva Adjusted %]]*$J$92</f>
        <v>972.39039339327701</v>
      </c>
      <c r="K39" s="18">
        <f>Table7[[#This Row],[Teva Adjusted %]]*$K$92</f>
        <v>972.39039339327701</v>
      </c>
      <c r="L39" s="18">
        <f>Table7[[#This Row],[Teva Adjusted %]]*$L$92</f>
        <v>972.39039339327701</v>
      </c>
      <c r="M39" s="18">
        <f>Table7[[#This Row],[Teva Adjusted %]]*$M$92</f>
        <v>972.39039339327701</v>
      </c>
      <c r="N39" s="18">
        <f>Table7[[#This Row],[Teva Adjusted %]]*$N$92</f>
        <v>972.39039339327701</v>
      </c>
      <c r="O39" s="18">
        <f>Table7[[#This Row],[Teva Adjusted %]]*$O$92</f>
        <v>972.39039339327701</v>
      </c>
      <c r="P39" s="18">
        <f>SUM(Table7[[#This Row],[Payment 1]:[Payment 13]])</f>
        <v>12876.754162324836</v>
      </c>
    </row>
    <row r="40" spans="1:16" x14ac:dyDescent="0.3">
      <c r="A40" t="s">
        <v>157</v>
      </c>
      <c r="B40">
        <v>2.0785566573142396E-3</v>
      </c>
      <c r="C40" s="18">
        <f>Table7[[#This Row],[Teva Adjusted %]]*$C$92</f>
        <v>2940.8016702093391</v>
      </c>
      <c r="D40" s="18">
        <f>Table7[[#This Row],[Teva Adjusted %]]*$D$92</f>
        <v>2940.8016702093391</v>
      </c>
      <c r="E40" s="18">
        <f>Table7[[#This Row],[Teva Adjusted %]]*$E$92</f>
        <v>2287.491399175954</v>
      </c>
      <c r="F40" s="18">
        <f>Table7[[#This Row],[Teva Adjusted %]]*$F$92</f>
        <v>2287.491399175954</v>
      </c>
      <c r="G40" s="18">
        <f>Table7[[#This Row],[Teva Adjusted %]]*$G$92</f>
        <v>2287.491399175954</v>
      </c>
      <c r="H40" s="18">
        <f>Table7[[#This Row],[Teva Adjusted %]]*$H$92</f>
        <v>2430.9759834831925</v>
      </c>
      <c r="I40" s="18">
        <f>Table7[[#This Row],[Teva Adjusted %]]*$I$92</f>
        <v>2430.9759834831925</v>
      </c>
      <c r="J40" s="18">
        <f>Table7[[#This Row],[Teva Adjusted %]]*$J$92</f>
        <v>2430.9759834831925</v>
      </c>
      <c r="K40" s="18">
        <f>Table7[[#This Row],[Teva Adjusted %]]*$K$92</f>
        <v>2430.9759834831925</v>
      </c>
      <c r="L40" s="18">
        <f>Table7[[#This Row],[Teva Adjusted %]]*$L$92</f>
        <v>2430.9759834831925</v>
      </c>
      <c r="M40" s="18">
        <f>Table7[[#This Row],[Teva Adjusted %]]*$M$92</f>
        <v>2430.9759834831925</v>
      </c>
      <c r="N40" s="18">
        <f>Table7[[#This Row],[Teva Adjusted %]]*$N$92</f>
        <v>2430.9759834831925</v>
      </c>
      <c r="O40" s="18">
        <f>Table7[[#This Row],[Teva Adjusted %]]*$O$92</f>
        <v>2430.9759834831925</v>
      </c>
      <c r="P40" s="18">
        <f>SUM(Table7[[#This Row],[Payment 1]:[Payment 13]])</f>
        <v>32191.885405812085</v>
      </c>
    </row>
    <row r="41" spans="1:16" x14ac:dyDescent="0.3">
      <c r="A41" t="s">
        <v>158</v>
      </c>
      <c r="B41">
        <v>8.6070776101378893E-3</v>
      </c>
      <c r="C41" s="18">
        <f>Table7[[#This Row],[Teva Adjusted %]]*$C$92</f>
        <v>12177.540661422656</v>
      </c>
      <c r="D41" s="18">
        <f>Table7[[#This Row],[Teva Adjusted %]]*$D$92</f>
        <v>12177.540661422656</v>
      </c>
      <c r="E41" s="18">
        <f>Table7[[#This Row],[Teva Adjusted %]]*$E$92</f>
        <v>9472.2537083355473</v>
      </c>
      <c r="F41" s="18">
        <f>Table7[[#This Row],[Teva Adjusted %]]*$F$92</f>
        <v>9472.2537083355473</v>
      </c>
      <c r="G41" s="18">
        <f>Table7[[#This Row],[Teva Adjusted %]]*$G$92</f>
        <v>9472.2537083355473</v>
      </c>
      <c r="H41" s="18">
        <f>Table7[[#This Row],[Teva Adjusted %]]*$H$92</f>
        <v>10066.407804951095</v>
      </c>
      <c r="I41" s="18">
        <f>Table7[[#This Row],[Teva Adjusted %]]*$I$92</f>
        <v>10066.407804951095</v>
      </c>
      <c r="J41" s="18">
        <f>Table7[[#This Row],[Teva Adjusted %]]*$J$92</f>
        <v>10066.407804951095</v>
      </c>
      <c r="K41" s="18">
        <f>Table7[[#This Row],[Teva Adjusted %]]*$K$92</f>
        <v>10066.407804951095</v>
      </c>
      <c r="L41" s="18">
        <f>Table7[[#This Row],[Teva Adjusted %]]*$L$92</f>
        <v>10066.407804951095</v>
      </c>
      <c r="M41" s="18">
        <f>Table7[[#This Row],[Teva Adjusted %]]*$M$92</f>
        <v>10066.407804951095</v>
      </c>
      <c r="N41" s="18">
        <f>Table7[[#This Row],[Teva Adjusted %]]*$N$92</f>
        <v>10066.407804951095</v>
      </c>
      <c r="O41" s="18">
        <f>Table7[[#This Row],[Teva Adjusted %]]*$O$92</f>
        <v>10066.407804951095</v>
      </c>
      <c r="P41" s="18">
        <f>SUM(Table7[[#This Row],[Payment 1]:[Payment 13]])</f>
        <v>133303.10488746074</v>
      </c>
    </row>
    <row r="42" spans="1:16" x14ac:dyDescent="0.3">
      <c r="A42" t="s">
        <v>159</v>
      </c>
      <c r="B42">
        <v>8.3142266292569585E-4</v>
      </c>
      <c r="C42" s="18">
        <f>Table7[[#This Row],[Teva Adjusted %]]*$C$92</f>
        <v>1176.3206680837357</v>
      </c>
      <c r="D42" s="18">
        <f>Table7[[#This Row],[Teva Adjusted %]]*$D$92</f>
        <v>1176.3206680837357</v>
      </c>
      <c r="E42" s="18">
        <f>Table7[[#This Row],[Teva Adjusted %]]*$E$92</f>
        <v>914.99655967038166</v>
      </c>
      <c r="F42" s="18">
        <f>Table7[[#This Row],[Teva Adjusted %]]*$F$92</f>
        <v>914.99655967038166</v>
      </c>
      <c r="G42" s="18">
        <f>Table7[[#This Row],[Teva Adjusted %]]*$G$92</f>
        <v>914.99655967038166</v>
      </c>
      <c r="H42" s="18">
        <f>Table7[[#This Row],[Teva Adjusted %]]*$H$92</f>
        <v>972.39039339327701</v>
      </c>
      <c r="I42" s="18">
        <f>Table7[[#This Row],[Teva Adjusted %]]*$I$92</f>
        <v>972.39039339327701</v>
      </c>
      <c r="J42" s="18">
        <f>Table7[[#This Row],[Teva Adjusted %]]*$J$92</f>
        <v>972.39039339327701</v>
      </c>
      <c r="K42" s="18">
        <f>Table7[[#This Row],[Teva Adjusted %]]*$K$92</f>
        <v>972.39039339327701</v>
      </c>
      <c r="L42" s="18">
        <f>Table7[[#This Row],[Teva Adjusted %]]*$L$92</f>
        <v>972.39039339327701</v>
      </c>
      <c r="M42" s="18">
        <f>Table7[[#This Row],[Teva Adjusted %]]*$M$92</f>
        <v>972.39039339327701</v>
      </c>
      <c r="N42" s="18">
        <f>Table7[[#This Row],[Teva Adjusted %]]*$N$92</f>
        <v>972.39039339327701</v>
      </c>
      <c r="O42" s="18">
        <f>Table7[[#This Row],[Teva Adjusted %]]*$O$92</f>
        <v>972.39039339327701</v>
      </c>
      <c r="P42" s="18">
        <f>SUM(Table7[[#This Row],[Payment 1]:[Payment 13]])</f>
        <v>12876.754162324836</v>
      </c>
    </row>
    <row r="43" spans="1:16" x14ac:dyDescent="0.3">
      <c r="A43" t="s">
        <v>160</v>
      </c>
      <c r="B43">
        <v>1.0419853621813153E-2</v>
      </c>
      <c r="C43" s="18">
        <f>Table7[[#This Row],[Teva Adjusted %]]*$C$92</f>
        <v>14742.308239006225</v>
      </c>
      <c r="D43" s="18">
        <f>Table7[[#This Row],[Teva Adjusted %]]*$D$92</f>
        <v>14742.308239006225</v>
      </c>
      <c r="E43" s="18">
        <f>Table7[[#This Row],[Teva Adjusted %]]*$E$92</f>
        <v>11467.248418125047</v>
      </c>
      <c r="F43" s="18">
        <f>Table7[[#This Row],[Teva Adjusted %]]*$F$92</f>
        <v>11467.248418125047</v>
      </c>
      <c r="G43" s="18">
        <f>Table7[[#This Row],[Teva Adjusted %]]*$G$92</f>
        <v>11467.248418125047</v>
      </c>
      <c r="H43" s="18">
        <f>Table7[[#This Row],[Teva Adjusted %]]*$H$92</f>
        <v>12186.540028583229</v>
      </c>
      <c r="I43" s="18">
        <f>Table7[[#This Row],[Teva Adjusted %]]*$I$92</f>
        <v>12186.540028583229</v>
      </c>
      <c r="J43" s="18">
        <f>Table7[[#This Row],[Teva Adjusted %]]*$J$92</f>
        <v>12186.540028583229</v>
      </c>
      <c r="K43" s="18">
        <f>Table7[[#This Row],[Teva Adjusted %]]*$K$92</f>
        <v>12186.540028583229</v>
      </c>
      <c r="L43" s="18">
        <f>Table7[[#This Row],[Teva Adjusted %]]*$L$92</f>
        <v>12186.540028583229</v>
      </c>
      <c r="M43" s="18">
        <f>Table7[[#This Row],[Teva Adjusted %]]*$M$92</f>
        <v>12186.540028583229</v>
      </c>
      <c r="N43" s="18">
        <f>Table7[[#This Row],[Teva Adjusted %]]*$N$92</f>
        <v>12186.540028583229</v>
      </c>
      <c r="O43" s="18">
        <f>Table7[[#This Row],[Teva Adjusted %]]*$O$92</f>
        <v>12186.540028583229</v>
      </c>
      <c r="P43" s="18">
        <f>SUM(Table7[[#This Row],[Payment 1]:[Payment 13]])</f>
        <v>161378.68196105343</v>
      </c>
    </row>
    <row r="44" spans="1:16" x14ac:dyDescent="0.3">
      <c r="A44" t="s">
        <v>161</v>
      </c>
      <c r="B44">
        <v>2.4025563522475828E-3</v>
      </c>
      <c r="C44" s="18">
        <f>Table7[[#This Row],[Teva Adjusted %]]*$C$92</f>
        <v>3399.2057462562511</v>
      </c>
      <c r="D44" s="18">
        <f>Table7[[#This Row],[Teva Adjusted %]]*$D$92</f>
        <v>3399.2057462562511</v>
      </c>
      <c r="E44" s="18">
        <f>Table7[[#This Row],[Teva Adjusted %]]*$E$92</f>
        <v>2644.059267021958</v>
      </c>
      <c r="F44" s="18">
        <f>Table7[[#This Row],[Teva Adjusted %]]*$F$92</f>
        <v>2644.059267021958</v>
      </c>
      <c r="G44" s="18">
        <f>Table7[[#This Row],[Teva Adjusted %]]*$G$92</f>
        <v>2644.059267021958</v>
      </c>
      <c r="H44" s="18">
        <f>Table7[[#This Row],[Teva Adjusted %]]*$H$92</f>
        <v>2809.9098336946963</v>
      </c>
      <c r="I44" s="18">
        <f>Table7[[#This Row],[Teva Adjusted %]]*$I$92</f>
        <v>2809.9098336946963</v>
      </c>
      <c r="J44" s="18">
        <f>Table7[[#This Row],[Teva Adjusted %]]*$J$92</f>
        <v>2809.9098336946963</v>
      </c>
      <c r="K44" s="18">
        <f>Table7[[#This Row],[Teva Adjusted %]]*$K$92</f>
        <v>2809.9098336946963</v>
      </c>
      <c r="L44" s="18">
        <f>Table7[[#This Row],[Teva Adjusted %]]*$L$92</f>
        <v>2809.9098336946963</v>
      </c>
      <c r="M44" s="18">
        <f>Table7[[#This Row],[Teva Adjusted %]]*$M$92</f>
        <v>2809.9098336946963</v>
      </c>
      <c r="N44" s="18">
        <f>Table7[[#This Row],[Teva Adjusted %]]*$N$92</f>
        <v>2809.9098336946963</v>
      </c>
      <c r="O44" s="18">
        <f>Table7[[#This Row],[Teva Adjusted %]]*$O$92</f>
        <v>2809.9098336946963</v>
      </c>
      <c r="P44" s="18">
        <f>SUM(Table7[[#This Row],[Payment 1]:[Payment 13]])</f>
        <v>37209.867963135948</v>
      </c>
    </row>
    <row r="45" spans="1:16" x14ac:dyDescent="0.3">
      <c r="A45" t="s">
        <v>162</v>
      </c>
      <c r="B45">
        <v>2.0785566573142396E-3</v>
      </c>
      <c r="C45" s="18">
        <f>Table7[[#This Row],[Teva Adjusted %]]*$C$92</f>
        <v>2940.8016702093391</v>
      </c>
      <c r="D45" s="18">
        <f>Table7[[#This Row],[Teva Adjusted %]]*$D$92</f>
        <v>2940.8016702093391</v>
      </c>
      <c r="E45" s="18">
        <f>Table7[[#This Row],[Teva Adjusted %]]*$E$92</f>
        <v>2287.491399175954</v>
      </c>
      <c r="F45" s="18">
        <f>Table7[[#This Row],[Teva Adjusted %]]*$F$92</f>
        <v>2287.491399175954</v>
      </c>
      <c r="G45" s="18">
        <f>Table7[[#This Row],[Teva Adjusted %]]*$G$92</f>
        <v>2287.491399175954</v>
      </c>
      <c r="H45" s="18">
        <f>Table7[[#This Row],[Teva Adjusted %]]*$H$92</f>
        <v>2430.9759834831925</v>
      </c>
      <c r="I45" s="18">
        <f>Table7[[#This Row],[Teva Adjusted %]]*$I$92</f>
        <v>2430.9759834831925</v>
      </c>
      <c r="J45" s="18">
        <f>Table7[[#This Row],[Teva Adjusted %]]*$J$92</f>
        <v>2430.9759834831925</v>
      </c>
      <c r="K45" s="18">
        <f>Table7[[#This Row],[Teva Adjusted %]]*$K$92</f>
        <v>2430.9759834831925</v>
      </c>
      <c r="L45" s="18">
        <f>Table7[[#This Row],[Teva Adjusted %]]*$L$92</f>
        <v>2430.9759834831925</v>
      </c>
      <c r="M45" s="18">
        <f>Table7[[#This Row],[Teva Adjusted %]]*$M$92</f>
        <v>2430.9759834831925</v>
      </c>
      <c r="N45" s="18">
        <f>Table7[[#This Row],[Teva Adjusted %]]*$N$92</f>
        <v>2430.9759834831925</v>
      </c>
      <c r="O45" s="18">
        <f>Table7[[#This Row],[Teva Adjusted %]]*$O$92</f>
        <v>2430.9759834831925</v>
      </c>
      <c r="P45" s="18">
        <f>SUM(Table7[[#This Row],[Payment 1]:[Payment 13]])</f>
        <v>32191.885405812085</v>
      </c>
    </row>
    <row r="46" spans="1:16" x14ac:dyDescent="0.3">
      <c r="A46" t="s">
        <v>163</v>
      </c>
      <c r="B46">
        <v>2.0785566573142396E-3</v>
      </c>
      <c r="C46" s="18">
        <f>Table7[[#This Row],[Teva Adjusted %]]*$C$92</f>
        <v>2940.8016702093391</v>
      </c>
      <c r="D46" s="18">
        <f>Table7[[#This Row],[Teva Adjusted %]]*$D$92</f>
        <v>2940.8016702093391</v>
      </c>
      <c r="E46" s="18">
        <f>Table7[[#This Row],[Teva Adjusted %]]*$E$92</f>
        <v>2287.491399175954</v>
      </c>
      <c r="F46" s="18">
        <f>Table7[[#This Row],[Teva Adjusted %]]*$F$92</f>
        <v>2287.491399175954</v>
      </c>
      <c r="G46" s="18">
        <f>Table7[[#This Row],[Teva Adjusted %]]*$G$92</f>
        <v>2287.491399175954</v>
      </c>
      <c r="H46" s="18">
        <f>Table7[[#This Row],[Teva Adjusted %]]*$H$92</f>
        <v>2430.9759834831925</v>
      </c>
      <c r="I46" s="18">
        <f>Table7[[#This Row],[Teva Adjusted %]]*$I$92</f>
        <v>2430.9759834831925</v>
      </c>
      <c r="J46" s="18">
        <f>Table7[[#This Row],[Teva Adjusted %]]*$J$92</f>
        <v>2430.9759834831925</v>
      </c>
      <c r="K46" s="18">
        <f>Table7[[#This Row],[Teva Adjusted %]]*$K$92</f>
        <v>2430.9759834831925</v>
      </c>
      <c r="L46" s="18">
        <f>Table7[[#This Row],[Teva Adjusted %]]*$L$92</f>
        <v>2430.9759834831925</v>
      </c>
      <c r="M46" s="18">
        <f>Table7[[#This Row],[Teva Adjusted %]]*$M$92</f>
        <v>2430.9759834831925</v>
      </c>
      <c r="N46" s="18">
        <f>Table7[[#This Row],[Teva Adjusted %]]*$N$92</f>
        <v>2430.9759834831925</v>
      </c>
      <c r="O46" s="18">
        <f>Table7[[#This Row],[Teva Adjusted %]]*$O$92</f>
        <v>2430.9759834831925</v>
      </c>
      <c r="P46" s="18">
        <f>SUM(Table7[[#This Row],[Payment 1]:[Payment 13]])</f>
        <v>32191.885405812085</v>
      </c>
    </row>
    <row r="47" spans="1:16" x14ac:dyDescent="0.3">
      <c r="A47" t="s">
        <v>164</v>
      </c>
      <c r="B47">
        <v>2.9463624265255719E-3</v>
      </c>
      <c r="C47" s="18">
        <f>Table7[[#This Row],[Teva Adjusted %]]*$C$92</f>
        <v>4168.5982022565113</v>
      </c>
      <c r="D47" s="18">
        <f>Table7[[#This Row],[Teva Adjusted %]]*$D$92</f>
        <v>4168.5982022565113</v>
      </c>
      <c r="E47" s="18">
        <f>Table7[[#This Row],[Teva Adjusted %]]*$E$92</f>
        <v>3242.5282639353663</v>
      </c>
      <c r="F47" s="18">
        <f>Table7[[#This Row],[Teva Adjusted %]]*$F$92</f>
        <v>3242.5282639353663</v>
      </c>
      <c r="G47" s="18">
        <f>Table7[[#This Row],[Teva Adjusted %]]*$G$92</f>
        <v>3242.5282639353663</v>
      </c>
      <c r="H47" s="18">
        <f>Table7[[#This Row],[Teva Adjusted %]]*$H$92</f>
        <v>3445.9182396191395</v>
      </c>
      <c r="I47" s="18">
        <f>Table7[[#This Row],[Teva Adjusted %]]*$I$92</f>
        <v>3445.9182396191395</v>
      </c>
      <c r="J47" s="18">
        <f>Table7[[#This Row],[Teva Adjusted %]]*$J$92</f>
        <v>3445.9182396191395</v>
      </c>
      <c r="K47" s="18">
        <f>Table7[[#This Row],[Teva Adjusted %]]*$K$92</f>
        <v>3445.9182396191395</v>
      </c>
      <c r="L47" s="18">
        <f>Table7[[#This Row],[Teva Adjusted %]]*$L$92</f>
        <v>3445.9182396191395</v>
      </c>
      <c r="M47" s="18">
        <f>Table7[[#This Row],[Teva Adjusted %]]*$M$92</f>
        <v>3445.9182396191395</v>
      </c>
      <c r="N47" s="18">
        <f>Table7[[#This Row],[Teva Adjusted %]]*$N$92</f>
        <v>3445.9182396191395</v>
      </c>
      <c r="O47" s="18">
        <f>Table7[[#This Row],[Teva Adjusted %]]*$O$92</f>
        <v>3445.9182396191395</v>
      </c>
      <c r="P47" s="18">
        <f>SUM(Table7[[#This Row],[Payment 1]:[Payment 13]])</f>
        <v>45632.127113272232</v>
      </c>
    </row>
    <row r="48" spans="1:16" x14ac:dyDescent="0.3">
      <c r="A48" t="s">
        <v>165</v>
      </c>
      <c r="B48">
        <v>5.5627525754909672E-3</v>
      </c>
      <c r="C48" s="18">
        <f>Table7[[#This Row],[Teva Adjusted %]]*$C$92</f>
        <v>7870.3421469891473</v>
      </c>
      <c r="D48" s="18">
        <f>Table7[[#This Row],[Teva Adjusted %]]*$D$92</f>
        <v>7870.3421469891473</v>
      </c>
      <c r="E48" s="18">
        <f>Table7[[#This Row],[Teva Adjusted %]]*$E$92</f>
        <v>6121.9157184877859</v>
      </c>
      <c r="F48" s="18">
        <f>Table7[[#This Row],[Teva Adjusted %]]*$F$92</f>
        <v>6121.9157184877859</v>
      </c>
      <c r="G48" s="18">
        <f>Table7[[#This Row],[Teva Adjusted %]]*$G$92</f>
        <v>6121.9157184877859</v>
      </c>
      <c r="H48" s="18">
        <f>Table7[[#This Row],[Teva Adjusted %]]*$H$92</f>
        <v>6505.9173948864836</v>
      </c>
      <c r="I48" s="18">
        <f>Table7[[#This Row],[Teva Adjusted %]]*$I$92</f>
        <v>6505.9173948864836</v>
      </c>
      <c r="J48" s="18">
        <f>Table7[[#This Row],[Teva Adjusted %]]*$J$92</f>
        <v>6505.9173948864836</v>
      </c>
      <c r="K48" s="18">
        <f>Table7[[#This Row],[Teva Adjusted %]]*$K$92</f>
        <v>6505.9173948864836</v>
      </c>
      <c r="L48" s="18">
        <f>Table7[[#This Row],[Teva Adjusted %]]*$L$92</f>
        <v>6505.9173948864836</v>
      </c>
      <c r="M48" s="18">
        <f>Table7[[#This Row],[Teva Adjusted %]]*$M$92</f>
        <v>6505.9173948864836</v>
      </c>
      <c r="N48" s="18">
        <f>Table7[[#This Row],[Teva Adjusted %]]*$N$92</f>
        <v>6505.9173948864836</v>
      </c>
      <c r="O48" s="18">
        <f>Table7[[#This Row],[Teva Adjusted %]]*$O$92</f>
        <v>6505.9173948864836</v>
      </c>
      <c r="P48" s="18">
        <f>SUM(Table7[[#This Row],[Payment 1]:[Payment 13]])</f>
        <v>86153.770608533494</v>
      </c>
    </row>
    <row r="49" spans="1:16" x14ac:dyDescent="0.3">
      <c r="A49" t="s">
        <v>166</v>
      </c>
      <c r="B49">
        <v>2.0785566573142396E-3</v>
      </c>
      <c r="C49" s="18">
        <f>Table7[[#This Row],[Teva Adjusted %]]*$C$92</f>
        <v>2940.8016702093391</v>
      </c>
      <c r="D49" s="18">
        <f>Table7[[#This Row],[Teva Adjusted %]]*$D$92</f>
        <v>2940.8016702093391</v>
      </c>
      <c r="E49" s="18">
        <f>Table7[[#This Row],[Teva Adjusted %]]*$E$92</f>
        <v>2287.491399175954</v>
      </c>
      <c r="F49" s="18">
        <f>Table7[[#This Row],[Teva Adjusted %]]*$F$92</f>
        <v>2287.491399175954</v>
      </c>
      <c r="G49" s="18">
        <f>Table7[[#This Row],[Teva Adjusted %]]*$G$92</f>
        <v>2287.491399175954</v>
      </c>
      <c r="H49" s="18">
        <f>Table7[[#This Row],[Teva Adjusted %]]*$H$92</f>
        <v>2430.9759834831925</v>
      </c>
      <c r="I49" s="18">
        <f>Table7[[#This Row],[Teva Adjusted %]]*$I$92</f>
        <v>2430.9759834831925</v>
      </c>
      <c r="J49" s="18">
        <f>Table7[[#This Row],[Teva Adjusted %]]*$J$92</f>
        <v>2430.9759834831925</v>
      </c>
      <c r="K49" s="18">
        <f>Table7[[#This Row],[Teva Adjusted %]]*$K$92</f>
        <v>2430.9759834831925</v>
      </c>
      <c r="L49" s="18">
        <f>Table7[[#This Row],[Teva Adjusted %]]*$L$92</f>
        <v>2430.9759834831925</v>
      </c>
      <c r="M49" s="18">
        <f>Table7[[#This Row],[Teva Adjusted %]]*$M$92</f>
        <v>2430.9759834831925</v>
      </c>
      <c r="N49" s="18">
        <f>Table7[[#This Row],[Teva Adjusted %]]*$N$92</f>
        <v>2430.9759834831925</v>
      </c>
      <c r="O49" s="18">
        <f>Table7[[#This Row],[Teva Adjusted %]]*$O$92</f>
        <v>2430.9759834831925</v>
      </c>
      <c r="P49" s="18">
        <f>SUM(Table7[[#This Row],[Payment 1]:[Payment 13]])</f>
        <v>32191.885405812085</v>
      </c>
    </row>
    <row r="50" spans="1:16" x14ac:dyDescent="0.3">
      <c r="A50" t="s">
        <v>167</v>
      </c>
      <c r="B50">
        <v>1.4426831680059078E-2</v>
      </c>
      <c r="C50" s="18">
        <f>Table7[[#This Row],[Teva Adjusted %]]*$C$92</f>
        <v>20411.495905705611</v>
      </c>
      <c r="D50" s="18">
        <f>Table7[[#This Row],[Teva Adjusted %]]*$D$92</f>
        <v>20411.495905705611</v>
      </c>
      <c r="E50" s="18">
        <f>Table7[[#This Row],[Teva Adjusted %]]*$E$92</f>
        <v>15877.004492211508</v>
      </c>
      <c r="F50" s="18">
        <f>Table7[[#This Row],[Teva Adjusted %]]*$F$92</f>
        <v>15877.004492211508</v>
      </c>
      <c r="G50" s="18">
        <f>Table7[[#This Row],[Teva Adjusted %]]*$G$92</f>
        <v>15877.004492211508</v>
      </c>
      <c r="H50" s="18">
        <f>Table7[[#This Row],[Teva Adjusted %]]*$H$92</f>
        <v>16872.901303202707</v>
      </c>
      <c r="I50" s="18">
        <f>Table7[[#This Row],[Teva Adjusted %]]*$I$92</f>
        <v>16872.901303202707</v>
      </c>
      <c r="J50" s="18">
        <f>Table7[[#This Row],[Teva Adjusted %]]*$J$92</f>
        <v>16872.901303202707</v>
      </c>
      <c r="K50" s="18">
        <f>Table7[[#This Row],[Teva Adjusted %]]*$K$92</f>
        <v>16872.901303202707</v>
      </c>
      <c r="L50" s="18">
        <f>Table7[[#This Row],[Teva Adjusted %]]*$L$92</f>
        <v>16872.901303202707</v>
      </c>
      <c r="M50" s="18">
        <f>Table7[[#This Row],[Teva Adjusted %]]*$M$92</f>
        <v>16872.901303202707</v>
      </c>
      <c r="N50" s="18">
        <f>Table7[[#This Row],[Teva Adjusted %]]*$N$92</f>
        <v>16872.901303202707</v>
      </c>
      <c r="O50" s="18">
        <f>Table7[[#This Row],[Teva Adjusted %]]*$O$92</f>
        <v>16872.901303202707</v>
      </c>
      <c r="P50" s="18">
        <f>SUM(Table7[[#This Row],[Payment 1]:[Payment 13]])</f>
        <v>223437.21571366733</v>
      </c>
    </row>
    <row r="51" spans="1:16" x14ac:dyDescent="0.3">
      <c r="A51" t="s">
        <v>168</v>
      </c>
      <c r="B51">
        <v>5.7514609010944394E-3</v>
      </c>
      <c r="C51" s="18">
        <f>Table7[[#This Row],[Teva Adjusted %]]*$C$92</f>
        <v>8137.3321071445616</v>
      </c>
      <c r="D51" s="18">
        <f>Table7[[#This Row],[Teva Adjusted %]]*$D$92</f>
        <v>8137.3321071445616</v>
      </c>
      <c r="E51" s="18">
        <f>Table7[[#This Row],[Teva Adjusted %]]*$E$92</f>
        <v>6329.5928439834215</v>
      </c>
      <c r="F51" s="18">
        <f>Table7[[#This Row],[Teva Adjusted %]]*$F$92</f>
        <v>6329.5928439834215</v>
      </c>
      <c r="G51" s="18">
        <f>Table7[[#This Row],[Teva Adjusted %]]*$G$92</f>
        <v>6329.5928439834215</v>
      </c>
      <c r="H51" s="18">
        <f>Table7[[#This Row],[Teva Adjusted %]]*$H$92</f>
        <v>6726.6212211743486</v>
      </c>
      <c r="I51" s="18">
        <f>Table7[[#This Row],[Teva Adjusted %]]*$I$92</f>
        <v>6726.6212211743486</v>
      </c>
      <c r="J51" s="18">
        <f>Table7[[#This Row],[Teva Adjusted %]]*$J$92</f>
        <v>6726.6212211743486</v>
      </c>
      <c r="K51" s="18">
        <f>Table7[[#This Row],[Teva Adjusted %]]*$K$92</f>
        <v>6726.6212211743486</v>
      </c>
      <c r="L51" s="18">
        <f>Table7[[#This Row],[Teva Adjusted %]]*$L$92</f>
        <v>6726.6212211743486</v>
      </c>
      <c r="M51" s="18">
        <f>Table7[[#This Row],[Teva Adjusted %]]*$M$92</f>
        <v>6726.6212211743486</v>
      </c>
      <c r="N51" s="18">
        <f>Table7[[#This Row],[Teva Adjusted %]]*$N$92</f>
        <v>6726.6212211743486</v>
      </c>
      <c r="O51" s="18">
        <f>Table7[[#This Row],[Teva Adjusted %]]*$O$92</f>
        <v>6726.6212211743486</v>
      </c>
      <c r="P51" s="18">
        <f>SUM(Table7[[#This Row],[Payment 1]:[Payment 13]])</f>
        <v>89076.412515634191</v>
      </c>
    </row>
    <row r="52" spans="1:16" x14ac:dyDescent="0.3">
      <c r="A52" t="s">
        <v>169</v>
      </c>
      <c r="B52">
        <v>2.5029045436635641E-2</v>
      </c>
      <c r="C52" s="18">
        <f>Table7[[#This Row],[Teva Adjusted %]]*$C$92</f>
        <v>35411.81250209998</v>
      </c>
      <c r="D52" s="18">
        <f>Table7[[#This Row],[Teva Adjusted %]]*$D$92</f>
        <v>35411.81250209998</v>
      </c>
      <c r="E52" s="18">
        <f>Table7[[#This Row],[Teva Adjusted %]]*$E$92</f>
        <v>27544.94373026488</v>
      </c>
      <c r="F52" s="18">
        <f>Table7[[#This Row],[Teva Adjusted %]]*$F$92</f>
        <v>27544.94373026488</v>
      </c>
      <c r="G52" s="18">
        <f>Table7[[#This Row],[Teva Adjusted %]]*$G$92</f>
        <v>27544.94373026488</v>
      </c>
      <c r="H52" s="18">
        <f>Table7[[#This Row],[Teva Adjusted %]]*$H$92</f>
        <v>29272.720631339609</v>
      </c>
      <c r="I52" s="18">
        <f>Table7[[#This Row],[Teva Adjusted %]]*$I$92</f>
        <v>29272.720631339609</v>
      </c>
      <c r="J52" s="18">
        <f>Table7[[#This Row],[Teva Adjusted %]]*$J$92</f>
        <v>29272.720631339609</v>
      </c>
      <c r="K52" s="18">
        <f>Table7[[#This Row],[Teva Adjusted %]]*$K$92</f>
        <v>29272.720631339609</v>
      </c>
      <c r="L52" s="18">
        <f>Table7[[#This Row],[Teva Adjusted %]]*$L$92</f>
        <v>29272.720631339609</v>
      </c>
      <c r="M52" s="18">
        <f>Table7[[#This Row],[Teva Adjusted %]]*$M$92</f>
        <v>29272.720631339609</v>
      </c>
      <c r="N52" s="18">
        <f>Table7[[#This Row],[Teva Adjusted %]]*$N$92</f>
        <v>29272.720631339609</v>
      </c>
      <c r="O52" s="18">
        <f>Table7[[#This Row],[Teva Adjusted %]]*$O$92</f>
        <v>29272.720631339609</v>
      </c>
      <c r="P52" s="18">
        <f>SUM(Table7[[#This Row],[Payment 1]:[Payment 13]])</f>
        <v>387640.22124571138</v>
      </c>
    </row>
    <row r="53" spans="1:16" x14ac:dyDescent="0.3">
      <c r="A53" t="s">
        <v>170</v>
      </c>
      <c r="B53">
        <v>8.3142266292569661E-4</v>
      </c>
      <c r="C53" s="18">
        <f>Table7[[#This Row],[Teva Adjusted %]]*$C$92</f>
        <v>1176.3206680837368</v>
      </c>
      <c r="D53" s="18">
        <f>Table7[[#This Row],[Teva Adjusted %]]*$D$92</f>
        <v>1176.3206680837368</v>
      </c>
      <c r="E53" s="18">
        <f>Table7[[#This Row],[Teva Adjusted %]]*$E$92</f>
        <v>914.99655967038245</v>
      </c>
      <c r="F53" s="18">
        <f>Table7[[#This Row],[Teva Adjusted %]]*$F$92</f>
        <v>914.99655967038245</v>
      </c>
      <c r="G53" s="18">
        <f>Table7[[#This Row],[Teva Adjusted %]]*$G$92</f>
        <v>914.99655967038245</v>
      </c>
      <c r="H53" s="18">
        <f>Table7[[#This Row],[Teva Adjusted %]]*$H$92</f>
        <v>972.39039339327792</v>
      </c>
      <c r="I53" s="18">
        <f>Table7[[#This Row],[Teva Adjusted %]]*$I$92</f>
        <v>972.39039339327792</v>
      </c>
      <c r="J53" s="18">
        <f>Table7[[#This Row],[Teva Adjusted %]]*$J$92</f>
        <v>972.39039339327792</v>
      </c>
      <c r="K53" s="18">
        <f>Table7[[#This Row],[Teva Adjusted %]]*$K$92</f>
        <v>972.39039339327792</v>
      </c>
      <c r="L53" s="18">
        <f>Table7[[#This Row],[Teva Adjusted %]]*$L$92</f>
        <v>972.39039339327792</v>
      </c>
      <c r="M53" s="18">
        <f>Table7[[#This Row],[Teva Adjusted %]]*$M$92</f>
        <v>972.39039339327792</v>
      </c>
      <c r="N53" s="18">
        <f>Table7[[#This Row],[Teva Adjusted %]]*$N$92</f>
        <v>972.39039339327792</v>
      </c>
      <c r="O53" s="18">
        <f>Table7[[#This Row],[Teva Adjusted %]]*$O$92</f>
        <v>972.39039339327792</v>
      </c>
      <c r="P53" s="18">
        <f>SUM(Table7[[#This Row],[Payment 1]:[Payment 13]])</f>
        <v>12876.754162324843</v>
      </c>
    </row>
    <row r="54" spans="1:16" x14ac:dyDescent="0.3">
      <c r="A54" t="s">
        <v>171</v>
      </c>
      <c r="B54">
        <v>2.2171891797178283E-3</v>
      </c>
      <c r="C54" s="18">
        <f>Table7[[#This Row],[Teva Adjusted %]]*$C$92</f>
        <v>3136.9429454520337</v>
      </c>
      <c r="D54" s="18">
        <f>Table7[[#This Row],[Teva Adjusted %]]*$D$92</f>
        <v>3136.9429454520337</v>
      </c>
      <c r="E54" s="18">
        <f>Table7[[#This Row],[Teva Adjusted %]]*$E$92</f>
        <v>2440.059144456488</v>
      </c>
      <c r="F54" s="18">
        <f>Table7[[#This Row],[Teva Adjusted %]]*$F$92</f>
        <v>2440.059144456488</v>
      </c>
      <c r="G54" s="18">
        <f>Table7[[#This Row],[Teva Adjusted %]]*$G$92</f>
        <v>2440.059144456488</v>
      </c>
      <c r="H54" s="18">
        <f>Table7[[#This Row],[Teva Adjusted %]]*$H$92</f>
        <v>2593.1136530564063</v>
      </c>
      <c r="I54" s="18">
        <f>Table7[[#This Row],[Teva Adjusted %]]*$I$92</f>
        <v>2593.1136530564063</v>
      </c>
      <c r="J54" s="18">
        <f>Table7[[#This Row],[Teva Adjusted %]]*$J$92</f>
        <v>2593.1136530564063</v>
      </c>
      <c r="K54" s="18">
        <f>Table7[[#This Row],[Teva Adjusted %]]*$K$92</f>
        <v>2593.1136530564063</v>
      </c>
      <c r="L54" s="18">
        <f>Table7[[#This Row],[Teva Adjusted %]]*$L$92</f>
        <v>2593.1136530564063</v>
      </c>
      <c r="M54" s="18">
        <f>Table7[[#This Row],[Teva Adjusted %]]*$M$92</f>
        <v>2593.1136530564063</v>
      </c>
      <c r="N54" s="18">
        <f>Table7[[#This Row],[Teva Adjusted %]]*$N$92</f>
        <v>2593.1136530564063</v>
      </c>
      <c r="O54" s="18">
        <f>Table7[[#This Row],[Teva Adjusted %]]*$O$92</f>
        <v>2593.1136530564063</v>
      </c>
      <c r="P54" s="18">
        <f>SUM(Table7[[#This Row],[Payment 1]:[Payment 13]])</f>
        <v>34338.972548724785</v>
      </c>
    </row>
    <row r="55" spans="1:16" x14ac:dyDescent="0.3">
      <c r="A55" t="s">
        <v>172</v>
      </c>
      <c r="B55">
        <v>2.0785566573142396E-3</v>
      </c>
      <c r="C55" s="18">
        <f>Table7[[#This Row],[Teva Adjusted %]]*$C$92</f>
        <v>2940.8016702093391</v>
      </c>
      <c r="D55" s="18">
        <f>Table7[[#This Row],[Teva Adjusted %]]*$D$92</f>
        <v>2940.8016702093391</v>
      </c>
      <c r="E55" s="18">
        <f>Table7[[#This Row],[Teva Adjusted %]]*$E$92</f>
        <v>2287.491399175954</v>
      </c>
      <c r="F55" s="18">
        <f>Table7[[#This Row],[Teva Adjusted %]]*$F$92</f>
        <v>2287.491399175954</v>
      </c>
      <c r="G55" s="18">
        <f>Table7[[#This Row],[Teva Adjusted %]]*$G$92</f>
        <v>2287.491399175954</v>
      </c>
      <c r="H55" s="18">
        <f>Table7[[#This Row],[Teva Adjusted %]]*$H$92</f>
        <v>2430.9759834831925</v>
      </c>
      <c r="I55" s="18">
        <f>Table7[[#This Row],[Teva Adjusted %]]*$I$92</f>
        <v>2430.9759834831925</v>
      </c>
      <c r="J55" s="18">
        <f>Table7[[#This Row],[Teva Adjusted %]]*$J$92</f>
        <v>2430.9759834831925</v>
      </c>
      <c r="K55" s="18">
        <f>Table7[[#This Row],[Teva Adjusted %]]*$K$92</f>
        <v>2430.9759834831925</v>
      </c>
      <c r="L55" s="18">
        <f>Table7[[#This Row],[Teva Adjusted %]]*$L$92</f>
        <v>2430.9759834831925</v>
      </c>
      <c r="M55" s="18">
        <f>Table7[[#This Row],[Teva Adjusted %]]*$M$92</f>
        <v>2430.9759834831925</v>
      </c>
      <c r="N55" s="18">
        <f>Table7[[#This Row],[Teva Adjusted %]]*$N$92</f>
        <v>2430.9759834831925</v>
      </c>
      <c r="O55" s="18">
        <f>Table7[[#This Row],[Teva Adjusted %]]*$O$92</f>
        <v>2430.9759834831925</v>
      </c>
      <c r="P55" s="18">
        <f>SUM(Table7[[#This Row],[Payment 1]:[Payment 13]])</f>
        <v>32191.885405812085</v>
      </c>
    </row>
    <row r="56" spans="1:16" x14ac:dyDescent="0.3">
      <c r="A56" t="s">
        <v>173</v>
      </c>
      <c r="B56">
        <v>2.1757187877668671E-2</v>
      </c>
      <c r="C56" s="18">
        <f>Table7[[#This Row],[Teva Adjusted %]]*$C$92</f>
        <v>30782.69443585019</v>
      </c>
      <c r="D56" s="18">
        <f>Table7[[#This Row],[Teva Adjusted %]]*$D$92</f>
        <v>30782.69443585019</v>
      </c>
      <c r="E56" s="18">
        <f>Table7[[#This Row],[Teva Adjusted %]]*$E$92</f>
        <v>23944.201840872985</v>
      </c>
      <c r="F56" s="18">
        <f>Table7[[#This Row],[Teva Adjusted %]]*$F$92</f>
        <v>23944.201840872985</v>
      </c>
      <c r="G56" s="18">
        <f>Table7[[#This Row],[Teva Adjusted %]]*$G$92</f>
        <v>23944.201840872985</v>
      </c>
      <c r="H56" s="18">
        <f>Table7[[#This Row],[Teva Adjusted %]]*$H$92</f>
        <v>25446.119552539101</v>
      </c>
      <c r="I56" s="18">
        <f>Table7[[#This Row],[Teva Adjusted %]]*$I$92</f>
        <v>25446.119552539101</v>
      </c>
      <c r="J56" s="18">
        <f>Table7[[#This Row],[Teva Adjusted %]]*$J$92</f>
        <v>25446.119552539101</v>
      </c>
      <c r="K56" s="18">
        <f>Table7[[#This Row],[Teva Adjusted %]]*$K$92</f>
        <v>25446.119552539101</v>
      </c>
      <c r="L56" s="18">
        <f>Table7[[#This Row],[Teva Adjusted %]]*$L$92</f>
        <v>25446.119552539101</v>
      </c>
      <c r="M56" s="18">
        <f>Table7[[#This Row],[Teva Adjusted %]]*$M$92</f>
        <v>25446.119552539101</v>
      </c>
      <c r="N56" s="18">
        <f>Table7[[#This Row],[Teva Adjusted %]]*$N$92</f>
        <v>25446.119552539101</v>
      </c>
      <c r="O56" s="18">
        <f>Table7[[#This Row],[Teva Adjusted %]]*$O$92</f>
        <v>25446.119552539101</v>
      </c>
      <c r="P56" s="18">
        <f>SUM(Table7[[#This Row],[Payment 1]:[Payment 13]])</f>
        <v>336966.95081463212</v>
      </c>
    </row>
    <row r="57" spans="1:16" x14ac:dyDescent="0.3">
      <c r="A57" t="s">
        <v>174</v>
      </c>
      <c r="B57">
        <v>8.3142266292569583E-3</v>
      </c>
      <c r="C57" s="18">
        <f>Table7[[#This Row],[Teva Adjusted %]]*$C$92</f>
        <v>11763.206680837357</v>
      </c>
      <c r="D57" s="18">
        <f>Table7[[#This Row],[Teva Adjusted %]]*$D$92</f>
        <v>11763.206680837357</v>
      </c>
      <c r="E57" s="18">
        <f>Table7[[#This Row],[Teva Adjusted %]]*$E$92</f>
        <v>9149.9655967038161</v>
      </c>
      <c r="F57" s="18">
        <f>Table7[[#This Row],[Teva Adjusted %]]*$F$92</f>
        <v>9149.9655967038161</v>
      </c>
      <c r="G57" s="18">
        <f>Table7[[#This Row],[Teva Adjusted %]]*$G$92</f>
        <v>9149.9655967038161</v>
      </c>
      <c r="H57" s="18">
        <f>Table7[[#This Row],[Teva Adjusted %]]*$H$92</f>
        <v>9723.9039339327701</v>
      </c>
      <c r="I57" s="18">
        <f>Table7[[#This Row],[Teva Adjusted %]]*$I$92</f>
        <v>9723.9039339327701</v>
      </c>
      <c r="J57" s="18">
        <f>Table7[[#This Row],[Teva Adjusted %]]*$J$92</f>
        <v>9723.9039339327701</v>
      </c>
      <c r="K57" s="18">
        <f>Table7[[#This Row],[Teva Adjusted %]]*$K$92</f>
        <v>9723.9039339327701</v>
      </c>
      <c r="L57" s="18">
        <f>Table7[[#This Row],[Teva Adjusted %]]*$L$92</f>
        <v>9723.9039339327701</v>
      </c>
      <c r="M57" s="18">
        <f>Table7[[#This Row],[Teva Adjusted %]]*$M$92</f>
        <v>9723.9039339327701</v>
      </c>
      <c r="N57" s="18">
        <f>Table7[[#This Row],[Teva Adjusted %]]*$N$92</f>
        <v>9723.9039339327701</v>
      </c>
      <c r="O57" s="18">
        <f>Table7[[#This Row],[Teva Adjusted %]]*$O$92</f>
        <v>9723.9039339327701</v>
      </c>
      <c r="P57" s="18">
        <f>SUM(Table7[[#This Row],[Payment 1]:[Payment 13]])</f>
        <v>128767.54162324834</v>
      </c>
    </row>
    <row r="58" spans="1:16" x14ac:dyDescent="0.3">
      <c r="A58" t="s">
        <v>175</v>
      </c>
      <c r="B58">
        <v>8.3142266292569585E-4</v>
      </c>
      <c r="C58" s="18">
        <f>Table7[[#This Row],[Teva Adjusted %]]*$C$92</f>
        <v>1176.3206680837357</v>
      </c>
      <c r="D58" s="18">
        <f>Table7[[#This Row],[Teva Adjusted %]]*$D$92</f>
        <v>1176.3206680837357</v>
      </c>
      <c r="E58" s="18">
        <f>Table7[[#This Row],[Teva Adjusted %]]*$E$92</f>
        <v>914.99655967038166</v>
      </c>
      <c r="F58" s="18">
        <f>Table7[[#This Row],[Teva Adjusted %]]*$F$92</f>
        <v>914.99655967038166</v>
      </c>
      <c r="G58" s="18">
        <f>Table7[[#This Row],[Teva Adjusted %]]*$G$92</f>
        <v>914.99655967038166</v>
      </c>
      <c r="H58" s="18">
        <f>Table7[[#This Row],[Teva Adjusted %]]*$H$92</f>
        <v>972.39039339327701</v>
      </c>
      <c r="I58" s="18">
        <f>Table7[[#This Row],[Teva Adjusted %]]*$I$92</f>
        <v>972.39039339327701</v>
      </c>
      <c r="J58" s="18">
        <f>Table7[[#This Row],[Teva Adjusted %]]*$J$92</f>
        <v>972.39039339327701</v>
      </c>
      <c r="K58" s="18">
        <f>Table7[[#This Row],[Teva Adjusted %]]*$K$92</f>
        <v>972.39039339327701</v>
      </c>
      <c r="L58" s="18">
        <f>Table7[[#This Row],[Teva Adjusted %]]*$L$92</f>
        <v>972.39039339327701</v>
      </c>
      <c r="M58" s="18">
        <f>Table7[[#This Row],[Teva Adjusted %]]*$M$92</f>
        <v>972.39039339327701</v>
      </c>
      <c r="N58" s="18">
        <f>Table7[[#This Row],[Teva Adjusted %]]*$N$92</f>
        <v>972.39039339327701</v>
      </c>
      <c r="O58" s="18">
        <f>Table7[[#This Row],[Teva Adjusted %]]*$O$92</f>
        <v>972.39039339327701</v>
      </c>
      <c r="P58" s="18">
        <f>SUM(Table7[[#This Row],[Payment 1]:[Payment 13]])</f>
        <v>12876.754162324836</v>
      </c>
    </row>
    <row r="59" spans="1:16" x14ac:dyDescent="0.3">
      <c r="A59" t="s">
        <v>176</v>
      </c>
      <c r="B59">
        <v>8.3142266292569583E-3</v>
      </c>
      <c r="C59" s="18">
        <f>Table7[[#This Row],[Teva Adjusted %]]*$C$92</f>
        <v>11763.206680837357</v>
      </c>
      <c r="D59" s="18">
        <f>Table7[[#This Row],[Teva Adjusted %]]*$D$92</f>
        <v>11763.206680837357</v>
      </c>
      <c r="E59" s="18">
        <f>Table7[[#This Row],[Teva Adjusted %]]*$E$92</f>
        <v>9149.9655967038161</v>
      </c>
      <c r="F59" s="18">
        <f>Table7[[#This Row],[Teva Adjusted %]]*$F$92</f>
        <v>9149.9655967038161</v>
      </c>
      <c r="G59" s="18">
        <f>Table7[[#This Row],[Teva Adjusted %]]*$G$92</f>
        <v>9149.9655967038161</v>
      </c>
      <c r="H59" s="18">
        <f>Table7[[#This Row],[Teva Adjusted %]]*$H$92</f>
        <v>9723.9039339327701</v>
      </c>
      <c r="I59" s="18">
        <f>Table7[[#This Row],[Teva Adjusted %]]*$I$92</f>
        <v>9723.9039339327701</v>
      </c>
      <c r="J59" s="18">
        <f>Table7[[#This Row],[Teva Adjusted %]]*$J$92</f>
        <v>9723.9039339327701</v>
      </c>
      <c r="K59" s="18">
        <f>Table7[[#This Row],[Teva Adjusted %]]*$K$92</f>
        <v>9723.9039339327701</v>
      </c>
      <c r="L59" s="18">
        <f>Table7[[#This Row],[Teva Adjusted %]]*$L$92</f>
        <v>9723.9039339327701</v>
      </c>
      <c r="M59" s="18">
        <f>Table7[[#This Row],[Teva Adjusted %]]*$M$92</f>
        <v>9723.9039339327701</v>
      </c>
      <c r="N59" s="18">
        <f>Table7[[#This Row],[Teva Adjusted %]]*$N$92</f>
        <v>9723.9039339327701</v>
      </c>
      <c r="O59" s="18">
        <f>Table7[[#This Row],[Teva Adjusted %]]*$O$92</f>
        <v>9723.9039339327701</v>
      </c>
      <c r="P59" s="18">
        <f>SUM(Table7[[#This Row],[Payment 1]:[Payment 13]])</f>
        <v>128767.54162324834</v>
      </c>
    </row>
    <row r="60" spans="1:16" x14ac:dyDescent="0.3">
      <c r="A60" t="s">
        <v>177</v>
      </c>
      <c r="B60">
        <v>3.0765337502775408E-3</v>
      </c>
      <c r="C60" s="18">
        <f>Table7[[#This Row],[Teva Adjusted %]]*$C$92</f>
        <v>4352.7683305790115</v>
      </c>
      <c r="D60" s="18">
        <f>Table7[[#This Row],[Teva Adjusted %]]*$D$92</f>
        <v>4352.7683305790115</v>
      </c>
      <c r="E60" s="18">
        <f>Table7[[#This Row],[Teva Adjusted %]]*$E$92</f>
        <v>3385.7842980945356</v>
      </c>
      <c r="F60" s="18">
        <f>Table7[[#This Row],[Teva Adjusted %]]*$F$92</f>
        <v>3385.7842980945356</v>
      </c>
      <c r="G60" s="18">
        <f>Table7[[#This Row],[Teva Adjusted %]]*$G$92</f>
        <v>3385.7842980945356</v>
      </c>
      <c r="H60" s="18">
        <f>Table7[[#This Row],[Teva Adjusted %]]*$H$92</f>
        <v>3598.1601141264896</v>
      </c>
      <c r="I60" s="18">
        <f>Table7[[#This Row],[Teva Adjusted %]]*$I$92</f>
        <v>3598.1601141264896</v>
      </c>
      <c r="J60" s="18">
        <f>Table7[[#This Row],[Teva Adjusted %]]*$J$92</f>
        <v>3598.1601141264896</v>
      </c>
      <c r="K60" s="18">
        <f>Table7[[#This Row],[Teva Adjusted %]]*$K$92</f>
        <v>3598.1601141264896</v>
      </c>
      <c r="L60" s="18">
        <f>Table7[[#This Row],[Teva Adjusted %]]*$L$92</f>
        <v>3598.1601141264896</v>
      </c>
      <c r="M60" s="18">
        <f>Table7[[#This Row],[Teva Adjusted %]]*$M$92</f>
        <v>3598.1601141264896</v>
      </c>
      <c r="N60" s="18">
        <f>Table7[[#This Row],[Teva Adjusted %]]*$N$92</f>
        <v>3598.1601141264896</v>
      </c>
      <c r="O60" s="18">
        <f>Table7[[#This Row],[Teva Adjusted %]]*$O$92</f>
        <v>3598.1601141264896</v>
      </c>
      <c r="P60" s="18">
        <f>SUM(Table7[[#This Row],[Payment 1]:[Payment 13]])</f>
        <v>47648.170468453558</v>
      </c>
    </row>
    <row r="61" spans="1:16" x14ac:dyDescent="0.3">
      <c r="A61" t="s">
        <v>178</v>
      </c>
      <c r="B61">
        <v>1.1248125468787309E-2</v>
      </c>
      <c r="C61" s="18">
        <f>Table7[[#This Row],[Teva Adjusted %]]*$C$92</f>
        <v>15914.171042167103</v>
      </c>
      <c r="D61" s="18">
        <f>Table7[[#This Row],[Teva Adjusted %]]*$D$92</f>
        <v>15914.171042167103</v>
      </c>
      <c r="E61" s="18">
        <f>Table7[[#This Row],[Teva Adjusted %]]*$E$92</f>
        <v>12378.777444512576</v>
      </c>
      <c r="F61" s="18">
        <f>Table7[[#This Row],[Teva Adjusted %]]*$F$92</f>
        <v>12378.777444512576</v>
      </c>
      <c r="G61" s="18">
        <f>Table7[[#This Row],[Teva Adjusted %]]*$G$92</f>
        <v>12378.777444512576</v>
      </c>
      <c r="H61" s="18">
        <f>Table7[[#This Row],[Teva Adjusted %]]*$H$92</f>
        <v>13155.245385112288</v>
      </c>
      <c r="I61" s="18">
        <f>Table7[[#This Row],[Teva Adjusted %]]*$I$92</f>
        <v>13155.245385112288</v>
      </c>
      <c r="J61" s="18">
        <f>Table7[[#This Row],[Teva Adjusted %]]*$J$92</f>
        <v>13155.245385112288</v>
      </c>
      <c r="K61" s="18">
        <f>Table7[[#This Row],[Teva Adjusted %]]*$K$92</f>
        <v>13155.245385112288</v>
      </c>
      <c r="L61" s="18">
        <f>Table7[[#This Row],[Teva Adjusted %]]*$L$92</f>
        <v>13155.245385112288</v>
      </c>
      <c r="M61" s="18">
        <f>Table7[[#This Row],[Teva Adjusted %]]*$M$92</f>
        <v>13155.245385112288</v>
      </c>
      <c r="N61" s="18">
        <f>Table7[[#This Row],[Teva Adjusted %]]*$N$92</f>
        <v>13155.245385112288</v>
      </c>
      <c r="O61" s="18">
        <f>Table7[[#This Row],[Teva Adjusted %]]*$O$92</f>
        <v>13155.245385112288</v>
      </c>
      <c r="P61" s="18">
        <f>SUM(Table7[[#This Row],[Payment 1]:[Payment 13]])</f>
        <v>174206.63749877026</v>
      </c>
    </row>
    <row r="62" spans="1:16" x14ac:dyDescent="0.3">
      <c r="A62" t="s">
        <v>179</v>
      </c>
      <c r="B62">
        <v>8.3142266292569585E-4</v>
      </c>
      <c r="C62" s="18">
        <f>Table7[[#This Row],[Teva Adjusted %]]*$C$92</f>
        <v>1176.3206680837357</v>
      </c>
      <c r="D62" s="18">
        <f>Table7[[#This Row],[Teva Adjusted %]]*$D$92</f>
        <v>1176.3206680837357</v>
      </c>
      <c r="E62" s="18">
        <f>Table7[[#This Row],[Teva Adjusted %]]*$E$92</f>
        <v>914.99655967038166</v>
      </c>
      <c r="F62" s="18">
        <f>Table7[[#This Row],[Teva Adjusted %]]*$F$92</f>
        <v>914.99655967038166</v>
      </c>
      <c r="G62" s="18">
        <f>Table7[[#This Row],[Teva Adjusted %]]*$G$92</f>
        <v>914.99655967038166</v>
      </c>
      <c r="H62" s="18">
        <f>Table7[[#This Row],[Teva Adjusted %]]*$H$92</f>
        <v>972.39039339327701</v>
      </c>
      <c r="I62" s="18">
        <f>Table7[[#This Row],[Teva Adjusted %]]*$I$92</f>
        <v>972.39039339327701</v>
      </c>
      <c r="J62" s="18">
        <f>Table7[[#This Row],[Teva Adjusted %]]*$J$92</f>
        <v>972.39039339327701</v>
      </c>
      <c r="K62" s="18">
        <f>Table7[[#This Row],[Teva Adjusted %]]*$K$92</f>
        <v>972.39039339327701</v>
      </c>
      <c r="L62" s="18">
        <f>Table7[[#This Row],[Teva Adjusted %]]*$L$92</f>
        <v>972.39039339327701</v>
      </c>
      <c r="M62" s="18">
        <f>Table7[[#This Row],[Teva Adjusted %]]*$M$92</f>
        <v>972.39039339327701</v>
      </c>
      <c r="N62" s="18">
        <f>Table7[[#This Row],[Teva Adjusted %]]*$N$92</f>
        <v>972.39039339327701</v>
      </c>
      <c r="O62" s="18">
        <f>Table7[[#This Row],[Teva Adjusted %]]*$O$92</f>
        <v>972.39039339327701</v>
      </c>
      <c r="P62" s="18">
        <f>SUM(Table7[[#This Row],[Payment 1]:[Payment 13]])</f>
        <v>12876.754162324836</v>
      </c>
    </row>
    <row r="63" spans="1:16" x14ac:dyDescent="0.3">
      <c r="A63" t="s">
        <v>180</v>
      </c>
      <c r="B63">
        <v>2.0785566573142396E-3</v>
      </c>
      <c r="C63" s="18">
        <f>Table7[[#This Row],[Teva Adjusted %]]*$C$92</f>
        <v>2940.8016702093391</v>
      </c>
      <c r="D63" s="18">
        <f>Table7[[#This Row],[Teva Adjusted %]]*$D$92</f>
        <v>2940.8016702093391</v>
      </c>
      <c r="E63" s="18">
        <f>Table7[[#This Row],[Teva Adjusted %]]*$E$92</f>
        <v>2287.491399175954</v>
      </c>
      <c r="F63" s="18">
        <f>Table7[[#This Row],[Teva Adjusted %]]*$F$92</f>
        <v>2287.491399175954</v>
      </c>
      <c r="G63" s="18">
        <f>Table7[[#This Row],[Teva Adjusted %]]*$G$92</f>
        <v>2287.491399175954</v>
      </c>
      <c r="H63" s="18">
        <f>Table7[[#This Row],[Teva Adjusted %]]*$H$92</f>
        <v>2430.9759834831925</v>
      </c>
      <c r="I63" s="18">
        <f>Table7[[#This Row],[Teva Adjusted %]]*$I$92</f>
        <v>2430.9759834831925</v>
      </c>
      <c r="J63" s="18">
        <f>Table7[[#This Row],[Teva Adjusted %]]*$J$92</f>
        <v>2430.9759834831925</v>
      </c>
      <c r="K63" s="18">
        <f>Table7[[#This Row],[Teva Adjusted %]]*$K$92</f>
        <v>2430.9759834831925</v>
      </c>
      <c r="L63" s="18">
        <f>Table7[[#This Row],[Teva Adjusted %]]*$L$92</f>
        <v>2430.9759834831925</v>
      </c>
      <c r="M63" s="18">
        <f>Table7[[#This Row],[Teva Adjusted %]]*$M$92</f>
        <v>2430.9759834831925</v>
      </c>
      <c r="N63" s="18">
        <f>Table7[[#This Row],[Teva Adjusted %]]*$N$92</f>
        <v>2430.9759834831925</v>
      </c>
      <c r="O63" s="18">
        <f>Table7[[#This Row],[Teva Adjusted %]]*$O$92</f>
        <v>2430.9759834831925</v>
      </c>
      <c r="P63" s="18">
        <f>SUM(Table7[[#This Row],[Payment 1]:[Payment 13]])</f>
        <v>32191.885405812085</v>
      </c>
    </row>
    <row r="64" spans="1:16" x14ac:dyDescent="0.3">
      <c r="A64" t="s">
        <v>181</v>
      </c>
      <c r="B64">
        <v>2.0785566573142396E-3</v>
      </c>
      <c r="C64" s="18">
        <f>Table7[[#This Row],[Teva Adjusted %]]*$C$92</f>
        <v>2940.8016702093391</v>
      </c>
      <c r="D64" s="18">
        <f>Table7[[#This Row],[Teva Adjusted %]]*$D$92</f>
        <v>2940.8016702093391</v>
      </c>
      <c r="E64" s="18">
        <f>Table7[[#This Row],[Teva Adjusted %]]*$E$92</f>
        <v>2287.491399175954</v>
      </c>
      <c r="F64" s="18">
        <f>Table7[[#This Row],[Teva Adjusted %]]*$F$92</f>
        <v>2287.491399175954</v>
      </c>
      <c r="G64" s="18">
        <f>Table7[[#This Row],[Teva Adjusted %]]*$G$92</f>
        <v>2287.491399175954</v>
      </c>
      <c r="H64" s="18">
        <f>Table7[[#This Row],[Teva Adjusted %]]*$H$92</f>
        <v>2430.9759834831925</v>
      </c>
      <c r="I64" s="18">
        <f>Table7[[#This Row],[Teva Adjusted %]]*$I$92</f>
        <v>2430.9759834831925</v>
      </c>
      <c r="J64" s="18">
        <f>Table7[[#This Row],[Teva Adjusted %]]*$J$92</f>
        <v>2430.9759834831925</v>
      </c>
      <c r="K64" s="18">
        <f>Table7[[#This Row],[Teva Adjusted %]]*$K$92</f>
        <v>2430.9759834831925</v>
      </c>
      <c r="L64" s="18">
        <f>Table7[[#This Row],[Teva Adjusted %]]*$L$92</f>
        <v>2430.9759834831925</v>
      </c>
      <c r="M64" s="18">
        <f>Table7[[#This Row],[Teva Adjusted %]]*$M$92</f>
        <v>2430.9759834831925</v>
      </c>
      <c r="N64" s="18">
        <f>Table7[[#This Row],[Teva Adjusted %]]*$N$92</f>
        <v>2430.9759834831925</v>
      </c>
      <c r="O64" s="18">
        <f>Table7[[#This Row],[Teva Adjusted %]]*$O$92</f>
        <v>2430.9759834831925</v>
      </c>
      <c r="P64" s="18">
        <f>SUM(Table7[[#This Row],[Payment 1]:[Payment 13]])</f>
        <v>32191.885405812085</v>
      </c>
    </row>
    <row r="65" spans="1:16" x14ac:dyDescent="0.3">
      <c r="A65" t="s">
        <v>182</v>
      </c>
      <c r="B65">
        <v>2.0785566573142396E-3</v>
      </c>
      <c r="C65" s="18">
        <f>Table7[[#This Row],[Teva Adjusted %]]*$C$92</f>
        <v>2940.8016702093391</v>
      </c>
      <c r="D65" s="18">
        <f>Table7[[#This Row],[Teva Adjusted %]]*$D$92</f>
        <v>2940.8016702093391</v>
      </c>
      <c r="E65" s="18">
        <f>Table7[[#This Row],[Teva Adjusted %]]*$E$92</f>
        <v>2287.491399175954</v>
      </c>
      <c r="F65" s="18">
        <f>Table7[[#This Row],[Teva Adjusted %]]*$F$92</f>
        <v>2287.491399175954</v>
      </c>
      <c r="G65" s="18">
        <f>Table7[[#This Row],[Teva Adjusted %]]*$G$92</f>
        <v>2287.491399175954</v>
      </c>
      <c r="H65" s="18">
        <f>Table7[[#This Row],[Teva Adjusted %]]*$H$92</f>
        <v>2430.9759834831925</v>
      </c>
      <c r="I65" s="18">
        <f>Table7[[#This Row],[Teva Adjusted %]]*$I$92</f>
        <v>2430.9759834831925</v>
      </c>
      <c r="J65" s="18">
        <f>Table7[[#This Row],[Teva Adjusted %]]*$J$92</f>
        <v>2430.9759834831925</v>
      </c>
      <c r="K65" s="18">
        <f>Table7[[#This Row],[Teva Adjusted %]]*$K$92</f>
        <v>2430.9759834831925</v>
      </c>
      <c r="L65" s="18">
        <f>Table7[[#This Row],[Teva Adjusted %]]*$L$92</f>
        <v>2430.9759834831925</v>
      </c>
      <c r="M65" s="18">
        <f>Table7[[#This Row],[Teva Adjusted %]]*$M$92</f>
        <v>2430.9759834831925</v>
      </c>
      <c r="N65" s="18">
        <f>Table7[[#This Row],[Teva Adjusted %]]*$N$92</f>
        <v>2430.9759834831925</v>
      </c>
      <c r="O65" s="18">
        <f>Table7[[#This Row],[Teva Adjusted %]]*$O$92</f>
        <v>2430.9759834831925</v>
      </c>
      <c r="P65" s="18">
        <f>SUM(Table7[[#This Row],[Payment 1]:[Payment 13]])</f>
        <v>32191.885405812085</v>
      </c>
    </row>
    <row r="66" spans="1:16" x14ac:dyDescent="0.3">
      <c r="A66" t="s">
        <v>183</v>
      </c>
      <c r="B66">
        <v>2.3887908015838735E-3</v>
      </c>
      <c r="C66" s="18">
        <f>Table7[[#This Row],[Teva Adjusted %]]*$C$92</f>
        <v>3379.7298497293336</v>
      </c>
      <c r="D66" s="18">
        <f>Table7[[#This Row],[Teva Adjusted %]]*$D$92</f>
        <v>3379.7298497293336</v>
      </c>
      <c r="E66" s="18">
        <f>Table7[[#This Row],[Teva Adjusted %]]*$E$92</f>
        <v>2628.9100149496844</v>
      </c>
      <c r="F66" s="18">
        <f>Table7[[#This Row],[Teva Adjusted %]]*$F$92</f>
        <v>2628.9100149496844</v>
      </c>
      <c r="G66" s="18">
        <f>Table7[[#This Row],[Teva Adjusted %]]*$G$92</f>
        <v>2628.9100149496844</v>
      </c>
      <c r="H66" s="18">
        <f>Table7[[#This Row],[Teva Adjusted %]]*$H$92</f>
        <v>2793.8103336184572</v>
      </c>
      <c r="I66" s="18">
        <f>Table7[[#This Row],[Teva Adjusted %]]*$I$92</f>
        <v>2793.8103336184572</v>
      </c>
      <c r="J66" s="18">
        <f>Table7[[#This Row],[Teva Adjusted %]]*$J$92</f>
        <v>2793.8103336184572</v>
      </c>
      <c r="K66" s="18">
        <f>Table7[[#This Row],[Teva Adjusted %]]*$K$92</f>
        <v>2793.8103336184572</v>
      </c>
      <c r="L66" s="18">
        <f>Table7[[#This Row],[Teva Adjusted %]]*$L$92</f>
        <v>2793.8103336184572</v>
      </c>
      <c r="M66" s="18">
        <f>Table7[[#This Row],[Teva Adjusted %]]*$M$92</f>
        <v>2793.8103336184572</v>
      </c>
      <c r="N66" s="18">
        <f>Table7[[#This Row],[Teva Adjusted %]]*$N$92</f>
        <v>2793.8103336184572</v>
      </c>
      <c r="O66" s="18">
        <f>Table7[[#This Row],[Teva Adjusted %]]*$O$92</f>
        <v>2793.8103336184572</v>
      </c>
      <c r="P66" s="18">
        <f>SUM(Table7[[#This Row],[Payment 1]:[Payment 13]])</f>
        <v>36996.672413255379</v>
      </c>
    </row>
    <row r="67" spans="1:16" x14ac:dyDescent="0.3">
      <c r="A67" t="s">
        <v>184</v>
      </c>
      <c r="B67">
        <v>2.0912343911448888E-2</v>
      </c>
      <c r="C67" s="18">
        <f>Table7[[#This Row],[Teva Adjusted %]]*$C$92</f>
        <v>29587.384922307396</v>
      </c>
      <c r="D67" s="18">
        <f>Table7[[#This Row],[Teva Adjusted %]]*$D$92</f>
        <v>29587.384922307396</v>
      </c>
      <c r="E67" s="18">
        <f>Table7[[#This Row],[Teva Adjusted %]]*$E$92</f>
        <v>23014.434879951852</v>
      </c>
      <c r="F67" s="18">
        <f>Table7[[#This Row],[Teva Adjusted %]]*$F$92</f>
        <v>23014.434879951852</v>
      </c>
      <c r="G67" s="18">
        <f>Table7[[#This Row],[Teva Adjusted %]]*$G$92</f>
        <v>23014.434879951852</v>
      </c>
      <c r="H67" s="18">
        <f>Table7[[#This Row],[Teva Adjusted %]]*$H$92</f>
        <v>24458.032273588167</v>
      </c>
      <c r="I67" s="18">
        <f>Table7[[#This Row],[Teva Adjusted %]]*$I$92</f>
        <v>24458.032273588167</v>
      </c>
      <c r="J67" s="18">
        <f>Table7[[#This Row],[Teva Adjusted %]]*$J$92</f>
        <v>24458.032273588167</v>
      </c>
      <c r="K67" s="18">
        <f>Table7[[#This Row],[Teva Adjusted %]]*$K$92</f>
        <v>24458.032273588167</v>
      </c>
      <c r="L67" s="18">
        <f>Table7[[#This Row],[Teva Adjusted %]]*$L$92</f>
        <v>24458.032273588167</v>
      </c>
      <c r="M67" s="18">
        <f>Table7[[#This Row],[Teva Adjusted %]]*$M$92</f>
        <v>24458.032273588167</v>
      </c>
      <c r="N67" s="18">
        <f>Table7[[#This Row],[Teva Adjusted %]]*$N$92</f>
        <v>24458.032273588167</v>
      </c>
      <c r="O67" s="18">
        <f>Table7[[#This Row],[Teva Adjusted %]]*$O$92</f>
        <v>24458.032273588167</v>
      </c>
      <c r="P67" s="18">
        <f>SUM(Table7[[#This Row],[Payment 1]:[Payment 13]])</f>
        <v>323882.33267317573</v>
      </c>
    </row>
    <row r="68" spans="1:16" x14ac:dyDescent="0.3">
      <c r="A68" t="s">
        <v>185</v>
      </c>
      <c r="B68">
        <v>6.124133114936702E-3</v>
      </c>
      <c r="C68" s="18">
        <f>Table7[[#This Row],[Teva Adjusted %]]*$C$92</f>
        <v>8664.5994611766873</v>
      </c>
      <c r="D68" s="18">
        <f>Table7[[#This Row],[Teva Adjusted %]]*$D$92</f>
        <v>8664.5994611766873</v>
      </c>
      <c r="E68" s="18">
        <f>Table7[[#This Row],[Teva Adjusted %]]*$E$92</f>
        <v>6739.7257508138555</v>
      </c>
      <c r="F68" s="18">
        <f>Table7[[#This Row],[Teva Adjusted %]]*$F$92</f>
        <v>6739.7257508138555</v>
      </c>
      <c r="G68" s="18">
        <f>Table7[[#This Row],[Teva Adjusted %]]*$G$92</f>
        <v>6739.7257508138555</v>
      </c>
      <c r="H68" s="18">
        <f>Table7[[#This Row],[Teva Adjusted %]]*$H$92</f>
        <v>7162.4800169276796</v>
      </c>
      <c r="I68" s="18">
        <f>Table7[[#This Row],[Teva Adjusted %]]*$I$92</f>
        <v>7162.4800169276796</v>
      </c>
      <c r="J68" s="18">
        <f>Table7[[#This Row],[Teva Adjusted %]]*$J$92</f>
        <v>7162.4800169276796</v>
      </c>
      <c r="K68" s="18">
        <f>Table7[[#This Row],[Teva Adjusted %]]*$K$92</f>
        <v>7162.4800169276796</v>
      </c>
      <c r="L68" s="18">
        <f>Table7[[#This Row],[Teva Adjusted %]]*$L$92</f>
        <v>7162.4800169276796</v>
      </c>
      <c r="M68" s="18">
        <f>Table7[[#This Row],[Teva Adjusted %]]*$M$92</f>
        <v>7162.4800169276796</v>
      </c>
      <c r="N68" s="18">
        <f>Table7[[#This Row],[Teva Adjusted %]]*$N$92</f>
        <v>7162.4800169276796</v>
      </c>
      <c r="O68" s="18">
        <f>Table7[[#This Row],[Teva Adjusted %]]*$O$92</f>
        <v>7162.4800169276796</v>
      </c>
      <c r="P68" s="18">
        <f>SUM(Table7[[#This Row],[Payment 1]:[Payment 13]])</f>
        <v>94848.216310216405</v>
      </c>
    </row>
    <row r="69" spans="1:16" x14ac:dyDescent="0.3">
      <c r="A69" t="s">
        <v>186</v>
      </c>
      <c r="B69">
        <v>0.10717062552332471</v>
      </c>
      <c r="C69" s="18">
        <f>Table7[[#This Row],[Teva Adjusted %]]*$C$92</f>
        <v>151628.07971932294</v>
      </c>
      <c r="D69" s="18">
        <f>Table7[[#This Row],[Teva Adjusted %]]*$D$92</f>
        <v>151628.07971932294</v>
      </c>
      <c r="E69" s="18">
        <f>Table7[[#This Row],[Teva Adjusted %]]*$E$92</f>
        <v>117943.3253677481</v>
      </c>
      <c r="F69" s="18">
        <f>Table7[[#This Row],[Teva Adjusted %]]*$F$92</f>
        <v>117943.3253677481</v>
      </c>
      <c r="G69" s="18">
        <f>Table7[[#This Row],[Teva Adjusted %]]*$G$92</f>
        <v>117943.3253677481</v>
      </c>
      <c r="H69" s="18">
        <f>Table7[[#This Row],[Teva Adjusted %]]*$H$92</f>
        <v>125341.40739695313</v>
      </c>
      <c r="I69" s="18">
        <f>Table7[[#This Row],[Teva Adjusted %]]*$I$92</f>
        <v>125341.40739695313</v>
      </c>
      <c r="J69" s="18">
        <f>Table7[[#This Row],[Teva Adjusted %]]*$J$92</f>
        <v>125341.40739695313</v>
      </c>
      <c r="K69" s="18">
        <f>Table7[[#This Row],[Teva Adjusted %]]*$K$92</f>
        <v>125341.40739695313</v>
      </c>
      <c r="L69" s="18">
        <f>Table7[[#This Row],[Teva Adjusted %]]*$L$92</f>
        <v>125341.40739695313</v>
      </c>
      <c r="M69" s="18">
        <f>Table7[[#This Row],[Teva Adjusted %]]*$M$92</f>
        <v>125341.40739695313</v>
      </c>
      <c r="N69" s="18">
        <f>Table7[[#This Row],[Teva Adjusted %]]*$N$92</f>
        <v>125341.40739695313</v>
      </c>
      <c r="O69" s="18">
        <f>Table7[[#This Row],[Teva Adjusted %]]*$O$92</f>
        <v>125341.40739695313</v>
      </c>
      <c r="P69" s="18">
        <f>SUM(Table7[[#This Row],[Payment 1]:[Payment 13]])</f>
        <v>1659817.3947175147</v>
      </c>
    </row>
    <row r="70" spans="1:16" x14ac:dyDescent="0.3">
      <c r="A70" t="s">
        <v>187</v>
      </c>
      <c r="B70">
        <v>4.1571133146284791E-3</v>
      </c>
      <c r="C70" s="18">
        <f>Table7[[#This Row],[Teva Adjusted %]]*$C$92</f>
        <v>5881.6033404186783</v>
      </c>
      <c r="D70" s="18">
        <f>Table7[[#This Row],[Teva Adjusted %]]*$D$92</f>
        <v>5881.6033404186783</v>
      </c>
      <c r="E70" s="18">
        <f>Table7[[#This Row],[Teva Adjusted %]]*$E$92</f>
        <v>4574.9827983519081</v>
      </c>
      <c r="F70" s="18">
        <f>Table7[[#This Row],[Teva Adjusted %]]*$F$92</f>
        <v>4574.9827983519081</v>
      </c>
      <c r="G70" s="18">
        <f>Table7[[#This Row],[Teva Adjusted %]]*$G$92</f>
        <v>4574.9827983519081</v>
      </c>
      <c r="H70" s="18">
        <f>Table7[[#This Row],[Teva Adjusted %]]*$H$92</f>
        <v>4861.951966966385</v>
      </c>
      <c r="I70" s="18">
        <f>Table7[[#This Row],[Teva Adjusted %]]*$I$92</f>
        <v>4861.951966966385</v>
      </c>
      <c r="J70" s="18">
        <f>Table7[[#This Row],[Teva Adjusted %]]*$J$92</f>
        <v>4861.951966966385</v>
      </c>
      <c r="K70" s="18">
        <f>Table7[[#This Row],[Teva Adjusted %]]*$K$92</f>
        <v>4861.951966966385</v>
      </c>
      <c r="L70" s="18">
        <f>Table7[[#This Row],[Teva Adjusted %]]*$L$92</f>
        <v>4861.951966966385</v>
      </c>
      <c r="M70" s="18">
        <f>Table7[[#This Row],[Teva Adjusted %]]*$M$92</f>
        <v>4861.951966966385</v>
      </c>
      <c r="N70" s="18">
        <f>Table7[[#This Row],[Teva Adjusted %]]*$N$92</f>
        <v>4861.951966966385</v>
      </c>
      <c r="O70" s="18">
        <f>Table7[[#This Row],[Teva Adjusted %]]*$O$92</f>
        <v>4861.951966966385</v>
      </c>
      <c r="P70" s="18">
        <f>SUM(Table7[[#This Row],[Payment 1]:[Payment 13]])</f>
        <v>64383.77081162417</v>
      </c>
    </row>
    <row r="71" spans="1:16" x14ac:dyDescent="0.3">
      <c r="A71" t="s">
        <v>188</v>
      </c>
      <c r="B71">
        <v>2.024544975793521E-2</v>
      </c>
      <c r="C71" s="18">
        <f>Table7[[#This Row],[Teva Adjusted %]]*$C$92</f>
        <v>28643.843915809168</v>
      </c>
      <c r="D71" s="18">
        <f>Table7[[#This Row],[Teva Adjusted %]]*$D$92</f>
        <v>28643.843915809168</v>
      </c>
      <c r="E71" s="18">
        <f>Table7[[#This Row],[Teva Adjusted %]]*$E$92</f>
        <v>22280.505095091223</v>
      </c>
      <c r="F71" s="18">
        <f>Table7[[#This Row],[Teva Adjusted %]]*$F$92</f>
        <v>22280.505095091223</v>
      </c>
      <c r="G71" s="18">
        <f>Table7[[#This Row],[Teva Adjusted %]]*$G$92</f>
        <v>22280.505095091223</v>
      </c>
      <c r="H71" s="18">
        <f>Table7[[#This Row],[Teva Adjusted %]]*$H$92</f>
        <v>23678.06620193347</v>
      </c>
      <c r="I71" s="18">
        <f>Table7[[#This Row],[Teva Adjusted %]]*$I$92</f>
        <v>23678.06620193347</v>
      </c>
      <c r="J71" s="18">
        <f>Table7[[#This Row],[Teva Adjusted %]]*$J$92</f>
        <v>23678.06620193347</v>
      </c>
      <c r="K71" s="18">
        <f>Table7[[#This Row],[Teva Adjusted %]]*$K$92</f>
        <v>23678.06620193347</v>
      </c>
      <c r="L71" s="18">
        <f>Table7[[#This Row],[Teva Adjusted %]]*$L$92</f>
        <v>23678.06620193347</v>
      </c>
      <c r="M71" s="18">
        <f>Table7[[#This Row],[Teva Adjusted %]]*$M$92</f>
        <v>23678.06620193347</v>
      </c>
      <c r="N71" s="18">
        <f>Table7[[#This Row],[Teva Adjusted %]]*$N$92</f>
        <v>23678.06620193347</v>
      </c>
      <c r="O71" s="18">
        <f>Table7[[#This Row],[Teva Adjusted %]]*$O$92</f>
        <v>23678.06620193347</v>
      </c>
      <c r="P71" s="18">
        <f>SUM(Table7[[#This Row],[Payment 1]:[Payment 13]])</f>
        <v>313553.73273235984</v>
      </c>
    </row>
    <row r="72" spans="1:16" x14ac:dyDescent="0.3">
      <c r="A72" t="s">
        <v>189</v>
      </c>
      <c r="B72">
        <v>8.3142266292569585E-4</v>
      </c>
      <c r="C72" s="18">
        <f>Table7[[#This Row],[Teva Adjusted %]]*$C$92</f>
        <v>1176.3206680837357</v>
      </c>
      <c r="D72" s="18">
        <f>Table7[[#This Row],[Teva Adjusted %]]*$D$92</f>
        <v>1176.3206680837357</v>
      </c>
      <c r="E72" s="18">
        <f>Table7[[#This Row],[Teva Adjusted %]]*$E$92</f>
        <v>914.99655967038166</v>
      </c>
      <c r="F72" s="18">
        <f>Table7[[#This Row],[Teva Adjusted %]]*$F$92</f>
        <v>914.99655967038166</v>
      </c>
      <c r="G72" s="18">
        <f>Table7[[#This Row],[Teva Adjusted %]]*$G$92</f>
        <v>914.99655967038166</v>
      </c>
      <c r="H72" s="18">
        <f>Table7[[#This Row],[Teva Adjusted %]]*$H$92</f>
        <v>972.39039339327701</v>
      </c>
      <c r="I72" s="18">
        <f>Table7[[#This Row],[Teva Adjusted %]]*$I$92</f>
        <v>972.39039339327701</v>
      </c>
      <c r="J72" s="18">
        <f>Table7[[#This Row],[Teva Adjusted %]]*$J$92</f>
        <v>972.39039339327701</v>
      </c>
      <c r="K72" s="18">
        <f>Table7[[#This Row],[Teva Adjusted %]]*$K$92</f>
        <v>972.39039339327701</v>
      </c>
      <c r="L72" s="18">
        <f>Table7[[#This Row],[Teva Adjusted %]]*$L$92</f>
        <v>972.39039339327701</v>
      </c>
      <c r="M72" s="18">
        <f>Table7[[#This Row],[Teva Adjusted %]]*$M$92</f>
        <v>972.39039339327701</v>
      </c>
      <c r="N72" s="18">
        <f>Table7[[#This Row],[Teva Adjusted %]]*$N$92</f>
        <v>972.39039339327701</v>
      </c>
      <c r="O72" s="18">
        <f>Table7[[#This Row],[Teva Adjusted %]]*$O$92</f>
        <v>972.39039339327701</v>
      </c>
      <c r="P72" s="18">
        <f>SUM(Table7[[#This Row],[Payment 1]:[Payment 13]])</f>
        <v>12876.754162324836</v>
      </c>
    </row>
    <row r="73" spans="1:16" x14ac:dyDescent="0.3">
      <c r="A73" t="s">
        <v>190</v>
      </c>
      <c r="B73">
        <v>9.55897212083953E-3</v>
      </c>
      <c r="C73" s="18">
        <f>Table7[[#This Row],[Teva Adjusted %]]*$C$92</f>
        <v>13524.308360577696</v>
      </c>
      <c r="D73" s="18">
        <f>Table7[[#This Row],[Teva Adjusted %]]*$D$92</f>
        <v>13524.308360577696</v>
      </c>
      <c r="E73" s="18">
        <f>Table7[[#This Row],[Teva Adjusted %]]*$E$92</f>
        <v>10519.831843139124</v>
      </c>
      <c r="F73" s="18">
        <f>Table7[[#This Row],[Teva Adjusted %]]*$F$92</f>
        <v>10519.831843139124</v>
      </c>
      <c r="G73" s="18">
        <f>Table7[[#This Row],[Teva Adjusted %]]*$G$92</f>
        <v>10519.831843139124</v>
      </c>
      <c r="H73" s="18">
        <f>Table7[[#This Row],[Teva Adjusted %]]*$H$92</f>
        <v>11179.696050514342</v>
      </c>
      <c r="I73" s="18">
        <f>Table7[[#This Row],[Teva Adjusted %]]*$I$92</f>
        <v>11179.696050514342</v>
      </c>
      <c r="J73" s="18">
        <f>Table7[[#This Row],[Teva Adjusted %]]*$J$92</f>
        <v>11179.696050514342</v>
      </c>
      <c r="K73" s="18">
        <f>Table7[[#This Row],[Teva Adjusted %]]*$K$92</f>
        <v>11179.696050514342</v>
      </c>
      <c r="L73" s="18">
        <f>Table7[[#This Row],[Teva Adjusted %]]*$L$92</f>
        <v>11179.696050514342</v>
      </c>
      <c r="M73" s="18">
        <f>Table7[[#This Row],[Teva Adjusted %]]*$M$92</f>
        <v>11179.696050514342</v>
      </c>
      <c r="N73" s="18">
        <f>Table7[[#This Row],[Teva Adjusted %]]*$N$92</f>
        <v>11179.696050514342</v>
      </c>
      <c r="O73" s="18">
        <f>Table7[[#This Row],[Teva Adjusted %]]*$O$92</f>
        <v>11179.696050514342</v>
      </c>
      <c r="P73" s="18">
        <f>SUM(Table7[[#This Row],[Payment 1]:[Payment 13]])</f>
        <v>148045.68065468749</v>
      </c>
    </row>
    <row r="74" spans="1:16" x14ac:dyDescent="0.3">
      <c r="A74" t="s">
        <v>191</v>
      </c>
      <c r="B74">
        <v>2.7631202273507009E-2</v>
      </c>
      <c r="C74" s="18">
        <f>Table7[[#This Row],[Teva Adjusted %]]*$C$92</f>
        <v>39093.418747996533</v>
      </c>
      <c r="D74" s="18">
        <f>Table7[[#This Row],[Teva Adjusted %]]*$D$92</f>
        <v>39093.418747996533</v>
      </c>
      <c r="E74" s="18">
        <f>Table7[[#This Row],[Teva Adjusted %]]*$E$92</f>
        <v>30408.667152334805</v>
      </c>
      <c r="F74" s="18">
        <f>Table7[[#This Row],[Teva Adjusted %]]*$F$92</f>
        <v>30408.667152334805</v>
      </c>
      <c r="G74" s="18">
        <f>Table7[[#This Row],[Teva Adjusted %]]*$G$92</f>
        <v>30408.667152334805</v>
      </c>
      <c r="H74" s="18">
        <f>Table7[[#This Row],[Teva Adjusted %]]*$H$92</f>
        <v>32316.073216139779</v>
      </c>
      <c r="I74" s="18">
        <f>Table7[[#This Row],[Teva Adjusted %]]*$I$92</f>
        <v>32316.073216139779</v>
      </c>
      <c r="J74" s="18">
        <f>Table7[[#This Row],[Teva Adjusted %]]*$J$92</f>
        <v>32316.073216139779</v>
      </c>
      <c r="K74" s="18">
        <f>Table7[[#This Row],[Teva Adjusted %]]*$K$92</f>
        <v>32316.073216139779</v>
      </c>
      <c r="L74" s="18">
        <f>Table7[[#This Row],[Teva Adjusted %]]*$L$92</f>
        <v>32316.073216139779</v>
      </c>
      <c r="M74" s="18">
        <f>Table7[[#This Row],[Teva Adjusted %]]*$M$92</f>
        <v>32316.073216139779</v>
      </c>
      <c r="N74" s="18">
        <f>Table7[[#This Row],[Teva Adjusted %]]*$N$92</f>
        <v>32316.073216139779</v>
      </c>
      <c r="O74" s="18">
        <f>Table7[[#This Row],[Teva Adjusted %]]*$O$92</f>
        <v>32316.073216139779</v>
      </c>
      <c r="P74" s="18">
        <f>SUM(Table7[[#This Row],[Payment 1]:[Payment 13]])</f>
        <v>427941.42468211584</v>
      </c>
    </row>
    <row r="75" spans="1:16" x14ac:dyDescent="0.3">
      <c r="A75" t="s">
        <v>192</v>
      </c>
      <c r="B75">
        <v>8.3142266292569585E-4</v>
      </c>
      <c r="C75" s="18">
        <f>Table7[[#This Row],[Teva Adjusted %]]*$C$92</f>
        <v>1176.3206680837357</v>
      </c>
      <c r="D75" s="18">
        <f>Table7[[#This Row],[Teva Adjusted %]]*$D$92</f>
        <v>1176.3206680837357</v>
      </c>
      <c r="E75" s="18">
        <f>Table7[[#This Row],[Teva Adjusted %]]*$E$92</f>
        <v>914.99655967038166</v>
      </c>
      <c r="F75" s="18">
        <f>Table7[[#This Row],[Teva Adjusted %]]*$F$92</f>
        <v>914.99655967038166</v>
      </c>
      <c r="G75" s="18">
        <f>Table7[[#This Row],[Teva Adjusted %]]*$G$92</f>
        <v>914.99655967038166</v>
      </c>
      <c r="H75" s="18">
        <f>Table7[[#This Row],[Teva Adjusted %]]*$H$92</f>
        <v>972.39039339327701</v>
      </c>
      <c r="I75" s="18">
        <f>Table7[[#This Row],[Teva Adjusted %]]*$I$92</f>
        <v>972.39039339327701</v>
      </c>
      <c r="J75" s="18">
        <f>Table7[[#This Row],[Teva Adjusted %]]*$J$92</f>
        <v>972.39039339327701</v>
      </c>
      <c r="K75" s="18">
        <f>Table7[[#This Row],[Teva Adjusted %]]*$K$92</f>
        <v>972.39039339327701</v>
      </c>
      <c r="L75" s="18">
        <f>Table7[[#This Row],[Teva Adjusted %]]*$L$92</f>
        <v>972.39039339327701</v>
      </c>
      <c r="M75" s="18">
        <f>Table7[[#This Row],[Teva Adjusted %]]*$M$92</f>
        <v>972.39039339327701</v>
      </c>
      <c r="N75" s="18">
        <f>Table7[[#This Row],[Teva Adjusted %]]*$N$92</f>
        <v>972.39039339327701</v>
      </c>
      <c r="O75" s="18">
        <f>Table7[[#This Row],[Teva Adjusted %]]*$O$92</f>
        <v>972.39039339327701</v>
      </c>
      <c r="P75" s="18">
        <f>SUM(Table7[[#This Row],[Payment 1]:[Payment 13]])</f>
        <v>12876.754162324836</v>
      </c>
    </row>
    <row r="76" spans="1:16" x14ac:dyDescent="0.3">
      <c r="A76" t="s">
        <v>193</v>
      </c>
      <c r="B76">
        <v>2.7427525582133291E-3</v>
      </c>
      <c r="C76" s="18">
        <f>Table7[[#This Row],[Teva Adjusted %]]*$C$92</f>
        <v>3880.5251113947775</v>
      </c>
      <c r="D76" s="18">
        <f>Table7[[#This Row],[Teva Adjusted %]]*$D$92</f>
        <v>3880.5251113947775</v>
      </c>
      <c r="E76" s="18">
        <f>Table7[[#This Row],[Teva Adjusted %]]*$E$92</f>
        <v>3018.4517053712038</v>
      </c>
      <c r="F76" s="18">
        <f>Table7[[#This Row],[Teva Adjusted %]]*$F$92</f>
        <v>3018.4517053712038</v>
      </c>
      <c r="G76" s="18">
        <f>Table7[[#This Row],[Teva Adjusted %]]*$G$92</f>
        <v>3018.4517053712038</v>
      </c>
      <c r="H76" s="18">
        <f>Table7[[#This Row],[Teva Adjusted %]]*$H$92</f>
        <v>3207.7863137341828</v>
      </c>
      <c r="I76" s="18">
        <f>Table7[[#This Row],[Teva Adjusted %]]*$I$92</f>
        <v>3207.7863137341828</v>
      </c>
      <c r="J76" s="18">
        <f>Table7[[#This Row],[Teva Adjusted %]]*$J$92</f>
        <v>3207.7863137341828</v>
      </c>
      <c r="K76" s="18">
        <f>Table7[[#This Row],[Teva Adjusted %]]*$K$92</f>
        <v>3207.7863137341828</v>
      </c>
      <c r="L76" s="18">
        <f>Table7[[#This Row],[Teva Adjusted %]]*$L$92</f>
        <v>3207.7863137341828</v>
      </c>
      <c r="M76" s="18">
        <f>Table7[[#This Row],[Teva Adjusted %]]*$M$92</f>
        <v>3207.7863137341828</v>
      </c>
      <c r="N76" s="18">
        <f>Table7[[#This Row],[Teva Adjusted %]]*$N$92</f>
        <v>3207.7863137341828</v>
      </c>
      <c r="O76" s="18">
        <f>Table7[[#This Row],[Teva Adjusted %]]*$O$92</f>
        <v>3207.7863137341828</v>
      </c>
      <c r="P76" s="18">
        <f>SUM(Table7[[#This Row],[Payment 1]:[Payment 13]])</f>
        <v>42478.695848776639</v>
      </c>
    </row>
    <row r="77" spans="1:16" x14ac:dyDescent="0.3">
      <c r="A77" t="s">
        <v>194</v>
      </c>
      <c r="B77">
        <v>8.3142266292569585E-4</v>
      </c>
      <c r="C77" s="18">
        <f>Table7[[#This Row],[Teva Adjusted %]]*$C$92</f>
        <v>1176.3206680837357</v>
      </c>
      <c r="D77" s="18">
        <f>Table7[[#This Row],[Teva Adjusted %]]*$D$92</f>
        <v>1176.3206680837357</v>
      </c>
      <c r="E77" s="18">
        <f>Table7[[#This Row],[Teva Adjusted %]]*$E$92</f>
        <v>914.99655967038166</v>
      </c>
      <c r="F77" s="18">
        <f>Table7[[#This Row],[Teva Adjusted %]]*$F$92</f>
        <v>914.99655967038166</v>
      </c>
      <c r="G77" s="18">
        <f>Table7[[#This Row],[Teva Adjusted %]]*$G$92</f>
        <v>914.99655967038166</v>
      </c>
      <c r="H77" s="18">
        <f>Table7[[#This Row],[Teva Adjusted %]]*$H$92</f>
        <v>972.39039339327701</v>
      </c>
      <c r="I77" s="18">
        <f>Table7[[#This Row],[Teva Adjusted %]]*$I$92</f>
        <v>972.39039339327701</v>
      </c>
      <c r="J77" s="18">
        <f>Table7[[#This Row],[Teva Adjusted %]]*$J$92</f>
        <v>972.39039339327701</v>
      </c>
      <c r="K77" s="18">
        <f>Table7[[#This Row],[Teva Adjusted %]]*$K$92</f>
        <v>972.39039339327701</v>
      </c>
      <c r="L77" s="18">
        <f>Table7[[#This Row],[Teva Adjusted %]]*$L$92</f>
        <v>972.39039339327701</v>
      </c>
      <c r="M77" s="18">
        <f>Table7[[#This Row],[Teva Adjusted %]]*$M$92</f>
        <v>972.39039339327701</v>
      </c>
      <c r="N77" s="18">
        <f>Table7[[#This Row],[Teva Adjusted %]]*$N$92</f>
        <v>972.39039339327701</v>
      </c>
      <c r="O77" s="18">
        <f>Table7[[#This Row],[Teva Adjusted %]]*$O$92</f>
        <v>972.39039339327701</v>
      </c>
      <c r="P77" s="18">
        <f>SUM(Table7[[#This Row],[Payment 1]:[Payment 13]])</f>
        <v>12876.754162324836</v>
      </c>
    </row>
    <row r="78" spans="1:16" x14ac:dyDescent="0.3">
      <c r="A78" t="s">
        <v>195</v>
      </c>
      <c r="B78">
        <v>8.3142266292569585E-4</v>
      </c>
      <c r="C78" s="18">
        <f>Table7[[#This Row],[Teva Adjusted %]]*$C$92</f>
        <v>1176.3206680837357</v>
      </c>
      <c r="D78" s="18">
        <f>Table7[[#This Row],[Teva Adjusted %]]*$D$92</f>
        <v>1176.3206680837357</v>
      </c>
      <c r="E78" s="18">
        <f>Table7[[#This Row],[Teva Adjusted %]]*$E$92</f>
        <v>914.99655967038166</v>
      </c>
      <c r="F78" s="18">
        <f>Table7[[#This Row],[Teva Adjusted %]]*$F$92</f>
        <v>914.99655967038166</v>
      </c>
      <c r="G78" s="18">
        <f>Table7[[#This Row],[Teva Adjusted %]]*$G$92</f>
        <v>914.99655967038166</v>
      </c>
      <c r="H78" s="18">
        <f>Table7[[#This Row],[Teva Adjusted %]]*$H$92</f>
        <v>972.39039339327701</v>
      </c>
      <c r="I78" s="18">
        <f>Table7[[#This Row],[Teva Adjusted %]]*$I$92</f>
        <v>972.39039339327701</v>
      </c>
      <c r="J78" s="18">
        <f>Table7[[#This Row],[Teva Adjusted %]]*$J$92</f>
        <v>972.39039339327701</v>
      </c>
      <c r="K78" s="18">
        <f>Table7[[#This Row],[Teva Adjusted %]]*$K$92</f>
        <v>972.39039339327701</v>
      </c>
      <c r="L78" s="18">
        <f>Table7[[#This Row],[Teva Adjusted %]]*$L$92</f>
        <v>972.39039339327701</v>
      </c>
      <c r="M78" s="18">
        <f>Table7[[#This Row],[Teva Adjusted %]]*$M$92</f>
        <v>972.39039339327701</v>
      </c>
      <c r="N78" s="18">
        <f>Table7[[#This Row],[Teva Adjusted %]]*$N$92</f>
        <v>972.39039339327701</v>
      </c>
      <c r="O78" s="18">
        <f>Table7[[#This Row],[Teva Adjusted %]]*$O$92</f>
        <v>972.39039339327701</v>
      </c>
      <c r="P78" s="18">
        <f>SUM(Table7[[#This Row],[Payment 1]:[Payment 13]])</f>
        <v>12876.754162324836</v>
      </c>
    </row>
    <row r="79" spans="1:16" x14ac:dyDescent="0.3">
      <c r="A79" t="s">
        <v>196</v>
      </c>
      <c r="B79">
        <v>2.2454553347214645E-3</v>
      </c>
      <c r="C79" s="18">
        <f>Table7[[#This Row],[Teva Adjusted %]]*$C$92</f>
        <v>3176.934713563131</v>
      </c>
      <c r="D79" s="18">
        <f>Table7[[#This Row],[Teva Adjusted %]]*$D$92</f>
        <v>3176.934713563131</v>
      </c>
      <c r="E79" s="18">
        <f>Table7[[#This Row],[Teva Adjusted %]]*$E$92</f>
        <v>2471.1665892456713</v>
      </c>
      <c r="F79" s="18">
        <f>Table7[[#This Row],[Teva Adjusted %]]*$F$92</f>
        <v>2471.1665892456713</v>
      </c>
      <c r="G79" s="18">
        <f>Table7[[#This Row],[Teva Adjusted %]]*$G$92</f>
        <v>2471.1665892456713</v>
      </c>
      <c r="H79" s="18">
        <f>Table7[[#This Row],[Teva Adjusted %]]*$H$92</f>
        <v>2626.1723352517911</v>
      </c>
      <c r="I79" s="18">
        <f>Table7[[#This Row],[Teva Adjusted %]]*$I$92</f>
        <v>2626.1723352517911</v>
      </c>
      <c r="J79" s="18">
        <f>Table7[[#This Row],[Teva Adjusted %]]*$J$92</f>
        <v>2626.1723352517911</v>
      </c>
      <c r="K79" s="18">
        <f>Table7[[#This Row],[Teva Adjusted %]]*$K$92</f>
        <v>2626.1723352517911</v>
      </c>
      <c r="L79" s="18">
        <f>Table7[[#This Row],[Teva Adjusted %]]*$L$92</f>
        <v>2626.1723352517911</v>
      </c>
      <c r="M79" s="18">
        <f>Table7[[#This Row],[Teva Adjusted %]]*$M$92</f>
        <v>2626.1723352517911</v>
      </c>
      <c r="N79" s="18">
        <f>Table7[[#This Row],[Teva Adjusted %]]*$N$92</f>
        <v>2626.1723352517911</v>
      </c>
      <c r="O79" s="18">
        <f>Table7[[#This Row],[Teva Adjusted %]]*$O$92</f>
        <v>2626.1723352517911</v>
      </c>
      <c r="P79" s="18">
        <f>SUM(Table7[[#This Row],[Payment 1]:[Payment 13]])</f>
        <v>34776.747876877605</v>
      </c>
    </row>
    <row r="80" spans="1:16" x14ac:dyDescent="0.3">
      <c r="A80" t="s">
        <v>197</v>
      </c>
      <c r="B80">
        <v>2.0785566573142396E-3</v>
      </c>
      <c r="C80" s="18">
        <f>Table7[[#This Row],[Teva Adjusted %]]*$C$92</f>
        <v>2940.8016702093391</v>
      </c>
      <c r="D80" s="18">
        <f>Table7[[#This Row],[Teva Adjusted %]]*$D$92</f>
        <v>2940.8016702093391</v>
      </c>
      <c r="E80" s="18">
        <f>Table7[[#This Row],[Teva Adjusted %]]*$E$92</f>
        <v>2287.491399175954</v>
      </c>
      <c r="F80" s="18">
        <f>Table7[[#This Row],[Teva Adjusted %]]*$F$92</f>
        <v>2287.491399175954</v>
      </c>
      <c r="G80" s="18">
        <f>Table7[[#This Row],[Teva Adjusted %]]*$G$92</f>
        <v>2287.491399175954</v>
      </c>
      <c r="H80" s="18">
        <f>Table7[[#This Row],[Teva Adjusted %]]*$H$92</f>
        <v>2430.9759834831925</v>
      </c>
      <c r="I80" s="18">
        <f>Table7[[#This Row],[Teva Adjusted %]]*$I$92</f>
        <v>2430.9759834831925</v>
      </c>
      <c r="J80" s="18">
        <f>Table7[[#This Row],[Teva Adjusted %]]*$J$92</f>
        <v>2430.9759834831925</v>
      </c>
      <c r="K80" s="18">
        <f>Table7[[#This Row],[Teva Adjusted %]]*$K$92</f>
        <v>2430.9759834831925</v>
      </c>
      <c r="L80" s="18">
        <f>Table7[[#This Row],[Teva Adjusted %]]*$L$92</f>
        <v>2430.9759834831925</v>
      </c>
      <c r="M80" s="18">
        <f>Table7[[#This Row],[Teva Adjusted %]]*$M$92</f>
        <v>2430.9759834831925</v>
      </c>
      <c r="N80" s="18">
        <f>Table7[[#This Row],[Teva Adjusted %]]*$N$92</f>
        <v>2430.9759834831925</v>
      </c>
      <c r="O80" s="18">
        <f>Table7[[#This Row],[Teva Adjusted %]]*$O$92</f>
        <v>2430.9759834831925</v>
      </c>
      <c r="P80" s="18">
        <f>SUM(Table7[[#This Row],[Payment 1]:[Payment 13]])</f>
        <v>32191.885405812085</v>
      </c>
    </row>
    <row r="81" spans="1:16" x14ac:dyDescent="0.3">
      <c r="A81" t="s">
        <v>198</v>
      </c>
      <c r="B81">
        <v>1.3989341096586727E-2</v>
      </c>
      <c r="C81" s="18">
        <f>Table7[[#This Row],[Teva Adjusted %]]*$C$92</f>
        <v>19792.521660260329</v>
      </c>
      <c r="D81" s="18">
        <f>Table7[[#This Row],[Teva Adjusted %]]*$D$92</f>
        <v>19792.521660260329</v>
      </c>
      <c r="E81" s="18">
        <f>Table7[[#This Row],[Teva Adjusted %]]*$E$92</f>
        <v>15395.537728535903</v>
      </c>
      <c r="F81" s="18">
        <f>Table7[[#This Row],[Teva Adjusted %]]*$F$92</f>
        <v>15395.537728535903</v>
      </c>
      <c r="G81" s="18">
        <f>Table7[[#This Row],[Teva Adjusted %]]*$G$92</f>
        <v>15395.537728535903</v>
      </c>
      <c r="H81" s="18">
        <f>Table7[[#This Row],[Teva Adjusted %]]*$H$92</f>
        <v>16361.234181847665</v>
      </c>
      <c r="I81" s="18">
        <f>Table7[[#This Row],[Teva Adjusted %]]*$I$92</f>
        <v>16361.234181847665</v>
      </c>
      <c r="J81" s="18">
        <f>Table7[[#This Row],[Teva Adjusted %]]*$J$92</f>
        <v>16361.234181847665</v>
      </c>
      <c r="K81" s="18">
        <f>Table7[[#This Row],[Teva Adjusted %]]*$K$92</f>
        <v>16361.234181847665</v>
      </c>
      <c r="L81" s="18">
        <f>Table7[[#This Row],[Teva Adjusted %]]*$L$92</f>
        <v>16361.234181847665</v>
      </c>
      <c r="M81" s="18">
        <f>Table7[[#This Row],[Teva Adjusted %]]*$M$92</f>
        <v>16361.234181847665</v>
      </c>
      <c r="N81" s="18">
        <f>Table7[[#This Row],[Teva Adjusted %]]*$N$92</f>
        <v>16361.234181847665</v>
      </c>
      <c r="O81" s="18">
        <f>Table7[[#This Row],[Teva Adjusted %]]*$O$92</f>
        <v>16361.234181847665</v>
      </c>
      <c r="P81" s="18">
        <f>SUM(Table7[[#This Row],[Payment 1]:[Payment 13]])</f>
        <v>216661.52996090965</v>
      </c>
    </row>
    <row r="82" spans="1:16" x14ac:dyDescent="0.3">
      <c r="A82" t="s">
        <v>199</v>
      </c>
      <c r="B82">
        <v>2.0785566573142396E-3</v>
      </c>
      <c r="C82" s="18">
        <f>Table7[[#This Row],[Teva Adjusted %]]*$C$92</f>
        <v>2940.8016702093391</v>
      </c>
      <c r="D82" s="18">
        <f>Table7[[#This Row],[Teva Adjusted %]]*$D$92</f>
        <v>2940.8016702093391</v>
      </c>
      <c r="E82" s="18">
        <f>Table7[[#This Row],[Teva Adjusted %]]*$E$92</f>
        <v>2287.491399175954</v>
      </c>
      <c r="F82" s="18">
        <f>Table7[[#This Row],[Teva Adjusted %]]*$F$92</f>
        <v>2287.491399175954</v>
      </c>
      <c r="G82" s="18">
        <f>Table7[[#This Row],[Teva Adjusted %]]*$G$92</f>
        <v>2287.491399175954</v>
      </c>
      <c r="H82" s="18">
        <f>Table7[[#This Row],[Teva Adjusted %]]*$H$92</f>
        <v>2430.9759834831925</v>
      </c>
      <c r="I82" s="18">
        <f>Table7[[#This Row],[Teva Adjusted %]]*$I$92</f>
        <v>2430.9759834831925</v>
      </c>
      <c r="J82" s="18">
        <f>Table7[[#This Row],[Teva Adjusted %]]*$J$92</f>
        <v>2430.9759834831925</v>
      </c>
      <c r="K82" s="18">
        <f>Table7[[#This Row],[Teva Adjusted %]]*$K$92</f>
        <v>2430.9759834831925</v>
      </c>
      <c r="L82" s="18">
        <f>Table7[[#This Row],[Teva Adjusted %]]*$L$92</f>
        <v>2430.9759834831925</v>
      </c>
      <c r="M82" s="18">
        <f>Table7[[#This Row],[Teva Adjusted %]]*$M$92</f>
        <v>2430.9759834831925</v>
      </c>
      <c r="N82" s="18">
        <f>Table7[[#This Row],[Teva Adjusted %]]*$N$92</f>
        <v>2430.9759834831925</v>
      </c>
      <c r="O82" s="18">
        <f>Table7[[#This Row],[Teva Adjusted %]]*$O$92</f>
        <v>2430.9759834831925</v>
      </c>
      <c r="P82" s="18">
        <f>SUM(Table7[[#This Row],[Payment 1]:[Payment 13]])</f>
        <v>32191.885405812085</v>
      </c>
    </row>
    <row r="83" spans="1:16" x14ac:dyDescent="0.3">
      <c r="A83" t="s">
        <v>200</v>
      </c>
      <c r="B83">
        <v>8.3142266292569585E-4</v>
      </c>
      <c r="C83" s="18">
        <f>Table7[[#This Row],[Teva Adjusted %]]*$C$92</f>
        <v>1176.3206680837357</v>
      </c>
      <c r="D83" s="18">
        <f>Table7[[#This Row],[Teva Adjusted %]]*$D$92</f>
        <v>1176.3206680837357</v>
      </c>
      <c r="E83" s="18">
        <f>Table7[[#This Row],[Teva Adjusted %]]*$E$92</f>
        <v>914.99655967038166</v>
      </c>
      <c r="F83" s="18">
        <f>Table7[[#This Row],[Teva Adjusted %]]*$F$92</f>
        <v>914.99655967038166</v>
      </c>
      <c r="G83" s="18">
        <f>Table7[[#This Row],[Teva Adjusted %]]*$G$92</f>
        <v>914.99655967038166</v>
      </c>
      <c r="H83" s="18">
        <f>Table7[[#This Row],[Teva Adjusted %]]*$H$92</f>
        <v>972.39039339327701</v>
      </c>
      <c r="I83" s="18">
        <f>Table7[[#This Row],[Teva Adjusted %]]*$I$92</f>
        <v>972.39039339327701</v>
      </c>
      <c r="J83" s="18">
        <f>Table7[[#This Row],[Teva Adjusted %]]*$J$92</f>
        <v>972.39039339327701</v>
      </c>
      <c r="K83" s="18">
        <f>Table7[[#This Row],[Teva Adjusted %]]*$K$92</f>
        <v>972.39039339327701</v>
      </c>
      <c r="L83" s="18">
        <f>Table7[[#This Row],[Teva Adjusted %]]*$L$92</f>
        <v>972.39039339327701</v>
      </c>
      <c r="M83" s="18">
        <f>Table7[[#This Row],[Teva Adjusted %]]*$M$92</f>
        <v>972.39039339327701</v>
      </c>
      <c r="N83" s="18">
        <f>Table7[[#This Row],[Teva Adjusted %]]*$N$92</f>
        <v>972.39039339327701</v>
      </c>
      <c r="O83" s="18">
        <f>Table7[[#This Row],[Teva Adjusted %]]*$O$92</f>
        <v>972.39039339327701</v>
      </c>
      <c r="P83" s="18">
        <f>SUM(Table7[[#This Row],[Payment 1]:[Payment 13]])</f>
        <v>12876.754162324836</v>
      </c>
    </row>
    <row r="84" spans="1:16" x14ac:dyDescent="0.3">
      <c r="A84" t="s">
        <v>201</v>
      </c>
      <c r="B84">
        <v>2.3699667451665581E-2</v>
      </c>
      <c r="C84" s="18">
        <f>Table7[[#This Row],[Teva Adjusted %]]*$C$92</f>
        <v>33530.970339447085</v>
      </c>
      <c r="D84" s="18">
        <f>Table7[[#This Row],[Teva Adjusted %]]*$D$92</f>
        <v>33530.970339447085</v>
      </c>
      <c r="E84" s="18">
        <f>Table7[[#This Row],[Teva Adjusted %]]*$E$92</f>
        <v>26081.937804411427</v>
      </c>
      <c r="F84" s="18">
        <f>Table7[[#This Row],[Teva Adjusted %]]*$F$92</f>
        <v>26081.937804411427</v>
      </c>
      <c r="G84" s="18">
        <f>Table7[[#This Row],[Teva Adjusted %]]*$G$92</f>
        <v>26081.937804411427</v>
      </c>
      <c r="H84" s="18">
        <f>Table7[[#This Row],[Teva Adjusted %]]*$H$92</f>
        <v>27717.946580287644</v>
      </c>
      <c r="I84" s="18">
        <f>Table7[[#This Row],[Teva Adjusted %]]*$I$92</f>
        <v>27717.946580287644</v>
      </c>
      <c r="J84" s="18">
        <f>Table7[[#This Row],[Teva Adjusted %]]*$J$92</f>
        <v>27717.946580287644</v>
      </c>
      <c r="K84" s="18">
        <f>Table7[[#This Row],[Teva Adjusted %]]*$K$92</f>
        <v>27717.946580287644</v>
      </c>
      <c r="L84" s="18">
        <f>Table7[[#This Row],[Teva Adjusted %]]*$L$92</f>
        <v>27717.946580287644</v>
      </c>
      <c r="M84" s="18">
        <f>Table7[[#This Row],[Teva Adjusted %]]*$M$92</f>
        <v>27717.946580287644</v>
      </c>
      <c r="N84" s="18">
        <f>Table7[[#This Row],[Teva Adjusted %]]*$N$92</f>
        <v>27717.946580287644</v>
      </c>
      <c r="O84" s="18">
        <f>Table7[[#This Row],[Teva Adjusted %]]*$O$92</f>
        <v>27717.946580287644</v>
      </c>
      <c r="P84" s="18">
        <f>SUM(Table7[[#This Row],[Payment 1]:[Payment 13]])</f>
        <v>367051.32673442963</v>
      </c>
    </row>
    <row r="85" spans="1:16" x14ac:dyDescent="0.3">
      <c r="A85" t="s">
        <v>202</v>
      </c>
      <c r="B85">
        <v>8.3142266292569585E-4</v>
      </c>
      <c r="C85" s="18">
        <f>Table7[[#This Row],[Teva Adjusted %]]*$C$92</f>
        <v>1176.3206680837357</v>
      </c>
      <c r="D85" s="18">
        <f>Table7[[#This Row],[Teva Adjusted %]]*$D$92</f>
        <v>1176.3206680837357</v>
      </c>
      <c r="E85" s="18">
        <f>Table7[[#This Row],[Teva Adjusted %]]*$E$92</f>
        <v>914.99655967038166</v>
      </c>
      <c r="F85" s="18">
        <f>Table7[[#This Row],[Teva Adjusted %]]*$F$92</f>
        <v>914.99655967038166</v>
      </c>
      <c r="G85" s="18">
        <f>Table7[[#This Row],[Teva Adjusted %]]*$G$92</f>
        <v>914.99655967038166</v>
      </c>
      <c r="H85" s="18">
        <f>Table7[[#This Row],[Teva Adjusted %]]*$H$92</f>
        <v>972.39039339327701</v>
      </c>
      <c r="I85" s="18">
        <f>Table7[[#This Row],[Teva Adjusted %]]*$I$92</f>
        <v>972.39039339327701</v>
      </c>
      <c r="J85" s="18">
        <f>Table7[[#This Row],[Teva Adjusted %]]*$J$92</f>
        <v>972.39039339327701</v>
      </c>
      <c r="K85" s="18">
        <f>Table7[[#This Row],[Teva Adjusted %]]*$K$92</f>
        <v>972.39039339327701</v>
      </c>
      <c r="L85" s="18">
        <f>Table7[[#This Row],[Teva Adjusted %]]*$L$92</f>
        <v>972.39039339327701</v>
      </c>
      <c r="M85" s="18">
        <f>Table7[[#This Row],[Teva Adjusted %]]*$M$92</f>
        <v>972.39039339327701</v>
      </c>
      <c r="N85" s="18">
        <f>Table7[[#This Row],[Teva Adjusted %]]*$N$92</f>
        <v>972.39039339327701</v>
      </c>
      <c r="O85" s="18">
        <f>Table7[[#This Row],[Teva Adjusted %]]*$O$92</f>
        <v>972.39039339327701</v>
      </c>
      <c r="P85" s="18">
        <f>SUM(Table7[[#This Row],[Payment 1]:[Payment 13]])</f>
        <v>12876.754162324836</v>
      </c>
    </row>
    <row r="86" spans="1:16" x14ac:dyDescent="0.3">
      <c r="A86" t="s">
        <v>203</v>
      </c>
      <c r="B86">
        <v>2.962132669033511E-3</v>
      </c>
      <c r="C86" s="18">
        <f>Table7[[#This Row],[Teva Adjusted %]]*$C$92</f>
        <v>4190.9103943941454</v>
      </c>
      <c r="D86" s="18">
        <f>Table7[[#This Row],[Teva Adjusted %]]*$D$92</f>
        <v>4190.9103943941454</v>
      </c>
      <c r="E86" s="18">
        <f>Table7[[#This Row],[Teva Adjusted %]]*$E$92</f>
        <v>3259.8837177657383</v>
      </c>
      <c r="F86" s="18">
        <f>Table7[[#This Row],[Teva Adjusted %]]*$F$92</f>
        <v>3259.8837177657383</v>
      </c>
      <c r="G86" s="18">
        <f>Table7[[#This Row],[Teva Adjusted %]]*$G$92</f>
        <v>3259.8837177657383</v>
      </c>
      <c r="H86" s="18">
        <f>Table7[[#This Row],[Teva Adjusted %]]*$H$92</f>
        <v>3464.3623270851231</v>
      </c>
      <c r="I86" s="18">
        <f>Table7[[#This Row],[Teva Adjusted %]]*$I$92</f>
        <v>3464.3623270851231</v>
      </c>
      <c r="J86" s="18">
        <f>Table7[[#This Row],[Teva Adjusted %]]*$J$92</f>
        <v>3464.3623270851231</v>
      </c>
      <c r="K86" s="18">
        <f>Table7[[#This Row],[Teva Adjusted %]]*$K$92</f>
        <v>3464.3623270851231</v>
      </c>
      <c r="L86" s="18">
        <f>Table7[[#This Row],[Teva Adjusted %]]*$L$92</f>
        <v>3464.3623270851231</v>
      </c>
      <c r="M86" s="18">
        <f>Table7[[#This Row],[Teva Adjusted %]]*$M$92</f>
        <v>3464.3623270851231</v>
      </c>
      <c r="N86" s="18">
        <f>Table7[[#This Row],[Teva Adjusted %]]*$N$92</f>
        <v>3464.3623270851231</v>
      </c>
      <c r="O86" s="18">
        <f>Table7[[#This Row],[Teva Adjusted %]]*$O$92</f>
        <v>3464.3623270851231</v>
      </c>
      <c r="P86" s="18">
        <f>SUM(Table7[[#This Row],[Payment 1]:[Payment 13]])</f>
        <v>45876.370558766495</v>
      </c>
    </row>
    <row r="87" spans="1:16" x14ac:dyDescent="0.3">
      <c r="A87" t="s">
        <v>204</v>
      </c>
      <c r="B87">
        <v>8.3142266292569585E-4</v>
      </c>
      <c r="C87" s="18">
        <f>Table7[[#This Row],[Teva Adjusted %]]*$C$92</f>
        <v>1176.3206680837357</v>
      </c>
      <c r="D87" s="18">
        <f>Table7[[#This Row],[Teva Adjusted %]]*$D$92</f>
        <v>1176.3206680837357</v>
      </c>
      <c r="E87" s="18">
        <f>Table7[[#This Row],[Teva Adjusted %]]*$E$92</f>
        <v>914.99655967038166</v>
      </c>
      <c r="F87" s="18">
        <f>Table7[[#This Row],[Teva Adjusted %]]*$F$92</f>
        <v>914.99655967038166</v>
      </c>
      <c r="G87" s="18">
        <f>Table7[[#This Row],[Teva Adjusted %]]*$G$92</f>
        <v>914.99655967038166</v>
      </c>
      <c r="H87" s="18">
        <f>Table7[[#This Row],[Teva Adjusted %]]*$H$92</f>
        <v>972.39039339327701</v>
      </c>
      <c r="I87" s="18">
        <f>Table7[[#This Row],[Teva Adjusted %]]*$I$92</f>
        <v>972.39039339327701</v>
      </c>
      <c r="J87" s="18">
        <f>Table7[[#This Row],[Teva Adjusted %]]*$J$92</f>
        <v>972.39039339327701</v>
      </c>
      <c r="K87" s="18">
        <f>Table7[[#This Row],[Teva Adjusted %]]*$K$92</f>
        <v>972.39039339327701</v>
      </c>
      <c r="L87" s="18">
        <f>Table7[[#This Row],[Teva Adjusted %]]*$L$92</f>
        <v>972.39039339327701</v>
      </c>
      <c r="M87" s="18">
        <f>Table7[[#This Row],[Teva Adjusted %]]*$M$92</f>
        <v>972.39039339327701</v>
      </c>
      <c r="N87" s="18">
        <f>Table7[[#This Row],[Teva Adjusted %]]*$N$92</f>
        <v>972.39039339327701</v>
      </c>
      <c r="O87" s="18">
        <f>Table7[[#This Row],[Teva Adjusted %]]*$O$92</f>
        <v>972.39039339327701</v>
      </c>
      <c r="P87" s="18">
        <f>SUM(Table7[[#This Row],[Payment 1]:[Payment 13]])</f>
        <v>12876.754162324836</v>
      </c>
    </row>
    <row r="88" spans="1:16" x14ac:dyDescent="0.3">
      <c r="A88" t="s">
        <v>205</v>
      </c>
      <c r="B88">
        <v>8.3142266292569585E-4</v>
      </c>
      <c r="C88" s="18">
        <f>Table7[[#This Row],[Teva Adjusted %]]*$C$92</f>
        <v>1176.3206680837357</v>
      </c>
      <c r="D88" s="18">
        <f>Table7[[#This Row],[Teva Adjusted %]]*$D$92</f>
        <v>1176.3206680837357</v>
      </c>
      <c r="E88" s="18">
        <f>Table7[[#This Row],[Teva Adjusted %]]*$E$92</f>
        <v>914.99655967038166</v>
      </c>
      <c r="F88" s="18">
        <f>Table7[[#This Row],[Teva Adjusted %]]*$F$92</f>
        <v>914.99655967038166</v>
      </c>
      <c r="G88" s="18">
        <f>Table7[[#This Row],[Teva Adjusted %]]*$G$92</f>
        <v>914.99655967038166</v>
      </c>
      <c r="H88" s="18">
        <f>Table7[[#This Row],[Teva Adjusted %]]*$H$92</f>
        <v>972.39039339327701</v>
      </c>
      <c r="I88" s="18">
        <f>Table7[[#This Row],[Teva Adjusted %]]*$I$92</f>
        <v>972.39039339327701</v>
      </c>
      <c r="J88" s="18">
        <f>Table7[[#This Row],[Teva Adjusted %]]*$J$92</f>
        <v>972.39039339327701</v>
      </c>
      <c r="K88" s="18">
        <f>Table7[[#This Row],[Teva Adjusted %]]*$K$92</f>
        <v>972.39039339327701</v>
      </c>
      <c r="L88" s="18">
        <f>Table7[[#This Row],[Teva Adjusted %]]*$L$92</f>
        <v>972.39039339327701</v>
      </c>
      <c r="M88" s="18">
        <f>Table7[[#This Row],[Teva Adjusted %]]*$M$92</f>
        <v>972.39039339327701</v>
      </c>
      <c r="N88" s="18">
        <f>Table7[[#This Row],[Teva Adjusted %]]*$N$92</f>
        <v>972.39039339327701</v>
      </c>
      <c r="O88" s="18">
        <f>Table7[[#This Row],[Teva Adjusted %]]*$O$92</f>
        <v>972.39039339327701</v>
      </c>
      <c r="P88" s="18">
        <f>SUM(Table7[[#This Row],[Payment 1]:[Payment 13]])</f>
        <v>12876.754162324836</v>
      </c>
    </row>
    <row r="89" spans="1:16" x14ac:dyDescent="0.3">
      <c r="A89" t="s">
        <v>206</v>
      </c>
      <c r="B89">
        <v>2.0785566573142396E-3</v>
      </c>
      <c r="C89" s="18">
        <f>Table7[[#This Row],[Teva Adjusted %]]*$C$92</f>
        <v>2940.8016702093391</v>
      </c>
      <c r="D89" s="18">
        <f>Table7[[#This Row],[Teva Adjusted %]]*$D$92</f>
        <v>2940.8016702093391</v>
      </c>
      <c r="E89" s="18">
        <f>Table7[[#This Row],[Teva Adjusted %]]*$E$92</f>
        <v>2287.491399175954</v>
      </c>
      <c r="F89" s="18">
        <f>Table7[[#This Row],[Teva Adjusted %]]*$F$92</f>
        <v>2287.491399175954</v>
      </c>
      <c r="G89" s="18">
        <f>Table7[[#This Row],[Teva Adjusted %]]*$G$92</f>
        <v>2287.491399175954</v>
      </c>
      <c r="H89" s="18">
        <f>Table7[[#This Row],[Teva Adjusted %]]*$H$92</f>
        <v>2430.9759834831925</v>
      </c>
      <c r="I89" s="18">
        <f>Table7[[#This Row],[Teva Adjusted %]]*$I$92</f>
        <v>2430.9759834831925</v>
      </c>
      <c r="J89" s="18">
        <f>Table7[[#This Row],[Teva Adjusted %]]*$J$92</f>
        <v>2430.9759834831925</v>
      </c>
      <c r="K89" s="18">
        <f>Table7[[#This Row],[Teva Adjusted %]]*$K$92</f>
        <v>2430.9759834831925</v>
      </c>
      <c r="L89" s="18">
        <f>Table7[[#This Row],[Teva Adjusted %]]*$L$92</f>
        <v>2430.9759834831925</v>
      </c>
      <c r="M89" s="18">
        <f>Table7[[#This Row],[Teva Adjusted %]]*$M$92</f>
        <v>2430.9759834831925</v>
      </c>
      <c r="N89" s="18">
        <f>Table7[[#This Row],[Teva Adjusted %]]*$N$92</f>
        <v>2430.9759834831925</v>
      </c>
      <c r="O89" s="18">
        <f>Table7[[#This Row],[Teva Adjusted %]]*$O$92</f>
        <v>2430.9759834831925</v>
      </c>
      <c r="P89" s="18">
        <f>SUM(Table7[[#This Row],[Payment 1]:[Payment 13]])</f>
        <v>32191.885405812085</v>
      </c>
    </row>
    <row r="90" spans="1:16" x14ac:dyDescent="0.3">
      <c r="A90" t="s">
        <v>207</v>
      </c>
      <c r="B90">
        <v>3.0500584533214168E-2</v>
      </c>
      <c r="C90" s="18">
        <f>Table7[[#This Row],[Teva Adjusted %]]*$C$92</f>
        <v>43153.103198801546</v>
      </c>
      <c r="D90" s="18">
        <f>Table7[[#This Row],[Teva Adjusted %]]*$D$92</f>
        <v>43153.103198801546</v>
      </c>
      <c r="E90" s="18">
        <f>Table7[[#This Row],[Teva Adjusted %]]*$E$92</f>
        <v>33566.477268759205</v>
      </c>
      <c r="F90" s="18">
        <f>Table7[[#This Row],[Teva Adjusted %]]*$F$92</f>
        <v>33566.477268759205</v>
      </c>
      <c r="G90" s="18">
        <f>Table7[[#This Row],[Teva Adjusted %]]*$G$92</f>
        <v>33566.477268759205</v>
      </c>
      <c r="H90" s="18">
        <f>Table7[[#This Row],[Teva Adjusted %]]*$H$92</f>
        <v>35671.959299992763</v>
      </c>
      <c r="I90" s="18">
        <f>Table7[[#This Row],[Teva Adjusted %]]*$I$92</f>
        <v>35671.959299992763</v>
      </c>
      <c r="J90" s="18">
        <f>Table7[[#This Row],[Teva Adjusted %]]*$J$92</f>
        <v>35671.959299992763</v>
      </c>
      <c r="K90" s="18">
        <f>Table7[[#This Row],[Teva Adjusted %]]*$K$92</f>
        <v>35671.959299992763</v>
      </c>
      <c r="L90" s="18">
        <f>Table7[[#This Row],[Teva Adjusted %]]*$L$92</f>
        <v>35671.959299992763</v>
      </c>
      <c r="M90" s="18">
        <f>Table7[[#This Row],[Teva Adjusted %]]*$M$92</f>
        <v>35671.959299992763</v>
      </c>
      <c r="N90" s="18">
        <f>Table7[[#This Row],[Teva Adjusted %]]*$N$92</f>
        <v>35671.959299992763</v>
      </c>
      <c r="O90" s="18">
        <f>Table7[[#This Row],[Teva Adjusted %]]*$O$92</f>
        <v>35671.959299992763</v>
      </c>
      <c r="P90" s="18">
        <f>SUM(Table7[[#This Row],[Payment 1]:[Payment 13]])</f>
        <v>472381.31260382285</v>
      </c>
    </row>
    <row r="92" spans="1:16" x14ac:dyDescent="0.3">
      <c r="A92" t="s">
        <v>6</v>
      </c>
      <c r="C92" s="7">
        <f>'Teva Allergan Lit Breakdown'!E2</f>
        <v>1414828.7273579687</v>
      </c>
      <c r="D92" s="7">
        <f>'Teva Allergan Lit Breakdown'!E3</f>
        <v>1414828.7273579687</v>
      </c>
      <c r="E92" s="7">
        <f>'Teva Allergan Lit Breakdown'!E4</f>
        <v>1100519.1468447556</v>
      </c>
      <c r="F92" s="7">
        <f>'Teva Allergan Lit Breakdown'!E5</f>
        <v>1100519.1468447556</v>
      </c>
      <c r="G92" s="7">
        <f>'Teva Allergan Lit Breakdown'!E6</f>
        <v>1100519.1468447556</v>
      </c>
      <c r="H92" s="7">
        <f>'Teva Allergan Lit Breakdown'!E7</f>
        <v>1169550.0216117869</v>
      </c>
      <c r="I92" s="7">
        <f>'Teva Allergan Lit Breakdown'!E8</f>
        <v>1169550.0216117869</v>
      </c>
      <c r="J92" s="7">
        <f>'Teva Allergan Lit Breakdown'!E9</f>
        <v>1169550.0216117869</v>
      </c>
      <c r="K92" s="7">
        <f>'Teva Allergan Lit Breakdown'!E10</f>
        <v>1169550.0216117869</v>
      </c>
      <c r="L92" s="7">
        <f>'Teva Allergan Lit Breakdown'!E11</f>
        <v>1169550.0216117869</v>
      </c>
      <c r="M92" s="7">
        <f>'Teva Allergan Lit Breakdown'!E12</f>
        <v>1169550.0216117869</v>
      </c>
      <c r="N92" s="7">
        <f>'Teva Allergan Lit Breakdown'!E13</f>
        <v>1169550.0216117869</v>
      </c>
      <c r="O92" s="7">
        <f>'Teva Allergan Lit Breakdown'!E14</f>
        <v>1169550.0216117869</v>
      </c>
      <c r="P92" s="7">
        <f>SUM(C92:O92)</f>
        <v>15487615.068144504</v>
      </c>
    </row>
    <row r="94" spans="1:16" x14ac:dyDescent="0.3">
      <c r="A94" t="s">
        <v>214</v>
      </c>
      <c r="B94" t="s">
        <v>215</v>
      </c>
      <c r="C94" t="s">
        <v>93</v>
      </c>
      <c r="D94" t="s">
        <v>94</v>
      </c>
      <c r="E94" t="s">
        <v>95</v>
      </c>
      <c r="F94" t="s">
        <v>96</v>
      </c>
      <c r="G94" t="s">
        <v>97</v>
      </c>
      <c r="H94" t="s">
        <v>98</v>
      </c>
      <c r="I94" t="s">
        <v>99</v>
      </c>
      <c r="J94" t="s">
        <v>100</v>
      </c>
      <c r="K94" t="s">
        <v>101</v>
      </c>
      <c r="L94" t="s">
        <v>102</v>
      </c>
      <c r="M94" t="s">
        <v>103</v>
      </c>
      <c r="N94" t="s">
        <v>104</v>
      </c>
      <c r="O94" t="s">
        <v>105</v>
      </c>
      <c r="P94" t="s">
        <v>6</v>
      </c>
    </row>
    <row r="95" spans="1:16" x14ac:dyDescent="0.3">
      <c r="A95" t="s">
        <v>76</v>
      </c>
      <c r="B95">
        <v>0.7</v>
      </c>
      <c r="C95" s="7">
        <f>Table8[[#This Row],[Bellwether Percent]]*$C$99</f>
        <v>330126.70305019268</v>
      </c>
      <c r="D95" s="7">
        <f>Table8[[#This Row],[Bellwether Percent]]*$D$99</f>
        <v>330126.70305019268</v>
      </c>
      <c r="E95" s="7">
        <f>Table8[[#This Row],[Bellwether Percent]]*$E$99</f>
        <v>256787.80093044299</v>
      </c>
      <c r="F95" s="7">
        <f>Table8[[#This Row],[Bellwether Percent]]*$F$99</f>
        <v>256787.80093044299</v>
      </c>
      <c r="G95" s="7">
        <f>Table8[[#This Row],[Bellwether Percent]]*$G$99</f>
        <v>256787.80093044299</v>
      </c>
      <c r="H95" s="7">
        <f>Table8[[#This Row],[Bellwether Percent]]*$H$99</f>
        <v>272895.00504275027</v>
      </c>
      <c r="I95" s="7">
        <f>Table8[[#This Row],[Bellwether Percent]]*$I$99</f>
        <v>272895.00504275027</v>
      </c>
      <c r="J95" s="7">
        <f>Table8[[#This Row],[Bellwether Percent]]*$J$99</f>
        <v>272895.00504275027</v>
      </c>
      <c r="K95" s="7">
        <f>Table8[[#This Row],[Bellwether Percent]]*$K$99</f>
        <v>272895.00504275027</v>
      </c>
      <c r="L95" s="7">
        <f>Table8[[#This Row],[Bellwether Percent]]*$L$99</f>
        <v>272895.00504275027</v>
      </c>
      <c r="M95" s="7">
        <f>Table8[[#This Row],[Bellwether Percent]]*$M$99</f>
        <v>272895.00504275027</v>
      </c>
      <c r="N95" s="7">
        <f>Table8[[#This Row],[Bellwether Percent]]*$N$99</f>
        <v>272895.00504275027</v>
      </c>
      <c r="O95" s="7">
        <f>Table8[[#This Row],[Bellwether Percent]]*$O$99</f>
        <v>272895.00504275027</v>
      </c>
      <c r="P95" s="7">
        <f>SUM(Table8[[#This Row],[Payment 1]:[Payment 13]])</f>
        <v>3613776.8492337172</v>
      </c>
    </row>
    <row r="96" spans="1:16" x14ac:dyDescent="0.3">
      <c r="A96" t="s">
        <v>48</v>
      </c>
      <c r="B96">
        <v>0.25</v>
      </c>
      <c r="C96" s="7">
        <f>Table8[[#This Row],[Bellwether Percent]]*$C$99</f>
        <v>117902.3939464974</v>
      </c>
      <c r="D96" s="7">
        <f>Table8[[#This Row],[Bellwether Percent]]*$D$99</f>
        <v>117902.3939464974</v>
      </c>
      <c r="E96" s="7">
        <f>Table8[[#This Row],[Bellwether Percent]]*$E$99</f>
        <v>91709.92890372964</v>
      </c>
      <c r="F96" s="7">
        <f>Table8[[#This Row],[Bellwether Percent]]*$F$99</f>
        <v>91709.92890372964</v>
      </c>
      <c r="G96" s="7">
        <f>Table8[[#This Row],[Bellwether Percent]]*$G$99</f>
        <v>91709.92890372964</v>
      </c>
      <c r="H96" s="7">
        <f>Table8[[#This Row],[Bellwether Percent]]*$H$99</f>
        <v>97462.501800982252</v>
      </c>
      <c r="I96" s="7">
        <f>Table8[[#This Row],[Bellwether Percent]]*$I$99</f>
        <v>97462.501800982238</v>
      </c>
      <c r="J96" s="7">
        <f>Table8[[#This Row],[Bellwether Percent]]*$J$99</f>
        <v>97462.501800982238</v>
      </c>
      <c r="K96" s="7">
        <f>Table8[[#This Row],[Bellwether Percent]]*$K$99</f>
        <v>97462.501800982238</v>
      </c>
      <c r="L96" s="7">
        <f>Table8[[#This Row],[Bellwether Percent]]*$L$99</f>
        <v>97462.501800982238</v>
      </c>
      <c r="M96" s="7">
        <f>Table8[[#This Row],[Bellwether Percent]]*$M$99</f>
        <v>97462.501800982252</v>
      </c>
      <c r="N96" s="7">
        <f>Table8[[#This Row],[Bellwether Percent]]*$N$99</f>
        <v>97462.501800982252</v>
      </c>
      <c r="O96" s="7">
        <f>Table8[[#This Row],[Bellwether Percent]]*$O$99</f>
        <v>97462.501800982252</v>
      </c>
      <c r="P96" s="7">
        <f>SUM(Table8[[#This Row],[Payment 1]:[Payment 13]])</f>
        <v>1290634.5890120419</v>
      </c>
    </row>
    <row r="97" spans="1:16" x14ac:dyDescent="0.3">
      <c r="A97" t="s">
        <v>38</v>
      </c>
      <c r="B97">
        <v>0.05</v>
      </c>
      <c r="C97" s="7">
        <f>Table8[[#This Row],[Bellwether Percent]]*$C$99</f>
        <v>23580.478789299479</v>
      </c>
      <c r="D97" s="7">
        <f>Table8[[#This Row],[Bellwether Percent]]*$D$99</f>
        <v>23580.478789299479</v>
      </c>
      <c r="E97" s="7">
        <f>Table8[[#This Row],[Bellwether Percent]]*$E$99</f>
        <v>18341.98578074593</v>
      </c>
      <c r="F97" s="7">
        <f>Table8[[#This Row],[Bellwether Percent]]*$F$99</f>
        <v>18341.98578074593</v>
      </c>
      <c r="G97" s="7">
        <f>Table8[[#This Row],[Bellwether Percent]]*$G$99</f>
        <v>18341.98578074593</v>
      </c>
      <c r="H97" s="7">
        <f>Table8[[#This Row],[Bellwether Percent]]*$H$99</f>
        <v>19492.500360196453</v>
      </c>
      <c r="I97" s="7">
        <f>Table8[[#This Row],[Bellwether Percent]]*$I$99</f>
        <v>19492.500360196449</v>
      </c>
      <c r="J97" s="7">
        <f>Table8[[#This Row],[Bellwether Percent]]*$J$99</f>
        <v>19492.500360196449</v>
      </c>
      <c r="K97" s="7">
        <f>Table8[[#This Row],[Bellwether Percent]]*$K$99</f>
        <v>19492.500360196449</v>
      </c>
      <c r="L97" s="7">
        <f>Table8[[#This Row],[Bellwether Percent]]*$L$99</f>
        <v>19492.500360196449</v>
      </c>
      <c r="M97" s="7">
        <f>Table8[[#This Row],[Bellwether Percent]]*$M$99</f>
        <v>19492.500360196453</v>
      </c>
      <c r="N97" s="7">
        <f>Table8[[#This Row],[Bellwether Percent]]*$N$99</f>
        <v>19492.500360196453</v>
      </c>
      <c r="O97" s="7">
        <f>Table8[[#This Row],[Bellwether Percent]]*$O$99</f>
        <v>19492.500360196453</v>
      </c>
      <c r="P97" s="7">
        <f>SUM(Table8[[#This Row],[Payment 1]:[Payment 13]])</f>
        <v>258126.9178024084</v>
      </c>
    </row>
    <row r="99" spans="1:16" x14ac:dyDescent="0.3">
      <c r="A99" t="s">
        <v>6</v>
      </c>
      <c r="C99" s="7">
        <f>'Teva Allergan Lit Breakdown'!D2</f>
        <v>471609.57578598958</v>
      </c>
      <c r="D99" s="7">
        <f>'Teva Allergan Lit Breakdown'!D3</f>
        <v>471609.57578598958</v>
      </c>
      <c r="E99" s="7">
        <f>'Teva Allergan Lit Breakdown'!D4</f>
        <v>366839.71561491856</v>
      </c>
      <c r="F99" s="7">
        <f>'Teva Allergan Lit Breakdown'!D5</f>
        <v>366839.71561491856</v>
      </c>
      <c r="G99" s="7">
        <f>'Teva Allergan Lit Breakdown'!D6</f>
        <v>366839.71561491856</v>
      </c>
      <c r="H99" s="7">
        <f>'Teva Allergan Lit Breakdown'!D7</f>
        <v>389850.00720392901</v>
      </c>
      <c r="I99" s="7">
        <f>'Teva Allergan Lit Breakdown'!D8</f>
        <v>389850.00720392895</v>
      </c>
      <c r="J99" s="7">
        <f>'Teva Allergan Lit Breakdown'!D9</f>
        <v>389850.00720392895</v>
      </c>
      <c r="K99" s="7">
        <f>'Teva Allergan Lit Breakdown'!D10</f>
        <v>389850.00720392895</v>
      </c>
      <c r="L99" s="7">
        <f>'Teva Allergan Lit Breakdown'!D11</f>
        <v>389850.00720392895</v>
      </c>
      <c r="M99" s="7">
        <f>'Teva Allergan Lit Breakdown'!D12</f>
        <v>389850.00720392901</v>
      </c>
      <c r="N99" s="7">
        <f>'Teva Allergan Lit Breakdown'!D13</f>
        <v>389850.00720392901</v>
      </c>
      <c r="O99" s="7">
        <f>'Teva Allergan Lit Breakdown'!D14</f>
        <v>389850.00720392901</v>
      </c>
      <c r="P99" s="7">
        <f>SUM(C99:O99)</f>
        <v>5162538.3560481677</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8"/>
  <sheetViews>
    <sheetView topLeftCell="A57" workbookViewId="0">
      <selection activeCell="C82" sqref="C82"/>
    </sheetView>
  </sheetViews>
  <sheetFormatPr defaultRowHeight="14.4" x14ac:dyDescent="0.3"/>
  <cols>
    <col min="1" max="1" width="32.5546875" customWidth="1"/>
    <col min="2" max="2" width="28.5546875" customWidth="1"/>
    <col min="3" max="9" width="15.6640625" customWidth="1"/>
    <col min="10" max="10" width="17.88671875" customWidth="1"/>
  </cols>
  <sheetData>
    <row r="1" spans="1:10" x14ac:dyDescent="0.3">
      <c r="A1" t="s">
        <v>117</v>
      </c>
      <c r="B1" t="s">
        <v>216</v>
      </c>
      <c r="C1" t="s">
        <v>93</v>
      </c>
      <c r="D1" t="s">
        <v>94</v>
      </c>
      <c r="E1" t="s">
        <v>95</v>
      </c>
      <c r="F1" t="s">
        <v>96</v>
      </c>
      <c r="G1" t="s">
        <v>97</v>
      </c>
      <c r="H1" t="s">
        <v>98</v>
      </c>
      <c r="I1" t="s">
        <v>99</v>
      </c>
      <c r="J1" t="s">
        <v>6</v>
      </c>
    </row>
    <row r="2" spans="1:10" x14ac:dyDescent="0.3">
      <c r="A2" t="s">
        <v>119</v>
      </c>
      <c r="B2">
        <v>8.3922998723029944E-3</v>
      </c>
      <c r="C2" s="18">
        <f>Table9[[#This Row],[Allergan Adjusted %]]*$C$84</f>
        <v>12708.500412971434</v>
      </c>
      <c r="D2" s="18">
        <f>Table9[[#This Row],[Allergan Adjusted %]]*$D$84</f>
        <v>12708.500412971434</v>
      </c>
      <c r="E2" s="18">
        <f>Table9[[#This Row],[Allergan Adjusted %]]*$E$84</f>
        <v>10646.721809703089</v>
      </c>
      <c r="F2" s="18">
        <f>Table9[[#This Row],[Allergan Adjusted %]]*$F$84</f>
        <v>10646.721810136281</v>
      </c>
      <c r="G2" s="18">
        <f>Table9[[#This Row],[Allergan Adjusted %]]*$G$84</f>
        <v>10646.721810136281</v>
      </c>
      <c r="H2" s="18">
        <f>Table9[[#This Row],[Allergan Adjusted %]]*$H$84</f>
        <v>11134.174725000928</v>
      </c>
      <c r="I2" s="18">
        <f>Table9[[#This Row],[Allergan Adjusted %]]*$I$84</f>
        <v>11134.174725000928</v>
      </c>
      <c r="J2" s="18">
        <f>SUM(Table9[[#This Row],[Payment 1]:[Payment 7]])</f>
        <v>79625.515705920378</v>
      </c>
    </row>
    <row r="3" spans="1:10" x14ac:dyDescent="0.3">
      <c r="A3" t="s">
        <v>120</v>
      </c>
      <c r="B3">
        <v>8.3142266292569617E-4</v>
      </c>
      <c r="C3" s="18">
        <f>Table9[[#This Row],[Allergan Adjusted %]]*$C$84</f>
        <v>1259.0273722244253</v>
      </c>
      <c r="D3" s="18">
        <f>Table9[[#This Row],[Allergan Adjusted %]]*$D$84</f>
        <v>1259.0273722244253</v>
      </c>
      <c r="E3" s="18">
        <f>Table9[[#This Row],[Allergan Adjusted %]]*$E$84</f>
        <v>1054.7675766051132</v>
      </c>
      <c r="F3" s="18">
        <f>Table9[[#This Row],[Allergan Adjusted %]]*$F$84</f>
        <v>1054.7675766480293</v>
      </c>
      <c r="G3" s="18">
        <f>Table9[[#This Row],[Allergan Adjusted %]]*$G$84</f>
        <v>1054.7675766480293</v>
      </c>
      <c r="H3" s="18">
        <f>Table9[[#This Row],[Allergan Adjusted %]]*$H$84</f>
        <v>1103.0593925619478</v>
      </c>
      <c r="I3" s="18">
        <f>Table9[[#This Row],[Allergan Adjusted %]]*$I$84</f>
        <v>1103.0593925619478</v>
      </c>
      <c r="J3" s="18">
        <f>SUM(Table9[[#This Row],[Payment 1]:[Payment 7]])</f>
        <v>7888.4762594739186</v>
      </c>
    </row>
    <row r="4" spans="1:10" x14ac:dyDescent="0.3">
      <c r="A4" t="s">
        <v>122</v>
      </c>
      <c r="B4">
        <v>1.0169558385298023E-2</v>
      </c>
      <c r="C4" s="18">
        <f>Table9[[#This Row],[Allergan Adjusted %]]*$C$84</f>
        <v>15399.81160180247</v>
      </c>
      <c r="D4" s="18">
        <f>Table9[[#This Row],[Allergan Adjusted %]]*$D$84</f>
        <v>15399.81160180247</v>
      </c>
      <c r="E4" s="18">
        <f>Table9[[#This Row],[Allergan Adjusted %]]*$E$84</f>
        <v>12901.404943015881</v>
      </c>
      <c r="F4" s="18">
        <f>Table9[[#This Row],[Allergan Adjusted %]]*$F$84</f>
        <v>12901.404943540811</v>
      </c>
      <c r="G4" s="18">
        <f>Table9[[#This Row],[Allergan Adjusted %]]*$G$84</f>
        <v>12901.404943540811</v>
      </c>
      <c r="H4" s="18">
        <f>Table9[[#This Row],[Allergan Adjusted %]]*$H$84</f>
        <v>13492.086991755015</v>
      </c>
      <c r="I4" s="18">
        <f>Table9[[#This Row],[Allergan Adjusted %]]*$I$84</f>
        <v>13492.086991755015</v>
      </c>
      <c r="J4" s="18">
        <f>SUM(Table9[[#This Row],[Payment 1]:[Payment 7]])</f>
        <v>96488.012017212473</v>
      </c>
    </row>
    <row r="5" spans="1:10" x14ac:dyDescent="0.3">
      <c r="A5" t="s">
        <v>123</v>
      </c>
      <c r="B5">
        <v>5.2977544489122945E-3</v>
      </c>
      <c r="C5" s="18">
        <f>Table9[[#This Row],[Allergan Adjusted %]]*$C$84</f>
        <v>8022.4152647381006</v>
      </c>
      <c r="D5" s="18">
        <f>Table9[[#This Row],[Allergan Adjusted %]]*$D$84</f>
        <v>8022.4152647381006</v>
      </c>
      <c r="E5" s="18">
        <f>Table9[[#This Row],[Allergan Adjusted %]]*$E$84</f>
        <v>6720.8892308334453</v>
      </c>
      <c r="F5" s="18">
        <f>Table9[[#This Row],[Allergan Adjusted %]]*$F$84</f>
        <v>6720.8892311069039</v>
      </c>
      <c r="G5" s="18">
        <f>Table9[[#This Row],[Allergan Adjusted %]]*$G$84</f>
        <v>6720.8892311069039</v>
      </c>
      <c r="H5" s="18">
        <f>Table9[[#This Row],[Allergan Adjusted %]]*$H$84</f>
        <v>7028.6005721758929</v>
      </c>
      <c r="I5" s="18">
        <f>Table9[[#This Row],[Allergan Adjusted %]]*$I$84</f>
        <v>7028.6005721758929</v>
      </c>
      <c r="J5" s="18">
        <f>SUM(Table9[[#This Row],[Payment 1]:[Payment 7]])</f>
        <v>50264.69936687524</v>
      </c>
    </row>
    <row r="6" spans="1:10" x14ac:dyDescent="0.3">
      <c r="A6" t="s">
        <v>124</v>
      </c>
      <c r="B6">
        <v>1.3593486143930284E-2</v>
      </c>
      <c r="C6" s="18">
        <f>Table9[[#This Row],[Allergan Adjusted %]]*$C$84</f>
        <v>20584.682018333682</v>
      </c>
      <c r="D6" s="18">
        <f>Table9[[#This Row],[Allergan Adjusted %]]*$D$84</f>
        <v>20584.682018333682</v>
      </c>
      <c r="E6" s="18">
        <f>Table9[[#This Row],[Allergan Adjusted %]]*$E$84</f>
        <v>17245.101771937032</v>
      </c>
      <c r="F6" s="18">
        <f>Table9[[#This Row],[Allergan Adjusted %]]*$F$84</f>
        <v>17245.1017726387</v>
      </c>
      <c r="G6" s="18">
        <f>Table9[[#This Row],[Allergan Adjusted %]]*$G$84</f>
        <v>17245.1017726387</v>
      </c>
      <c r="H6" s="18">
        <f>Table9[[#This Row],[Allergan Adjusted %]]*$H$84</f>
        <v>18034.657025055185</v>
      </c>
      <c r="I6" s="18">
        <f>Table9[[#This Row],[Allergan Adjusted %]]*$I$84</f>
        <v>18034.657025055185</v>
      </c>
      <c r="J6" s="18">
        <f>SUM(Table9[[#This Row],[Payment 1]:[Payment 7]])</f>
        <v>128973.98340399217</v>
      </c>
    </row>
    <row r="7" spans="1:10" x14ac:dyDescent="0.3">
      <c r="A7" t="s">
        <v>125</v>
      </c>
      <c r="B7">
        <v>3.8447064189862448E-3</v>
      </c>
      <c r="C7" s="18">
        <f>Table9[[#This Row],[Allergan Adjusted %]]*$C$84</f>
        <v>5822.0575833680805</v>
      </c>
      <c r="D7" s="18">
        <f>Table9[[#This Row],[Allergan Adjusted %]]*$D$84</f>
        <v>5822.0575833680805</v>
      </c>
      <c r="E7" s="18">
        <f>Table9[[#This Row],[Allergan Adjusted %]]*$E$84</f>
        <v>4877.5091817224875</v>
      </c>
      <c r="F7" s="18">
        <f>Table9[[#This Row],[Allergan Adjusted %]]*$F$84</f>
        <v>4877.5091819209429</v>
      </c>
      <c r="G7" s="18">
        <f>Table9[[#This Row],[Allergan Adjusted %]]*$G$84</f>
        <v>4877.5091819209429</v>
      </c>
      <c r="H7" s="18">
        <f>Table9[[#This Row],[Allergan Adjusted %]]*$H$84</f>
        <v>5100.8226215322684</v>
      </c>
      <c r="I7" s="18">
        <f>Table9[[#This Row],[Allergan Adjusted %]]*$I$84</f>
        <v>5100.8226215322684</v>
      </c>
      <c r="J7" s="18">
        <f>SUM(Table9[[#This Row],[Payment 1]:[Payment 7]])</f>
        <v>36478.287955365071</v>
      </c>
    </row>
    <row r="8" spans="1:10" x14ac:dyDescent="0.3">
      <c r="A8" t="s">
        <v>126</v>
      </c>
      <c r="B8">
        <v>5.026959501563304E-3</v>
      </c>
      <c r="C8" s="18">
        <f>Table9[[#This Row],[Allergan Adjusted %]]*$C$84</f>
        <v>7612.349162170337</v>
      </c>
      <c r="D8" s="18">
        <f>Table9[[#This Row],[Allergan Adjusted %]]*$D$84</f>
        <v>7612.349162170337</v>
      </c>
      <c r="E8" s="18">
        <f>Table9[[#This Row],[Allergan Adjusted %]]*$E$84</f>
        <v>6377.3506876728416</v>
      </c>
      <c r="F8" s="18">
        <f>Table9[[#This Row],[Allergan Adjusted %]]*$F$84</f>
        <v>6377.3506879323222</v>
      </c>
      <c r="G8" s="18">
        <f>Table9[[#This Row],[Allergan Adjusted %]]*$G$84</f>
        <v>6377.3506879323222</v>
      </c>
      <c r="H8" s="18">
        <f>Table9[[#This Row],[Allergan Adjusted %]]*$H$84</f>
        <v>6669.3333505193223</v>
      </c>
      <c r="I8" s="18">
        <f>Table9[[#This Row],[Allergan Adjusted %]]*$I$84</f>
        <v>6669.3333505193223</v>
      </c>
      <c r="J8" s="18">
        <f>SUM(Table9[[#This Row],[Payment 1]:[Payment 7]])</f>
        <v>47695.417088916802</v>
      </c>
    </row>
    <row r="9" spans="1:10" x14ac:dyDescent="0.3">
      <c r="A9" t="s">
        <v>127</v>
      </c>
      <c r="B9">
        <v>4.845944675522797E-3</v>
      </c>
      <c r="C9" s="18">
        <f>Table9[[#This Row],[Allergan Adjusted %]]*$C$84</f>
        <v>7338.237532880039</v>
      </c>
      <c r="D9" s="18">
        <f>Table9[[#This Row],[Allergan Adjusted %]]*$D$84</f>
        <v>7338.237532880039</v>
      </c>
      <c r="E9" s="18">
        <f>Table9[[#This Row],[Allergan Adjusted %]]*$E$84</f>
        <v>6147.7098829340312</v>
      </c>
      <c r="F9" s="18">
        <f>Table9[[#This Row],[Allergan Adjusted %]]*$F$84</f>
        <v>6147.7098831841677</v>
      </c>
      <c r="G9" s="18">
        <f>Table9[[#This Row],[Allergan Adjusted %]]*$G$84</f>
        <v>6147.7098831841677</v>
      </c>
      <c r="H9" s="18">
        <f>Table9[[#This Row],[Allergan Adjusted %]]*$H$84</f>
        <v>6429.1785977557538</v>
      </c>
      <c r="I9" s="18">
        <f>Table9[[#This Row],[Allergan Adjusted %]]*$I$84</f>
        <v>6429.1785977557538</v>
      </c>
      <c r="J9" s="18">
        <f>SUM(Table9[[#This Row],[Payment 1]:[Payment 7]])</f>
        <v>45977.961910573948</v>
      </c>
    </row>
    <row r="10" spans="1:10" x14ac:dyDescent="0.3">
      <c r="A10" t="s">
        <v>128</v>
      </c>
      <c r="B10">
        <v>4.3872660359665847E-3</v>
      </c>
      <c r="C10" s="18">
        <f>Table9[[#This Row],[Allergan Adjusted %]]*$C$84</f>
        <v>6643.6582436605167</v>
      </c>
      <c r="D10" s="18">
        <f>Table9[[#This Row],[Allergan Adjusted %]]*$D$84</f>
        <v>6643.6582436605167</v>
      </c>
      <c r="E10" s="18">
        <f>Table9[[#This Row],[Allergan Adjusted %]]*$E$84</f>
        <v>5565.8164866405104</v>
      </c>
      <c r="F10" s="18">
        <f>Table9[[#This Row],[Allergan Adjusted %]]*$F$84</f>
        <v>5565.816486866971</v>
      </c>
      <c r="G10" s="18">
        <f>Table9[[#This Row],[Allergan Adjusted %]]*$G$84</f>
        <v>5565.816486866971</v>
      </c>
      <c r="H10" s="18">
        <f>Table9[[#This Row],[Allergan Adjusted %]]*$H$84</f>
        <v>5820.6436081637839</v>
      </c>
      <c r="I10" s="18">
        <f>Table9[[#This Row],[Allergan Adjusted %]]*$I$84</f>
        <v>5820.6436081637839</v>
      </c>
      <c r="J10" s="18">
        <f>SUM(Table9[[#This Row],[Payment 1]:[Payment 7]])</f>
        <v>41626.053164023047</v>
      </c>
    </row>
    <row r="11" spans="1:10" x14ac:dyDescent="0.3">
      <c r="A11" t="s">
        <v>129</v>
      </c>
      <c r="B11">
        <v>5.2246858749364793E-2</v>
      </c>
      <c r="C11" s="18">
        <f>Table9[[#This Row],[Allergan Adjusted %]]*$C$84</f>
        <v>79117.671686647576</v>
      </c>
      <c r="D11" s="18">
        <f>Table9[[#This Row],[Allergan Adjusted %]]*$D$84</f>
        <v>79117.671686647576</v>
      </c>
      <c r="E11" s="18">
        <f>Table9[[#This Row],[Allergan Adjusted %]]*$E$84</f>
        <v>66281.922595634314</v>
      </c>
      <c r="F11" s="18">
        <f>Table9[[#This Row],[Allergan Adjusted %]]*$F$84</f>
        <v>66281.922598331177</v>
      </c>
      <c r="G11" s="18">
        <f>Table9[[#This Row],[Allergan Adjusted %]]*$G$84</f>
        <v>66281.922598331177</v>
      </c>
      <c r="H11" s="18">
        <f>Table9[[#This Row],[Allergan Adjusted %]]*$H$84</f>
        <v>69316.59533136242</v>
      </c>
      <c r="I11" s="18">
        <f>Table9[[#This Row],[Allergan Adjusted %]]*$I$84</f>
        <v>69316.59533136242</v>
      </c>
      <c r="J11" s="18">
        <f>SUM(Table9[[#This Row],[Payment 1]:[Payment 7]])</f>
        <v>495714.30182831665</v>
      </c>
    </row>
    <row r="12" spans="1:10" x14ac:dyDescent="0.3">
      <c r="A12" t="s">
        <v>130</v>
      </c>
      <c r="B12">
        <v>1.0785897705927909E-2</v>
      </c>
      <c r="C12" s="18">
        <f>Table9[[#This Row],[Allergan Adjusted %]]*$C$84</f>
        <v>16333.137225283319</v>
      </c>
      <c r="D12" s="18">
        <f>Table9[[#This Row],[Allergan Adjusted %]]*$D$84</f>
        <v>16333.137225283319</v>
      </c>
      <c r="E12" s="18">
        <f>Table9[[#This Row],[Allergan Adjusted %]]*$E$84</f>
        <v>13683.311379508248</v>
      </c>
      <c r="F12" s="18">
        <f>Table9[[#This Row],[Allergan Adjusted %]]*$F$84</f>
        <v>13683.311380064994</v>
      </c>
      <c r="G12" s="18">
        <f>Table9[[#This Row],[Allergan Adjusted %]]*$G$84</f>
        <v>13683.311380064994</v>
      </c>
      <c r="H12" s="18">
        <f>Table9[[#This Row],[Allergan Adjusted %]]*$H$84</f>
        <v>14309.792482526325</v>
      </c>
      <c r="I12" s="18">
        <f>Table9[[#This Row],[Allergan Adjusted %]]*$I$84</f>
        <v>14309.792482526325</v>
      </c>
      <c r="J12" s="18">
        <f>SUM(Table9[[#This Row],[Payment 1]:[Payment 7]])</f>
        <v>102335.79355525752</v>
      </c>
    </row>
    <row r="13" spans="1:10" x14ac:dyDescent="0.3">
      <c r="A13" t="s">
        <v>131</v>
      </c>
      <c r="B13">
        <v>5.2323790050432008E-3</v>
      </c>
      <c r="C13" s="18">
        <f>Table9[[#This Row],[Allergan Adjusted %]]*$C$84</f>
        <v>7923.4169129095953</v>
      </c>
      <c r="D13" s="18">
        <f>Table9[[#This Row],[Allergan Adjusted %]]*$D$84</f>
        <v>7923.4169129095953</v>
      </c>
      <c r="E13" s="18">
        <f>Table9[[#This Row],[Allergan Adjusted %]]*$E$84</f>
        <v>6637.9519937648311</v>
      </c>
      <c r="F13" s="18">
        <f>Table9[[#This Row],[Allergan Adjusted %]]*$F$84</f>
        <v>6637.9519940349146</v>
      </c>
      <c r="G13" s="18">
        <f>Table9[[#This Row],[Allergan Adjusted %]]*$G$84</f>
        <v>6637.9519940349146</v>
      </c>
      <c r="H13" s="18">
        <f>Table9[[#This Row],[Allergan Adjusted %]]*$H$84</f>
        <v>6941.8661101286934</v>
      </c>
      <c r="I13" s="18">
        <f>Table9[[#This Row],[Allergan Adjusted %]]*$I$84</f>
        <v>6941.8661101286934</v>
      </c>
      <c r="J13" s="18">
        <f>SUM(Table9[[#This Row],[Payment 1]:[Payment 7]])</f>
        <v>49644.422027911234</v>
      </c>
    </row>
    <row r="14" spans="1:10" x14ac:dyDescent="0.3">
      <c r="A14" t="s">
        <v>132</v>
      </c>
      <c r="B14">
        <v>4.3186016173564878E-2</v>
      </c>
      <c r="C14" s="18">
        <f>Table9[[#This Row],[Allergan Adjusted %]]*$C$84</f>
        <v>65396.793814248187</v>
      </c>
      <c r="D14" s="18">
        <f>Table9[[#This Row],[Allergan Adjusted %]]*$D$84</f>
        <v>65396.793814248187</v>
      </c>
      <c r="E14" s="18">
        <f>Table9[[#This Row],[Allergan Adjusted %]]*$E$84</f>
        <v>54787.067581643649</v>
      </c>
      <c r="F14" s="18">
        <f>Table9[[#This Row],[Allergan Adjusted %]]*$F$84</f>
        <v>54787.06758387282</v>
      </c>
      <c r="G14" s="18">
        <f>Table9[[#This Row],[Allergan Adjusted %]]*$G$84</f>
        <v>54787.06758387282</v>
      </c>
      <c r="H14" s="18">
        <f>Table9[[#This Row],[Allergan Adjusted %]]*$H$84</f>
        <v>57295.456200284258</v>
      </c>
      <c r="I14" s="18">
        <f>Table9[[#This Row],[Allergan Adjusted %]]*$I$84</f>
        <v>57295.456200284258</v>
      </c>
      <c r="J14" s="18">
        <f>SUM(Table9[[#This Row],[Payment 1]:[Payment 7]])</f>
        <v>409745.70277845417</v>
      </c>
    </row>
    <row r="15" spans="1:10" x14ac:dyDescent="0.3">
      <c r="A15" t="s">
        <v>133</v>
      </c>
      <c r="B15">
        <v>3.0094522931136207E-3</v>
      </c>
      <c r="C15" s="18">
        <f>Table9[[#This Row],[Allergan Adjusted %]]*$C$84</f>
        <v>4557.2282082142774</v>
      </c>
      <c r="D15" s="18">
        <f>Table9[[#This Row],[Allergan Adjusted %]]*$D$84</f>
        <v>4557.2282082142774</v>
      </c>
      <c r="E15" s="18">
        <f>Table9[[#This Row],[Allergan Adjusted %]]*$E$84</f>
        <v>3817.8808969991205</v>
      </c>
      <c r="F15" s="18">
        <f>Table9[[#This Row],[Allergan Adjusted %]]*$F$84</f>
        <v>3817.8808971544618</v>
      </c>
      <c r="G15" s="18">
        <f>Table9[[#This Row],[Allergan Adjusted %]]*$G$84</f>
        <v>3817.8808971544618</v>
      </c>
      <c r="H15" s="18">
        <f>Table9[[#This Row],[Allergan Adjusted %]]*$H$84</f>
        <v>3992.6799766375179</v>
      </c>
      <c r="I15" s="18">
        <f>Table9[[#This Row],[Allergan Adjusted %]]*$I$84</f>
        <v>3992.6799766375179</v>
      </c>
      <c r="J15" s="18">
        <f>SUM(Table9[[#This Row],[Payment 1]:[Payment 7]])</f>
        <v>28553.459061011636</v>
      </c>
    </row>
    <row r="16" spans="1:10" x14ac:dyDescent="0.3">
      <c r="A16" t="s">
        <v>135</v>
      </c>
      <c r="B16">
        <v>3.0263416228647217E-3</v>
      </c>
      <c r="C16" s="18">
        <f>Table9[[#This Row],[Allergan Adjusted %]]*$C$84</f>
        <v>4582.803802197167</v>
      </c>
      <c r="D16" s="18">
        <f>Table9[[#This Row],[Allergan Adjusted %]]*$D$84</f>
        <v>4582.803802197167</v>
      </c>
      <c r="E16" s="18">
        <f>Table9[[#This Row],[Allergan Adjusted %]]*$E$84</f>
        <v>3839.3072042269828</v>
      </c>
      <c r="F16" s="18">
        <f>Table9[[#This Row],[Allergan Adjusted %]]*$F$84</f>
        <v>3839.3072043831962</v>
      </c>
      <c r="G16" s="18">
        <f>Table9[[#This Row],[Allergan Adjusted %]]*$G$84</f>
        <v>3839.3072043831962</v>
      </c>
      <c r="H16" s="18">
        <f>Table9[[#This Row],[Allergan Adjusted %]]*$H$84</f>
        <v>4015.0872727659043</v>
      </c>
      <c r="I16" s="18">
        <f>Table9[[#This Row],[Allergan Adjusted %]]*$I$84</f>
        <v>4015.0872727659043</v>
      </c>
      <c r="J16" s="18">
        <f>SUM(Table9[[#This Row],[Payment 1]:[Payment 7]])</f>
        <v>28713.703762919518</v>
      </c>
    </row>
    <row r="17" spans="1:10" x14ac:dyDescent="0.3">
      <c r="A17" t="s">
        <v>136</v>
      </c>
      <c r="B17">
        <v>2.0785566573142404E-3</v>
      </c>
      <c r="C17" s="18">
        <f>Table9[[#This Row],[Allergan Adjusted %]]*$C$84</f>
        <v>3147.5684305610635</v>
      </c>
      <c r="D17" s="18">
        <f>Table9[[#This Row],[Allergan Adjusted %]]*$D$84</f>
        <v>3147.5684305610635</v>
      </c>
      <c r="E17" s="18">
        <f>Table9[[#This Row],[Allergan Adjusted %]]*$E$84</f>
        <v>2636.9189415127826</v>
      </c>
      <c r="F17" s="18">
        <f>Table9[[#This Row],[Allergan Adjusted %]]*$F$84</f>
        <v>2636.9189416200734</v>
      </c>
      <c r="G17" s="18">
        <f>Table9[[#This Row],[Allergan Adjusted %]]*$G$84</f>
        <v>2636.9189416200734</v>
      </c>
      <c r="H17" s="18">
        <f>Table9[[#This Row],[Allergan Adjusted %]]*$H$84</f>
        <v>2757.6484814048695</v>
      </c>
      <c r="I17" s="18">
        <f>Table9[[#This Row],[Allergan Adjusted %]]*$I$84</f>
        <v>2757.6484814048695</v>
      </c>
      <c r="J17" s="18">
        <f>SUM(Table9[[#This Row],[Payment 1]:[Payment 7]])</f>
        <v>19721.190648684798</v>
      </c>
    </row>
    <row r="18" spans="1:10" x14ac:dyDescent="0.3">
      <c r="A18" t="s">
        <v>137</v>
      </c>
      <c r="B18">
        <v>5.2306011808588744E-3</v>
      </c>
      <c r="C18" s="18">
        <f>Table9[[#This Row],[Allergan Adjusted %]]*$C$84</f>
        <v>7920.7247451219228</v>
      </c>
      <c r="D18" s="18">
        <f>Table9[[#This Row],[Allergan Adjusted %]]*$D$84</f>
        <v>7920.7247451219228</v>
      </c>
      <c r="E18" s="18">
        <f>Table9[[#This Row],[Allergan Adjusted %]]*$E$84</f>
        <v>6635.6965930040033</v>
      </c>
      <c r="F18" s="18">
        <f>Table9[[#This Row],[Allergan Adjusted %]]*$F$84</f>
        <v>6635.6965932739959</v>
      </c>
      <c r="G18" s="18">
        <f>Table9[[#This Row],[Allergan Adjusted %]]*$G$84</f>
        <v>6635.6965932739959</v>
      </c>
      <c r="H18" s="18">
        <f>Table9[[#This Row],[Allergan Adjusted %]]*$H$84</f>
        <v>6939.507447378337</v>
      </c>
      <c r="I18" s="18">
        <f>Table9[[#This Row],[Allergan Adjusted %]]*$I$84</f>
        <v>6939.507447378337</v>
      </c>
      <c r="J18" s="18">
        <f>SUM(Table9[[#This Row],[Payment 1]:[Payment 7]])</f>
        <v>49627.554164552515</v>
      </c>
    </row>
    <row r="19" spans="1:10" x14ac:dyDescent="0.3">
      <c r="A19" t="s">
        <v>138</v>
      </c>
      <c r="B19">
        <v>2.096773924013582E-2</v>
      </c>
      <c r="C19" s="18">
        <f>Table9[[#This Row],[Allergan Adjusted %]]*$C$84</f>
        <v>31751.549259073341</v>
      </c>
      <c r="D19" s="18">
        <f>Table9[[#This Row],[Allergan Adjusted %]]*$D$84</f>
        <v>31751.549259073341</v>
      </c>
      <c r="E19" s="18">
        <f>Table9[[#This Row],[Allergan Adjusted %]]*$E$84</f>
        <v>26600.299091417117</v>
      </c>
      <c r="F19" s="18">
        <f>Table9[[#This Row],[Allergan Adjusted %]]*$F$84</f>
        <v>26600.299092499426</v>
      </c>
      <c r="G19" s="18">
        <f>Table9[[#This Row],[Allergan Adjusted %]]*$G$84</f>
        <v>26600.299092499426</v>
      </c>
      <c r="H19" s="18">
        <f>Table9[[#This Row],[Allergan Adjusted %]]*$H$84</f>
        <v>27818.175689647436</v>
      </c>
      <c r="I19" s="18">
        <f>Table9[[#This Row],[Allergan Adjusted %]]*$I$84</f>
        <v>27818.175689647436</v>
      </c>
      <c r="J19" s="18">
        <f>SUM(Table9[[#This Row],[Payment 1]:[Payment 7]])</f>
        <v>198940.34717385753</v>
      </c>
    </row>
    <row r="20" spans="1:10" x14ac:dyDescent="0.3">
      <c r="A20" t="s">
        <v>140</v>
      </c>
      <c r="B20">
        <v>4.6613742011136383E-2</v>
      </c>
      <c r="C20" s="18">
        <f>Table9[[#This Row],[Allergan Adjusted %]]*$C$84</f>
        <v>70587.415680143968</v>
      </c>
      <c r="D20" s="18">
        <f>Table9[[#This Row],[Allergan Adjusted %]]*$D$84</f>
        <v>70587.415680143968</v>
      </c>
      <c r="E20" s="18">
        <f>Table9[[#This Row],[Allergan Adjusted %]]*$E$84</f>
        <v>59135.582766735664</v>
      </c>
      <c r="F20" s="18">
        <f>Table9[[#This Row],[Allergan Adjusted %]]*$F$84</f>
        <v>59135.582769141765</v>
      </c>
      <c r="G20" s="18">
        <f>Table9[[#This Row],[Allergan Adjusted %]]*$G$84</f>
        <v>59135.582769141765</v>
      </c>
      <c r="H20" s="18">
        <f>Table9[[#This Row],[Allergan Adjusted %]]*$H$84</f>
        <v>61843.065194914736</v>
      </c>
      <c r="I20" s="18">
        <f>Table9[[#This Row],[Allergan Adjusted %]]*$I$84</f>
        <v>61843.065194914736</v>
      </c>
      <c r="J20" s="18">
        <f>SUM(Table9[[#This Row],[Payment 1]:[Payment 7]])</f>
        <v>442267.71005513665</v>
      </c>
    </row>
    <row r="21" spans="1:10" x14ac:dyDescent="0.3">
      <c r="A21" t="s">
        <v>141</v>
      </c>
      <c r="B21">
        <v>0</v>
      </c>
      <c r="C21" s="18">
        <f>Table9[[#This Row],[Allergan Adjusted %]]*$C$84</f>
        <v>0</v>
      </c>
      <c r="D21" s="18">
        <f>Table9[[#This Row],[Allergan Adjusted %]]*$D$84</f>
        <v>0</v>
      </c>
      <c r="E21" s="18">
        <f>Table9[[#This Row],[Allergan Adjusted %]]*$E$84</f>
        <v>0</v>
      </c>
      <c r="F21" s="18">
        <f>Table9[[#This Row],[Allergan Adjusted %]]*$F$84</f>
        <v>0</v>
      </c>
      <c r="G21" s="18">
        <f>Table9[[#This Row],[Allergan Adjusted %]]*$G$84</f>
        <v>0</v>
      </c>
      <c r="H21" s="18">
        <f>Table9[[#This Row],[Allergan Adjusted %]]*$H$84</f>
        <v>0</v>
      </c>
      <c r="I21" s="18">
        <f>Table9[[#This Row],[Allergan Adjusted %]]*$I$84</f>
        <v>0</v>
      </c>
      <c r="J21" s="18">
        <f>SUM(Table9[[#This Row],[Payment 1]:[Payment 7]])</f>
        <v>0</v>
      </c>
    </row>
    <row r="22" spans="1:10" x14ac:dyDescent="0.3">
      <c r="A22" t="s">
        <v>142</v>
      </c>
      <c r="B22">
        <v>2.1445137095590323E-2</v>
      </c>
      <c r="C22" s="18">
        <f>Table9[[#This Row],[Allergan Adjusted %]]*$C$84</f>
        <v>32474.475147746376</v>
      </c>
      <c r="D22" s="18">
        <f>Table9[[#This Row],[Allergan Adjusted %]]*$D$84</f>
        <v>32474.475147746376</v>
      </c>
      <c r="E22" s="18">
        <f>Table9[[#This Row],[Allergan Adjusted %]]*$E$84</f>
        <v>27205.940243057488</v>
      </c>
      <c r="F22" s="18">
        <f>Table9[[#This Row],[Allergan Adjusted %]]*$F$84</f>
        <v>27205.940244164442</v>
      </c>
      <c r="G22" s="18">
        <f>Table9[[#This Row],[Allergan Adjusted %]]*$G$84</f>
        <v>27205.940244164442</v>
      </c>
      <c r="H22" s="18">
        <f>Table9[[#This Row],[Allergan Adjusted %]]*$H$84</f>
        <v>28451.545709409675</v>
      </c>
      <c r="I22" s="18">
        <f>Table9[[#This Row],[Allergan Adjusted %]]*$I$84</f>
        <v>28451.545709409675</v>
      </c>
      <c r="J22" s="18">
        <f>SUM(Table9[[#This Row],[Payment 1]:[Payment 7]])</f>
        <v>203469.86244569844</v>
      </c>
    </row>
    <row r="23" spans="1:10" x14ac:dyDescent="0.3">
      <c r="A23" t="s">
        <v>143</v>
      </c>
      <c r="B23">
        <v>3.2330951098192541E-2</v>
      </c>
      <c r="C23" s="18">
        <f>Table9[[#This Row],[Allergan Adjusted %]]*$C$84</f>
        <v>48958.91610584061</v>
      </c>
      <c r="D23" s="18">
        <f>Table9[[#This Row],[Allergan Adjusted %]]*$D$84</f>
        <v>48958.91610584061</v>
      </c>
      <c r="E23" s="18">
        <f>Table9[[#This Row],[Allergan Adjusted %]]*$E$84</f>
        <v>41016.008415236829</v>
      </c>
      <c r="F23" s="18">
        <f>Table9[[#This Row],[Allergan Adjusted %]]*$F$84</f>
        <v>41016.008416905679</v>
      </c>
      <c r="G23" s="18">
        <f>Table9[[#This Row],[Allergan Adjusted %]]*$G$84</f>
        <v>41016.008416905679</v>
      </c>
      <c r="H23" s="18">
        <f>Table9[[#This Row],[Allergan Adjusted %]]*$H$84</f>
        <v>42893.898458129333</v>
      </c>
      <c r="I23" s="18">
        <f>Table9[[#This Row],[Allergan Adjusted %]]*$I$84</f>
        <v>42893.898458129333</v>
      </c>
      <c r="J23" s="18">
        <f>SUM(Table9[[#This Row],[Payment 1]:[Payment 7]])</f>
        <v>306753.65437698807</v>
      </c>
    </row>
    <row r="24" spans="1:10" x14ac:dyDescent="0.3">
      <c r="A24" t="s">
        <v>144</v>
      </c>
      <c r="B24">
        <v>2.6723998541831065E-2</v>
      </c>
      <c r="C24" s="18">
        <f>Table9[[#This Row],[Allergan Adjusted %]]*$C$84</f>
        <v>40468.280646877065</v>
      </c>
      <c r="D24" s="18">
        <f>Table9[[#This Row],[Allergan Adjusted %]]*$D$84</f>
        <v>40468.280646877065</v>
      </c>
      <c r="E24" s="18">
        <f>Table9[[#This Row],[Allergan Adjusted %]]*$E$84</f>
        <v>33902.861247462577</v>
      </c>
      <c r="F24" s="18">
        <f>Table9[[#This Row],[Allergan Adjusted %]]*$F$84</f>
        <v>33902.861248842019</v>
      </c>
      <c r="G24" s="18">
        <f>Table9[[#This Row],[Allergan Adjusted %]]*$G$84</f>
        <v>33902.861248842019</v>
      </c>
      <c r="H24" s="18">
        <f>Table9[[#This Row],[Allergan Adjusted %]]*$H$84</f>
        <v>35455.080686215311</v>
      </c>
      <c r="I24" s="18">
        <f>Table9[[#This Row],[Allergan Adjusted %]]*$I$84</f>
        <v>35455.080686215311</v>
      </c>
      <c r="J24" s="18">
        <f>SUM(Table9[[#This Row],[Payment 1]:[Payment 7]])</f>
        <v>253555.3064113314</v>
      </c>
    </row>
    <row r="25" spans="1:10" x14ac:dyDescent="0.3">
      <c r="A25" t="s">
        <v>145</v>
      </c>
      <c r="B25">
        <v>4.0286047879205672E-3</v>
      </c>
      <c r="C25" s="18">
        <f>Table9[[#This Row],[Allergan Adjusted %]]*$C$84</f>
        <v>6100.535775652369</v>
      </c>
      <c r="D25" s="18">
        <f>Table9[[#This Row],[Allergan Adjusted %]]*$D$84</f>
        <v>6100.535775652369</v>
      </c>
      <c r="E25" s="18">
        <f>Table9[[#This Row],[Allergan Adjusted %]]*$E$84</f>
        <v>5110.8081349407294</v>
      </c>
      <c r="F25" s="18">
        <f>Table9[[#This Row],[Allergan Adjusted %]]*$F$84</f>
        <v>5110.808135148678</v>
      </c>
      <c r="G25" s="18">
        <f>Table9[[#This Row],[Allergan Adjusted %]]*$G$84</f>
        <v>5110.808135148678</v>
      </c>
      <c r="H25" s="18">
        <f>Table9[[#This Row],[Allergan Adjusted %]]*$H$84</f>
        <v>5344.803008614831</v>
      </c>
      <c r="I25" s="18">
        <f>Table9[[#This Row],[Allergan Adjusted %]]*$I$84</f>
        <v>5344.803008614831</v>
      </c>
      <c r="J25" s="18">
        <f>SUM(Table9[[#This Row],[Payment 1]:[Payment 7]])</f>
        <v>38223.101973772478</v>
      </c>
    </row>
    <row r="26" spans="1:10" x14ac:dyDescent="0.3">
      <c r="A26" t="s">
        <v>146</v>
      </c>
      <c r="B26">
        <v>1.4321844540419036E-2</v>
      </c>
      <c r="C26" s="18">
        <f>Table9[[#This Row],[Allergan Adjusted %]]*$C$84</f>
        <v>21687.638671862842</v>
      </c>
      <c r="D26" s="18">
        <f>Table9[[#This Row],[Allergan Adjusted %]]*$D$84</f>
        <v>21687.638671862842</v>
      </c>
      <c r="E26" s="18">
        <f>Table9[[#This Row],[Allergan Adjusted %]]*$E$84</f>
        <v>18169.11894758273</v>
      </c>
      <c r="F26" s="18">
        <f>Table9[[#This Row],[Allergan Adjusted %]]*$F$84</f>
        <v>18169.118948321993</v>
      </c>
      <c r="G26" s="18">
        <f>Table9[[#This Row],[Allergan Adjusted %]]*$G$84</f>
        <v>18169.118948321993</v>
      </c>
      <c r="H26" s="18">
        <f>Table9[[#This Row],[Allergan Adjusted %]]*$H$84</f>
        <v>19000.979698496765</v>
      </c>
      <c r="I26" s="18">
        <f>Table9[[#This Row],[Allergan Adjusted %]]*$I$84</f>
        <v>19000.979698496765</v>
      </c>
      <c r="J26" s="18">
        <f>SUM(Table9[[#This Row],[Payment 1]:[Payment 7]])</f>
        <v>135884.59358494592</v>
      </c>
    </row>
    <row r="27" spans="1:10" x14ac:dyDescent="0.3">
      <c r="A27" t="s">
        <v>147</v>
      </c>
      <c r="B27">
        <v>2.8845114319607516E-2</v>
      </c>
      <c r="C27" s="18">
        <f>Table9[[#This Row],[Allergan Adjusted %]]*$C$84</f>
        <v>43680.296560035204</v>
      </c>
      <c r="D27" s="18">
        <f>Table9[[#This Row],[Allergan Adjusted %]]*$D$84</f>
        <v>43680.296560035204</v>
      </c>
      <c r="E27" s="18">
        <f>Table9[[#This Row],[Allergan Adjusted %]]*$E$84</f>
        <v>36593.771957968536</v>
      </c>
      <c r="F27" s="18">
        <f>Table9[[#This Row],[Allergan Adjusted %]]*$F$84</f>
        <v>36593.771959457459</v>
      </c>
      <c r="G27" s="18">
        <f>Table9[[#This Row],[Allergan Adjusted %]]*$G$84</f>
        <v>36593.771959457459</v>
      </c>
      <c r="H27" s="18">
        <f>Table9[[#This Row],[Allergan Adjusted %]]*$H$84</f>
        <v>38269.192913027146</v>
      </c>
      <c r="I27" s="18">
        <f>Table9[[#This Row],[Allergan Adjusted %]]*$I$84</f>
        <v>38269.192913027146</v>
      </c>
      <c r="J27" s="18">
        <f>SUM(Table9[[#This Row],[Payment 1]:[Payment 7]])</f>
        <v>273680.29482300812</v>
      </c>
    </row>
    <row r="28" spans="1:10" x14ac:dyDescent="0.3">
      <c r="A28" t="s">
        <v>148</v>
      </c>
      <c r="B28">
        <v>1.1302327739130123E-2</v>
      </c>
      <c r="C28" s="18">
        <f>Table9[[#This Row],[Allergan Adjusted %]]*$C$84</f>
        <v>17115.169730089438</v>
      </c>
      <c r="D28" s="18">
        <f>Table9[[#This Row],[Allergan Adjusted %]]*$D$84</f>
        <v>17115.169730089438</v>
      </c>
      <c r="E28" s="18">
        <f>Table9[[#This Row],[Allergan Adjusted %]]*$E$84</f>
        <v>14338.46991546877</v>
      </c>
      <c r="F28" s="18">
        <f>Table9[[#This Row],[Allergan Adjusted %]]*$F$84</f>
        <v>14338.469916052172</v>
      </c>
      <c r="G28" s="18">
        <f>Table9[[#This Row],[Allergan Adjusted %]]*$G$84</f>
        <v>14338.469916052172</v>
      </c>
      <c r="H28" s="18">
        <f>Table9[[#This Row],[Allergan Adjusted %]]*$H$84</f>
        <v>14994.947006364089</v>
      </c>
      <c r="I28" s="18">
        <f>Table9[[#This Row],[Allergan Adjusted %]]*$I$84</f>
        <v>14994.947006364089</v>
      </c>
      <c r="J28" s="18">
        <f>SUM(Table9[[#This Row],[Payment 1]:[Payment 7]])</f>
        <v>107235.64322048017</v>
      </c>
    </row>
    <row r="29" spans="1:10" x14ac:dyDescent="0.3">
      <c r="A29" t="s">
        <v>149</v>
      </c>
      <c r="B29">
        <v>1.8730196911064322E-2</v>
      </c>
      <c r="C29" s="18">
        <f>Table9[[#This Row],[Allergan Adjusted %]]*$C$84</f>
        <v>28363.228054430434</v>
      </c>
      <c r="D29" s="18">
        <f>Table9[[#This Row],[Allergan Adjusted %]]*$D$84</f>
        <v>28363.228054430434</v>
      </c>
      <c r="E29" s="18">
        <f>Table9[[#This Row],[Allergan Adjusted %]]*$E$84</f>
        <v>23761.686187023595</v>
      </c>
      <c r="F29" s="18">
        <f>Table9[[#This Row],[Allergan Adjusted %]]*$F$84</f>
        <v>23761.68618799041</v>
      </c>
      <c r="G29" s="18">
        <f>Table9[[#This Row],[Allergan Adjusted %]]*$G$84</f>
        <v>23761.68618799041</v>
      </c>
      <c r="H29" s="18">
        <f>Table9[[#This Row],[Allergan Adjusted %]]*$H$84</f>
        <v>24849.598824479846</v>
      </c>
      <c r="I29" s="18">
        <f>Table9[[#This Row],[Allergan Adjusted %]]*$I$84</f>
        <v>24849.598824479846</v>
      </c>
      <c r="J29" s="18">
        <f>SUM(Table9[[#This Row],[Payment 1]:[Payment 7]])</f>
        <v>177710.712320825</v>
      </c>
    </row>
    <row r="30" spans="1:10" x14ac:dyDescent="0.3">
      <c r="A30" t="s">
        <v>150</v>
      </c>
      <c r="B30">
        <v>1.5649510898246434E-2</v>
      </c>
      <c r="C30" s="18">
        <f>Table9[[#This Row],[Allergan Adjusted %]]*$C$84</f>
        <v>23698.130278868255</v>
      </c>
      <c r="D30" s="18">
        <f>Table9[[#This Row],[Allergan Adjusted %]]*$D$84</f>
        <v>23698.130278868255</v>
      </c>
      <c r="E30" s="18">
        <f>Table9[[#This Row],[Allergan Adjusted %]]*$E$84</f>
        <v>19853.436069584121</v>
      </c>
      <c r="F30" s="18">
        <f>Table9[[#This Row],[Allergan Adjusted %]]*$F$84</f>
        <v>19853.436070391916</v>
      </c>
      <c r="G30" s="18">
        <f>Table9[[#This Row],[Allergan Adjusted %]]*$G$84</f>
        <v>19853.436070391916</v>
      </c>
      <c r="H30" s="18">
        <f>Table9[[#This Row],[Allergan Adjusted %]]*$H$84</f>
        <v>20762.41213412055</v>
      </c>
      <c r="I30" s="18">
        <f>Table9[[#This Row],[Allergan Adjusted %]]*$I$84</f>
        <v>20762.41213412055</v>
      </c>
      <c r="J30" s="18">
        <f>SUM(Table9[[#This Row],[Payment 1]:[Payment 7]])</f>
        <v>148481.39303634554</v>
      </c>
    </row>
    <row r="31" spans="1:10" x14ac:dyDescent="0.3">
      <c r="A31" t="s">
        <v>151</v>
      </c>
      <c r="B31">
        <v>8.0199899121827192E-2</v>
      </c>
      <c r="C31" s="18">
        <f>Table9[[#This Row],[Allergan Adjusted %]]*$C$84</f>
        <v>121447.09634050724</v>
      </c>
      <c r="D31" s="18">
        <f>Table9[[#This Row],[Allergan Adjusted %]]*$D$84</f>
        <v>121447.09634050724</v>
      </c>
      <c r="E31" s="18">
        <f>Table9[[#This Row],[Allergan Adjusted %]]*$E$84</f>
        <v>101743.9829496976</v>
      </c>
      <c r="F31" s="18">
        <f>Table9[[#This Row],[Allergan Adjusted %]]*$F$84</f>
        <v>101743.98295383735</v>
      </c>
      <c r="G31" s="18">
        <f>Table9[[#This Row],[Allergan Adjusted %]]*$G$84</f>
        <v>101743.98295383735</v>
      </c>
      <c r="H31" s="18">
        <f>Table9[[#This Row],[Allergan Adjusted %]]*$H$84</f>
        <v>106402.26199458107</v>
      </c>
      <c r="I31" s="18">
        <f>Table9[[#This Row],[Allergan Adjusted %]]*$I$84</f>
        <v>106402.26199458107</v>
      </c>
      <c r="J31" s="18">
        <f>SUM(Table9[[#This Row],[Payment 1]:[Payment 7]])</f>
        <v>760930.66552754899</v>
      </c>
    </row>
    <row r="32" spans="1:10" x14ac:dyDescent="0.3">
      <c r="A32" t="s">
        <v>152</v>
      </c>
      <c r="B32">
        <v>1.7735372258611652E-2</v>
      </c>
      <c r="C32" s="18">
        <f>Table9[[#This Row],[Allergan Adjusted %]]*$C$84</f>
        <v>26856.760256699137</v>
      </c>
      <c r="D32" s="18">
        <f>Table9[[#This Row],[Allergan Adjusted %]]*$D$84</f>
        <v>26856.760256699137</v>
      </c>
      <c r="E32" s="18">
        <f>Table9[[#This Row],[Allergan Adjusted %]]*$E$84</f>
        <v>22499.62197515558</v>
      </c>
      <c r="F32" s="18">
        <f>Table9[[#This Row],[Allergan Adjusted %]]*$F$84</f>
        <v>22499.621976071041</v>
      </c>
      <c r="G32" s="18">
        <f>Table9[[#This Row],[Allergan Adjusted %]]*$G$84</f>
        <v>22499.621976071041</v>
      </c>
      <c r="H32" s="18">
        <f>Table9[[#This Row],[Allergan Adjusted %]]*$H$84</f>
        <v>23529.751861229382</v>
      </c>
      <c r="I32" s="18">
        <f>Table9[[#This Row],[Allergan Adjusted %]]*$I$84</f>
        <v>23529.751861229382</v>
      </c>
      <c r="J32" s="18">
        <f>SUM(Table9[[#This Row],[Payment 1]:[Payment 7]])</f>
        <v>168271.89016315472</v>
      </c>
    </row>
    <row r="33" spans="1:10" x14ac:dyDescent="0.3">
      <c r="A33" t="s">
        <v>153</v>
      </c>
      <c r="B33">
        <v>2.3288495771583732E-3</v>
      </c>
      <c r="C33" s="18">
        <f>Table9[[#This Row],[Allergan Adjusted %]]*$C$84</f>
        <v>3526.5882134099465</v>
      </c>
      <c r="D33" s="18">
        <f>Table9[[#This Row],[Allergan Adjusted %]]*$D$84</f>
        <v>3526.5882134099465</v>
      </c>
      <c r="E33" s="18">
        <f>Table9[[#This Row],[Allergan Adjusted %]]*$E$84</f>
        <v>2954.4480013731672</v>
      </c>
      <c r="F33" s="18">
        <f>Table9[[#This Row],[Allergan Adjusted %]]*$F$84</f>
        <v>2954.4480014933774</v>
      </c>
      <c r="G33" s="18">
        <f>Table9[[#This Row],[Allergan Adjusted %]]*$G$84</f>
        <v>2954.4480014933774</v>
      </c>
      <c r="H33" s="18">
        <f>Table9[[#This Row],[Allergan Adjusted %]]*$H$84</f>
        <v>3089.7153932620695</v>
      </c>
      <c r="I33" s="18">
        <f>Table9[[#This Row],[Allergan Adjusted %]]*$I$84</f>
        <v>3089.7153932620695</v>
      </c>
      <c r="J33" s="18">
        <f>SUM(Table9[[#This Row],[Payment 1]:[Payment 7]])</f>
        <v>22095.951217703958</v>
      </c>
    </row>
    <row r="34" spans="1:10" x14ac:dyDescent="0.3">
      <c r="A34" t="s">
        <v>154</v>
      </c>
      <c r="B34">
        <v>8.3142266292569617E-4</v>
      </c>
      <c r="C34" s="18">
        <f>Table9[[#This Row],[Allergan Adjusted %]]*$C$84</f>
        <v>1259.0273722244253</v>
      </c>
      <c r="D34" s="18">
        <f>Table9[[#This Row],[Allergan Adjusted %]]*$D$84</f>
        <v>1259.0273722244253</v>
      </c>
      <c r="E34" s="18">
        <f>Table9[[#This Row],[Allergan Adjusted %]]*$E$84</f>
        <v>1054.7675766051132</v>
      </c>
      <c r="F34" s="18">
        <f>Table9[[#This Row],[Allergan Adjusted %]]*$F$84</f>
        <v>1054.7675766480293</v>
      </c>
      <c r="G34" s="18">
        <f>Table9[[#This Row],[Allergan Adjusted %]]*$G$84</f>
        <v>1054.7675766480293</v>
      </c>
      <c r="H34" s="18">
        <f>Table9[[#This Row],[Allergan Adjusted %]]*$H$84</f>
        <v>1103.0593925619478</v>
      </c>
      <c r="I34" s="18">
        <f>Table9[[#This Row],[Allergan Adjusted %]]*$I$84</f>
        <v>1103.0593925619478</v>
      </c>
      <c r="J34" s="18">
        <f>SUM(Table9[[#This Row],[Payment 1]:[Payment 7]])</f>
        <v>7888.4762594739186</v>
      </c>
    </row>
    <row r="35" spans="1:10" x14ac:dyDescent="0.3">
      <c r="A35" t="s">
        <v>156</v>
      </c>
      <c r="B35">
        <v>8.3142266292569617E-4</v>
      </c>
      <c r="C35" s="18">
        <f>Table9[[#This Row],[Allergan Adjusted %]]*$C$84</f>
        <v>1259.0273722244253</v>
      </c>
      <c r="D35" s="18">
        <f>Table9[[#This Row],[Allergan Adjusted %]]*$D$84</f>
        <v>1259.0273722244253</v>
      </c>
      <c r="E35" s="18">
        <f>Table9[[#This Row],[Allergan Adjusted %]]*$E$84</f>
        <v>1054.7675766051132</v>
      </c>
      <c r="F35" s="18">
        <f>Table9[[#This Row],[Allergan Adjusted %]]*$F$84</f>
        <v>1054.7675766480293</v>
      </c>
      <c r="G35" s="18">
        <f>Table9[[#This Row],[Allergan Adjusted %]]*$G$84</f>
        <v>1054.7675766480293</v>
      </c>
      <c r="H35" s="18">
        <f>Table9[[#This Row],[Allergan Adjusted %]]*$H$84</f>
        <v>1103.0593925619478</v>
      </c>
      <c r="I35" s="18">
        <f>Table9[[#This Row],[Allergan Adjusted %]]*$I$84</f>
        <v>1103.0593925619478</v>
      </c>
      <c r="J35" s="18">
        <f>SUM(Table9[[#This Row],[Payment 1]:[Payment 7]])</f>
        <v>7888.4762594739186</v>
      </c>
    </row>
    <row r="36" spans="1:10" x14ac:dyDescent="0.3">
      <c r="A36" t="s">
        <v>157</v>
      </c>
      <c r="B36">
        <v>2.0785566573142404E-3</v>
      </c>
      <c r="C36" s="18">
        <f>Table9[[#This Row],[Allergan Adjusted %]]*$C$84</f>
        <v>3147.5684305610635</v>
      </c>
      <c r="D36" s="18">
        <f>Table9[[#This Row],[Allergan Adjusted %]]*$D$84</f>
        <v>3147.5684305610635</v>
      </c>
      <c r="E36" s="18">
        <f>Table9[[#This Row],[Allergan Adjusted %]]*$E$84</f>
        <v>2636.9189415127826</v>
      </c>
      <c r="F36" s="18">
        <f>Table9[[#This Row],[Allergan Adjusted %]]*$F$84</f>
        <v>2636.9189416200734</v>
      </c>
      <c r="G36" s="18">
        <f>Table9[[#This Row],[Allergan Adjusted %]]*$G$84</f>
        <v>2636.9189416200734</v>
      </c>
      <c r="H36" s="18">
        <f>Table9[[#This Row],[Allergan Adjusted %]]*$H$84</f>
        <v>2757.6484814048695</v>
      </c>
      <c r="I36" s="18">
        <f>Table9[[#This Row],[Allergan Adjusted %]]*$I$84</f>
        <v>2757.6484814048695</v>
      </c>
      <c r="J36" s="18">
        <f>SUM(Table9[[#This Row],[Payment 1]:[Payment 7]])</f>
        <v>19721.190648684798</v>
      </c>
    </row>
    <row r="37" spans="1:10" x14ac:dyDescent="0.3">
      <c r="A37" t="s">
        <v>158</v>
      </c>
      <c r="B37">
        <v>1.0408675738089923E-2</v>
      </c>
      <c r="C37" s="18">
        <f>Table9[[#This Row],[Allergan Adjusted %]]*$C$84</f>
        <v>15761.908169244429</v>
      </c>
      <c r="D37" s="18">
        <f>Table9[[#This Row],[Allergan Adjusted %]]*$D$84</f>
        <v>15761.908169244429</v>
      </c>
      <c r="E37" s="18">
        <f>Table9[[#This Row],[Allergan Adjusted %]]*$E$84</f>
        <v>13204.75634534719</v>
      </c>
      <c r="F37" s="18">
        <f>Table9[[#This Row],[Allergan Adjusted %]]*$F$84</f>
        <v>13204.756345884465</v>
      </c>
      <c r="G37" s="18">
        <f>Table9[[#This Row],[Allergan Adjusted %]]*$G$84</f>
        <v>13204.756345884465</v>
      </c>
      <c r="H37" s="18">
        <f>Table9[[#This Row],[Allergan Adjusted %]]*$H$84</f>
        <v>13809.327131677959</v>
      </c>
      <c r="I37" s="18">
        <f>Table9[[#This Row],[Allergan Adjusted %]]*$I$84</f>
        <v>13809.327131677959</v>
      </c>
      <c r="J37" s="18">
        <f>SUM(Table9[[#This Row],[Payment 1]:[Payment 7]])</f>
        <v>98756.739638960891</v>
      </c>
    </row>
    <row r="38" spans="1:10" x14ac:dyDescent="0.3">
      <c r="A38" t="s">
        <v>159</v>
      </c>
      <c r="B38">
        <v>8.3142266292569617E-4</v>
      </c>
      <c r="C38" s="18">
        <f>Table9[[#This Row],[Allergan Adjusted %]]*$C$84</f>
        <v>1259.0273722244253</v>
      </c>
      <c r="D38" s="18">
        <f>Table9[[#This Row],[Allergan Adjusted %]]*$D$84</f>
        <v>1259.0273722244253</v>
      </c>
      <c r="E38" s="18">
        <f>Table9[[#This Row],[Allergan Adjusted %]]*$E$84</f>
        <v>1054.7675766051132</v>
      </c>
      <c r="F38" s="18">
        <f>Table9[[#This Row],[Allergan Adjusted %]]*$F$84</f>
        <v>1054.7675766480293</v>
      </c>
      <c r="G38" s="18">
        <f>Table9[[#This Row],[Allergan Adjusted %]]*$G$84</f>
        <v>1054.7675766480293</v>
      </c>
      <c r="H38" s="18">
        <f>Table9[[#This Row],[Allergan Adjusted %]]*$H$84</f>
        <v>1103.0593925619478</v>
      </c>
      <c r="I38" s="18">
        <f>Table9[[#This Row],[Allergan Adjusted %]]*$I$84</f>
        <v>1103.0593925619478</v>
      </c>
      <c r="J38" s="18">
        <f>SUM(Table9[[#This Row],[Payment 1]:[Payment 7]])</f>
        <v>7888.4762594739186</v>
      </c>
    </row>
    <row r="39" spans="1:10" x14ac:dyDescent="0.3">
      <c r="A39" t="s">
        <v>160</v>
      </c>
      <c r="B39">
        <v>1.2600894577744775E-2</v>
      </c>
      <c r="C39" s="18">
        <f>Table9[[#This Row],[Allergan Adjusted %]]*$C$84</f>
        <v>19081.595793970861</v>
      </c>
      <c r="D39" s="18">
        <f>Table9[[#This Row],[Allergan Adjusted %]]*$D$84</f>
        <v>19081.595793970861</v>
      </c>
      <c r="E39" s="18">
        <f>Table9[[#This Row],[Allergan Adjusted %]]*$E$84</f>
        <v>15985.870519880425</v>
      </c>
      <c r="F39" s="18">
        <f>Table9[[#This Row],[Allergan Adjusted %]]*$F$84</f>
        <v>15985.870520530856</v>
      </c>
      <c r="G39" s="18">
        <f>Table9[[#This Row],[Allergan Adjusted %]]*$G$84</f>
        <v>15985.870520530856</v>
      </c>
      <c r="H39" s="18">
        <f>Table9[[#This Row],[Allergan Adjusted %]]*$H$84</f>
        <v>16717.772726753887</v>
      </c>
      <c r="I39" s="18">
        <f>Table9[[#This Row],[Allergan Adjusted %]]*$I$84</f>
        <v>16717.772726753887</v>
      </c>
      <c r="J39" s="18">
        <f>SUM(Table9[[#This Row],[Payment 1]:[Payment 7]])</f>
        <v>119556.34860239162</v>
      </c>
    </row>
    <row r="40" spans="1:10" x14ac:dyDescent="0.3">
      <c r="A40" t="s">
        <v>161</v>
      </c>
      <c r="B40">
        <v>2.9054495783305263E-3</v>
      </c>
      <c r="C40" s="18">
        <f>Table9[[#This Row],[Allergan Adjusted %]]*$C$84</f>
        <v>4399.7363926354319</v>
      </c>
      <c r="D40" s="18">
        <f>Table9[[#This Row],[Allergan Adjusted %]]*$D$84</f>
        <v>4399.7363926354319</v>
      </c>
      <c r="E40" s="18">
        <f>Table9[[#This Row],[Allergan Adjusted %]]*$E$84</f>
        <v>3685.9399524907062</v>
      </c>
      <c r="F40" s="18">
        <f>Table9[[#This Row],[Allergan Adjusted %]]*$F$84</f>
        <v>3685.9399526406792</v>
      </c>
      <c r="G40" s="18">
        <f>Table9[[#This Row],[Allergan Adjusted %]]*$G$84</f>
        <v>3685.9399526406792</v>
      </c>
      <c r="H40" s="18">
        <f>Table9[[#This Row],[Allergan Adjusted %]]*$H$84</f>
        <v>3854.6982057416644</v>
      </c>
      <c r="I40" s="18">
        <f>Table9[[#This Row],[Allergan Adjusted %]]*$I$84</f>
        <v>3854.6982057416644</v>
      </c>
      <c r="J40" s="18">
        <f>SUM(Table9[[#This Row],[Payment 1]:[Payment 7]])</f>
        <v>27566.689054526258</v>
      </c>
    </row>
    <row r="41" spans="1:10" x14ac:dyDescent="0.3">
      <c r="A41" t="s">
        <v>162</v>
      </c>
      <c r="B41">
        <v>2.0785566573142404E-3</v>
      </c>
      <c r="C41" s="18">
        <f>Table9[[#This Row],[Allergan Adjusted %]]*$C$84</f>
        <v>3147.5684305610635</v>
      </c>
      <c r="D41" s="18">
        <f>Table9[[#This Row],[Allergan Adjusted %]]*$D$84</f>
        <v>3147.5684305610635</v>
      </c>
      <c r="E41" s="18">
        <f>Table9[[#This Row],[Allergan Adjusted %]]*$E$84</f>
        <v>2636.9189415127826</v>
      </c>
      <c r="F41" s="18">
        <f>Table9[[#This Row],[Allergan Adjusted %]]*$F$84</f>
        <v>2636.9189416200734</v>
      </c>
      <c r="G41" s="18">
        <f>Table9[[#This Row],[Allergan Adjusted %]]*$G$84</f>
        <v>2636.9189416200734</v>
      </c>
      <c r="H41" s="18">
        <f>Table9[[#This Row],[Allergan Adjusted %]]*$H$84</f>
        <v>2757.6484814048695</v>
      </c>
      <c r="I41" s="18">
        <f>Table9[[#This Row],[Allergan Adjusted %]]*$I$84</f>
        <v>2757.6484814048695</v>
      </c>
      <c r="J41" s="18">
        <f>SUM(Table9[[#This Row],[Payment 1]:[Payment 7]])</f>
        <v>19721.190648684798</v>
      </c>
    </row>
    <row r="42" spans="1:10" x14ac:dyDescent="0.3">
      <c r="A42" t="s">
        <v>163</v>
      </c>
      <c r="B42">
        <v>2.4213157288623674E-3</v>
      </c>
      <c r="C42" s="18">
        <f>Table9[[#This Row],[Allergan Adjusted %]]*$C$84</f>
        <v>3666.6101555469618</v>
      </c>
      <c r="D42" s="18">
        <f>Table9[[#This Row],[Allergan Adjusted %]]*$D$84</f>
        <v>3666.6101555469618</v>
      </c>
      <c r="E42" s="18">
        <f>Table9[[#This Row],[Allergan Adjusted %]]*$E$84</f>
        <v>3071.7533180307901</v>
      </c>
      <c r="F42" s="18">
        <f>Table9[[#This Row],[Allergan Adjusted %]]*$F$84</f>
        <v>3071.7533181557733</v>
      </c>
      <c r="G42" s="18">
        <f>Table9[[#This Row],[Allergan Adjusted %]]*$G$84</f>
        <v>3071.7533181557733</v>
      </c>
      <c r="H42" s="18">
        <f>Table9[[#This Row],[Allergan Adjusted %]]*$H$84</f>
        <v>3212.3914540423179</v>
      </c>
      <c r="I42" s="18">
        <f>Table9[[#This Row],[Allergan Adjusted %]]*$I$84</f>
        <v>3212.3914540423179</v>
      </c>
      <c r="J42" s="18">
        <f>SUM(Table9[[#This Row],[Payment 1]:[Payment 7]])</f>
        <v>22973.263173520896</v>
      </c>
    </row>
    <row r="43" spans="1:10" x14ac:dyDescent="0.3">
      <c r="A43" t="s">
        <v>164</v>
      </c>
      <c r="B43">
        <v>3.5630829061509025E-3</v>
      </c>
      <c r="C43" s="18">
        <f>Table9[[#This Row],[Allergan Adjusted %]]*$C$84</f>
        <v>5395.5937315481297</v>
      </c>
      <c r="D43" s="18">
        <f>Table9[[#This Row],[Allergan Adjusted %]]*$D$84</f>
        <v>5395.5937315481297</v>
      </c>
      <c r="E43" s="18">
        <f>Table9[[#This Row],[Allergan Adjusted %]]*$E$84</f>
        <v>4520.2331975641155</v>
      </c>
      <c r="F43" s="18">
        <f>Table9[[#This Row],[Allergan Adjusted %]]*$F$84</f>
        <v>4520.2331977480335</v>
      </c>
      <c r="G43" s="18">
        <f>Table9[[#This Row],[Allergan Adjusted %]]*$G$84</f>
        <v>4520.2331977480335</v>
      </c>
      <c r="H43" s="18">
        <f>Table9[[#This Row],[Allergan Adjusted %]]*$H$84</f>
        <v>4727.1889994871626</v>
      </c>
      <c r="I43" s="18">
        <f>Table9[[#This Row],[Allergan Adjusted %]]*$I$84</f>
        <v>4727.1889994871626</v>
      </c>
      <c r="J43" s="18">
        <f>SUM(Table9[[#This Row],[Payment 1]:[Payment 7]])</f>
        <v>33806.265055130767</v>
      </c>
    </row>
    <row r="44" spans="1:10" x14ac:dyDescent="0.3">
      <c r="A44" t="s">
        <v>165</v>
      </c>
      <c r="B44">
        <v>6.7271250931107236E-3</v>
      </c>
      <c r="C44" s="18">
        <f>Table9[[#This Row],[Allergan Adjusted %]]*$C$84</f>
        <v>10186.918166026844</v>
      </c>
      <c r="D44" s="18">
        <f>Table9[[#This Row],[Allergan Adjusted %]]*$D$84</f>
        <v>10186.918166026844</v>
      </c>
      <c r="E44" s="18">
        <f>Table9[[#This Row],[Allergan Adjusted %]]*$E$84</f>
        <v>8534.2314425388358</v>
      </c>
      <c r="F44" s="18">
        <f>Table9[[#This Row],[Allergan Adjusted %]]*$F$84</f>
        <v>8534.2314428860755</v>
      </c>
      <c r="G44" s="18">
        <f>Table9[[#This Row],[Allergan Adjusted %]]*$G$84</f>
        <v>8534.2314428860755</v>
      </c>
      <c r="H44" s="18">
        <f>Table9[[#This Row],[Allergan Adjusted %]]*$H$84</f>
        <v>8924.9654234624959</v>
      </c>
      <c r="I44" s="18">
        <f>Table9[[#This Row],[Allergan Adjusted %]]*$I$84</f>
        <v>8924.9654234624959</v>
      </c>
      <c r="J44" s="18">
        <f>SUM(Table9[[#This Row],[Payment 1]:[Payment 7]])</f>
        <v>63826.46150728967</v>
      </c>
    </row>
    <row r="45" spans="1:10" x14ac:dyDescent="0.3">
      <c r="A45" t="s">
        <v>166</v>
      </c>
      <c r="B45">
        <v>2.0785566573142404E-3</v>
      </c>
      <c r="C45" s="18">
        <f>Table9[[#This Row],[Allergan Adjusted %]]*$C$84</f>
        <v>3147.5684305610635</v>
      </c>
      <c r="D45" s="18">
        <f>Table9[[#This Row],[Allergan Adjusted %]]*$D$84</f>
        <v>3147.5684305610635</v>
      </c>
      <c r="E45" s="18">
        <f>Table9[[#This Row],[Allergan Adjusted %]]*$E$84</f>
        <v>2636.9189415127826</v>
      </c>
      <c r="F45" s="18">
        <f>Table9[[#This Row],[Allergan Adjusted %]]*$F$84</f>
        <v>2636.9189416200734</v>
      </c>
      <c r="G45" s="18">
        <f>Table9[[#This Row],[Allergan Adjusted %]]*$G$84</f>
        <v>2636.9189416200734</v>
      </c>
      <c r="H45" s="18">
        <f>Table9[[#This Row],[Allergan Adjusted %]]*$H$84</f>
        <v>2757.6484814048695</v>
      </c>
      <c r="I45" s="18">
        <f>Table9[[#This Row],[Allergan Adjusted %]]*$I$84</f>
        <v>2757.6484814048695</v>
      </c>
      <c r="J45" s="18">
        <f>SUM(Table9[[#This Row],[Payment 1]:[Payment 7]])</f>
        <v>19721.190648684798</v>
      </c>
    </row>
    <row r="46" spans="1:10" x14ac:dyDescent="0.3">
      <c r="A46" t="s">
        <v>167</v>
      </c>
      <c r="B46">
        <v>1.7446596822696982E-2</v>
      </c>
      <c r="C46" s="18">
        <f>Table9[[#This Row],[Allergan Adjusted %]]*$C$84</f>
        <v>26419.466213061671</v>
      </c>
      <c r="D46" s="18">
        <f>Table9[[#This Row],[Allergan Adjusted %]]*$D$84</f>
        <v>26419.466213061671</v>
      </c>
      <c r="E46" s="18">
        <f>Table9[[#This Row],[Allergan Adjusted %]]*$E$84</f>
        <v>22133.272848165252</v>
      </c>
      <c r="F46" s="18">
        <f>Table9[[#This Row],[Allergan Adjusted %]]*$F$84</f>
        <v>22133.272849065808</v>
      </c>
      <c r="G46" s="18">
        <f>Table9[[#This Row],[Allergan Adjusted %]]*$G$84</f>
        <v>22133.272849065808</v>
      </c>
      <c r="H46" s="18">
        <f>Table9[[#This Row],[Allergan Adjusted %]]*$H$84</f>
        <v>23146.629688680045</v>
      </c>
      <c r="I46" s="18">
        <f>Table9[[#This Row],[Allergan Adjusted %]]*$I$84</f>
        <v>23146.629688680045</v>
      </c>
      <c r="J46" s="18">
        <f>SUM(Table9[[#This Row],[Payment 1]:[Payment 7]])</f>
        <v>165532.01034978032</v>
      </c>
    </row>
    <row r="47" spans="1:10" x14ac:dyDescent="0.3">
      <c r="A47" t="s">
        <v>168</v>
      </c>
      <c r="B47">
        <v>6.9553330702260777E-3</v>
      </c>
      <c r="C47" s="18">
        <f>Table9[[#This Row],[Allergan Adjusted %]]*$C$84</f>
        <v>10532.494612953542</v>
      </c>
      <c r="D47" s="18">
        <f>Table9[[#This Row],[Allergan Adjusted %]]*$D$84</f>
        <v>10532.494612953542</v>
      </c>
      <c r="E47" s="18">
        <f>Table9[[#This Row],[Allergan Adjusted %]]*$E$84</f>
        <v>8823.74288565598</v>
      </c>
      <c r="F47" s="18">
        <f>Table9[[#This Row],[Allergan Adjusted %]]*$F$84</f>
        <v>8823.7428860149994</v>
      </c>
      <c r="G47" s="18">
        <f>Table9[[#This Row],[Allergan Adjusted %]]*$G$84</f>
        <v>8823.7428860149994</v>
      </c>
      <c r="H47" s="18">
        <f>Table9[[#This Row],[Allergan Adjusted %]]*$H$84</f>
        <v>9227.7319510537091</v>
      </c>
      <c r="I47" s="18">
        <f>Table9[[#This Row],[Allergan Adjusted %]]*$I$84</f>
        <v>9227.7319510537091</v>
      </c>
      <c r="J47" s="18">
        <f>SUM(Table9[[#This Row],[Payment 1]:[Payment 7]])</f>
        <v>65991.681785700464</v>
      </c>
    </row>
    <row r="48" spans="1:10" x14ac:dyDescent="0.3">
      <c r="A48" t="s">
        <v>169</v>
      </c>
      <c r="B48">
        <v>3.0268022409488428E-2</v>
      </c>
      <c r="C48" s="18">
        <f>Table9[[#This Row],[Allergan Adjusted %]]*$C$84</f>
        <v>45835.013183966999</v>
      </c>
      <c r="D48" s="18">
        <f>Table9[[#This Row],[Allergan Adjusted %]]*$D$84</f>
        <v>45835.013183966999</v>
      </c>
      <c r="E48" s="18">
        <f>Table9[[#This Row],[Allergan Adjusted %]]*$E$84</f>
        <v>38398.915580604698</v>
      </c>
      <c r="F48" s="18">
        <f>Table9[[#This Row],[Allergan Adjusted %]]*$F$84</f>
        <v>38398.915582167072</v>
      </c>
      <c r="G48" s="18">
        <f>Table9[[#This Row],[Allergan Adjusted %]]*$G$84</f>
        <v>38398.915582167072</v>
      </c>
      <c r="H48" s="18">
        <f>Table9[[#This Row],[Allergan Adjusted %]]*$H$84</f>
        <v>40156.983808421333</v>
      </c>
      <c r="I48" s="18">
        <f>Table9[[#This Row],[Allergan Adjusted %]]*$I$84</f>
        <v>40156.983808421333</v>
      </c>
      <c r="J48" s="18">
        <f>SUM(Table9[[#This Row],[Payment 1]:[Payment 7]])</f>
        <v>287180.7407297155</v>
      </c>
    </row>
    <row r="49" spans="1:10" x14ac:dyDescent="0.3">
      <c r="A49" t="s">
        <v>170</v>
      </c>
      <c r="B49">
        <v>8.3142266292569617E-4</v>
      </c>
      <c r="C49" s="18">
        <f>Table9[[#This Row],[Allergan Adjusted %]]*$C$84</f>
        <v>1259.0273722244253</v>
      </c>
      <c r="D49" s="18">
        <f>Table9[[#This Row],[Allergan Adjusted %]]*$D$84</f>
        <v>1259.0273722244253</v>
      </c>
      <c r="E49" s="18">
        <f>Table9[[#This Row],[Allergan Adjusted %]]*$E$84</f>
        <v>1054.7675766051132</v>
      </c>
      <c r="F49" s="18">
        <f>Table9[[#This Row],[Allergan Adjusted %]]*$F$84</f>
        <v>1054.7675766480293</v>
      </c>
      <c r="G49" s="18">
        <f>Table9[[#This Row],[Allergan Adjusted %]]*$G$84</f>
        <v>1054.7675766480293</v>
      </c>
      <c r="H49" s="18">
        <f>Table9[[#This Row],[Allergan Adjusted %]]*$H$84</f>
        <v>1103.0593925619478</v>
      </c>
      <c r="I49" s="18">
        <f>Table9[[#This Row],[Allergan Adjusted %]]*$I$84</f>
        <v>1103.0593925619478</v>
      </c>
      <c r="J49" s="18">
        <f>SUM(Table9[[#This Row],[Payment 1]:[Payment 7]])</f>
        <v>7888.4762594739186</v>
      </c>
    </row>
    <row r="50" spans="1:10" x14ac:dyDescent="0.3">
      <c r="A50" t="s">
        <v>171</v>
      </c>
      <c r="B50">
        <v>2.6812821107250061E-3</v>
      </c>
      <c r="C50" s="18">
        <f>Table9[[#This Row],[Allergan Adjusted %]]*$C$84</f>
        <v>4060.2785088625369</v>
      </c>
      <c r="D50" s="18">
        <f>Table9[[#This Row],[Allergan Adjusted %]]*$D$84</f>
        <v>4060.2785088625369</v>
      </c>
      <c r="E50" s="18">
        <f>Table9[[#This Row],[Allergan Adjusted %]]*$E$84</f>
        <v>3401.5544201936264</v>
      </c>
      <c r="F50" s="18">
        <f>Table9[[#This Row],[Allergan Adjusted %]]*$F$84</f>
        <v>3401.5544203320283</v>
      </c>
      <c r="G50" s="18">
        <f>Table9[[#This Row],[Allergan Adjusted %]]*$G$84</f>
        <v>3401.5544203320283</v>
      </c>
      <c r="H50" s="18">
        <f>Table9[[#This Row],[Allergan Adjusted %]]*$H$84</f>
        <v>3557.292275310353</v>
      </c>
      <c r="I50" s="18">
        <f>Table9[[#This Row],[Allergan Adjusted %]]*$I$84</f>
        <v>3557.292275310353</v>
      </c>
      <c r="J50" s="18">
        <f>SUM(Table9[[#This Row],[Payment 1]:[Payment 7]])</f>
        <v>25439.804829203462</v>
      </c>
    </row>
    <row r="51" spans="1:10" x14ac:dyDescent="0.3">
      <c r="A51" t="s">
        <v>172</v>
      </c>
      <c r="B51">
        <v>2.0785566573142404E-3</v>
      </c>
      <c r="C51" s="18">
        <f>Table9[[#This Row],[Allergan Adjusted %]]*$C$84</f>
        <v>3147.5684305610635</v>
      </c>
      <c r="D51" s="18">
        <f>Table9[[#This Row],[Allergan Adjusted %]]*$D$84</f>
        <v>3147.5684305610635</v>
      </c>
      <c r="E51" s="18">
        <f>Table9[[#This Row],[Allergan Adjusted %]]*$E$84</f>
        <v>2636.9189415127826</v>
      </c>
      <c r="F51" s="18">
        <f>Table9[[#This Row],[Allergan Adjusted %]]*$F$84</f>
        <v>2636.9189416200734</v>
      </c>
      <c r="G51" s="18">
        <f>Table9[[#This Row],[Allergan Adjusted %]]*$G$84</f>
        <v>2636.9189416200734</v>
      </c>
      <c r="H51" s="18">
        <f>Table9[[#This Row],[Allergan Adjusted %]]*$H$84</f>
        <v>2757.6484814048695</v>
      </c>
      <c r="I51" s="18">
        <f>Table9[[#This Row],[Allergan Adjusted %]]*$I$84</f>
        <v>2757.6484814048695</v>
      </c>
      <c r="J51" s="18">
        <f>SUM(Table9[[#This Row],[Payment 1]:[Payment 7]])</f>
        <v>19721.190648684798</v>
      </c>
    </row>
    <row r="52" spans="1:10" x14ac:dyDescent="0.3">
      <c r="A52" t="s">
        <v>173</v>
      </c>
      <c r="B52">
        <v>2.6311313066889618E-2</v>
      </c>
      <c r="C52" s="18">
        <f>Table9[[#This Row],[Allergan Adjusted %]]*$C$84</f>
        <v>39843.34902997555</v>
      </c>
      <c r="D52" s="18">
        <f>Table9[[#This Row],[Allergan Adjusted %]]*$D$84</f>
        <v>39843.34902997555</v>
      </c>
      <c r="E52" s="18">
        <f>Table9[[#This Row],[Allergan Adjusted %]]*$E$84</f>
        <v>33379.316150950071</v>
      </c>
      <c r="F52" s="18">
        <f>Table9[[#This Row],[Allergan Adjusted %]]*$F$84</f>
        <v>33379.316152308209</v>
      </c>
      <c r="G52" s="18">
        <f>Table9[[#This Row],[Allergan Adjusted %]]*$G$84</f>
        <v>33379.316152308209</v>
      </c>
      <c r="H52" s="18">
        <f>Table9[[#This Row],[Allergan Adjusted %]]*$H$84</f>
        <v>34907.565433616604</v>
      </c>
      <c r="I52" s="18">
        <f>Table9[[#This Row],[Allergan Adjusted %]]*$I$84</f>
        <v>34907.565433616604</v>
      </c>
      <c r="J52" s="18">
        <f>SUM(Table9[[#This Row],[Payment 1]:[Payment 7]])</f>
        <v>249639.77738275076</v>
      </c>
    </row>
    <row r="53" spans="1:10" x14ac:dyDescent="0.3">
      <c r="A53" t="s">
        <v>174</v>
      </c>
      <c r="B53">
        <v>9.2275539981756163E-3</v>
      </c>
      <c r="C53" s="18">
        <f>Table9[[#This Row],[Allergan Adjusted %]]*$C$84</f>
        <v>13973.329788125235</v>
      </c>
      <c r="D53" s="18">
        <f>Table9[[#This Row],[Allergan Adjusted %]]*$D$84</f>
        <v>13973.329788125235</v>
      </c>
      <c r="E53" s="18">
        <f>Table9[[#This Row],[Allergan Adjusted %]]*$E$84</f>
        <v>11706.350094426454</v>
      </c>
      <c r="F53" s="18">
        <f>Table9[[#This Row],[Allergan Adjusted %]]*$F$84</f>
        <v>11706.35009490276</v>
      </c>
      <c r="G53" s="18">
        <f>Table9[[#This Row],[Allergan Adjusted %]]*$G$84</f>
        <v>11706.35009490276</v>
      </c>
      <c r="H53" s="18">
        <f>Table9[[#This Row],[Allergan Adjusted %]]*$H$84</f>
        <v>12242.317369895676</v>
      </c>
      <c r="I53" s="18">
        <f>Table9[[#This Row],[Allergan Adjusted %]]*$I$84</f>
        <v>12242.317369895676</v>
      </c>
      <c r="J53" s="18">
        <f>SUM(Table9[[#This Row],[Payment 1]:[Payment 7]])</f>
        <v>87550.344600273806</v>
      </c>
    </row>
    <row r="54" spans="1:10" x14ac:dyDescent="0.3">
      <c r="A54" t="s">
        <v>175</v>
      </c>
      <c r="B54">
        <v>8.3142266292569617E-4</v>
      </c>
      <c r="C54" s="18">
        <f>Table9[[#This Row],[Allergan Adjusted %]]*$C$84</f>
        <v>1259.0273722244253</v>
      </c>
      <c r="D54" s="18">
        <f>Table9[[#This Row],[Allergan Adjusted %]]*$D$84</f>
        <v>1259.0273722244253</v>
      </c>
      <c r="E54" s="18">
        <f>Table9[[#This Row],[Allergan Adjusted %]]*$E$84</f>
        <v>1054.7675766051132</v>
      </c>
      <c r="F54" s="18">
        <f>Table9[[#This Row],[Allergan Adjusted %]]*$F$84</f>
        <v>1054.7675766480293</v>
      </c>
      <c r="G54" s="18">
        <f>Table9[[#This Row],[Allergan Adjusted %]]*$G$84</f>
        <v>1054.7675766480293</v>
      </c>
      <c r="H54" s="18">
        <f>Table9[[#This Row],[Allergan Adjusted %]]*$H$84</f>
        <v>1103.0593925619478</v>
      </c>
      <c r="I54" s="18">
        <f>Table9[[#This Row],[Allergan Adjusted %]]*$I$84</f>
        <v>1103.0593925619478</v>
      </c>
      <c r="J54" s="18">
        <f>SUM(Table9[[#This Row],[Payment 1]:[Payment 7]])</f>
        <v>7888.4762594739186</v>
      </c>
    </row>
    <row r="55" spans="1:10" x14ac:dyDescent="0.3">
      <c r="A55" t="s">
        <v>176</v>
      </c>
      <c r="B55">
        <v>8.9418091656402448E-3</v>
      </c>
      <c r="C55" s="18">
        <f>Table9[[#This Row],[Allergan Adjusted %]]*$C$84</f>
        <v>13540.625001888407</v>
      </c>
      <c r="D55" s="18">
        <f>Table9[[#This Row],[Allergan Adjusted %]]*$D$84</f>
        <v>13540.625001888407</v>
      </c>
      <c r="E55" s="18">
        <f>Table9[[#This Row],[Allergan Adjusted %]]*$E$84</f>
        <v>11343.845681231618</v>
      </c>
      <c r="F55" s="18">
        <f>Table9[[#This Row],[Allergan Adjusted %]]*$F$84</f>
        <v>11343.845681693174</v>
      </c>
      <c r="G55" s="18">
        <f>Table9[[#This Row],[Allergan Adjusted %]]*$G$84</f>
        <v>11343.845681693174</v>
      </c>
      <c r="H55" s="18">
        <f>Table9[[#This Row],[Allergan Adjusted %]]*$H$84</f>
        <v>11863.215938747473</v>
      </c>
      <c r="I55" s="18">
        <f>Table9[[#This Row],[Allergan Adjusted %]]*$I$84</f>
        <v>11863.215938747473</v>
      </c>
      <c r="J55" s="18">
        <f>SUM(Table9[[#This Row],[Payment 1]:[Payment 7]])</f>
        <v>84839.218925889712</v>
      </c>
    </row>
    <row r="56" spans="1:10" x14ac:dyDescent="0.3">
      <c r="A56" t="s">
        <v>177</v>
      </c>
      <c r="B56">
        <v>3.720501156653986E-3</v>
      </c>
      <c r="C56" s="18">
        <f>Table9[[#This Row],[Allergan Adjusted %]]*$C$84</f>
        <v>5633.9729520202281</v>
      </c>
      <c r="D56" s="18">
        <f>Table9[[#This Row],[Allergan Adjusted %]]*$D$84</f>
        <v>5633.9729520202281</v>
      </c>
      <c r="E56" s="18">
        <f>Table9[[#This Row],[Allergan Adjusted %]]*$E$84</f>
        <v>4719.938683113759</v>
      </c>
      <c r="F56" s="18">
        <f>Table9[[#This Row],[Allergan Adjusted %]]*$F$84</f>
        <v>4719.9386833058034</v>
      </c>
      <c r="G56" s="18">
        <f>Table9[[#This Row],[Allergan Adjusted %]]*$G$84</f>
        <v>4719.9386833058034</v>
      </c>
      <c r="H56" s="18">
        <f>Table9[[#This Row],[Allergan Adjusted %]]*$H$84</f>
        <v>4936.0378648369087</v>
      </c>
      <c r="I56" s="18">
        <f>Table9[[#This Row],[Allergan Adjusted %]]*$I$84</f>
        <v>4936.0378648369087</v>
      </c>
      <c r="J56" s="18">
        <f>SUM(Table9[[#This Row],[Payment 1]:[Payment 7]])</f>
        <v>35299.837683439633</v>
      </c>
    </row>
    <row r="57" spans="1:10" x14ac:dyDescent="0.3">
      <c r="A57" t="s">
        <v>178</v>
      </c>
      <c r="B57">
        <v>1.3602536885232311E-2</v>
      </c>
      <c r="C57" s="18">
        <f>Table9[[#This Row],[Allergan Adjusted %]]*$C$84</f>
        <v>20598.3875997982</v>
      </c>
      <c r="D57" s="18">
        <f>Table9[[#This Row],[Allergan Adjusted %]]*$D$84</f>
        <v>20598.3875997982</v>
      </c>
      <c r="E57" s="18">
        <f>Table9[[#This Row],[Allergan Adjusted %]]*$E$84</f>
        <v>17256.583812173976</v>
      </c>
      <c r="F57" s="18">
        <f>Table9[[#This Row],[Allergan Adjusted %]]*$F$84</f>
        <v>17256.58381287611</v>
      </c>
      <c r="G57" s="18">
        <f>Table9[[#This Row],[Allergan Adjusted %]]*$G$84</f>
        <v>17256.58381287611</v>
      </c>
      <c r="H57" s="18">
        <f>Table9[[#This Row],[Allergan Adjusted %]]*$H$84</f>
        <v>18046.664762693363</v>
      </c>
      <c r="I57" s="18">
        <f>Table9[[#This Row],[Allergan Adjusted %]]*$I$84</f>
        <v>18046.664762693363</v>
      </c>
      <c r="J57" s="18">
        <f>SUM(Table9[[#This Row],[Payment 1]:[Payment 7]])</f>
        <v>129059.85616290933</v>
      </c>
    </row>
    <row r="58" spans="1:10" x14ac:dyDescent="0.3">
      <c r="A58" t="s">
        <v>179</v>
      </c>
      <c r="B58">
        <v>8.3142266292569628E-4</v>
      </c>
      <c r="C58" s="18">
        <f>Table9[[#This Row],[Allergan Adjusted %]]*$C$84</f>
        <v>1259.0273722244256</v>
      </c>
      <c r="D58" s="18">
        <f>Table9[[#This Row],[Allergan Adjusted %]]*$D$84</f>
        <v>1259.0273722244256</v>
      </c>
      <c r="E58" s="18">
        <f>Table9[[#This Row],[Allergan Adjusted %]]*$E$84</f>
        <v>1054.7675766051132</v>
      </c>
      <c r="F58" s="18">
        <f>Table9[[#This Row],[Allergan Adjusted %]]*$F$84</f>
        <v>1054.7675766480295</v>
      </c>
      <c r="G58" s="18">
        <f>Table9[[#This Row],[Allergan Adjusted %]]*$G$84</f>
        <v>1054.7675766480295</v>
      </c>
      <c r="H58" s="18">
        <f>Table9[[#This Row],[Allergan Adjusted %]]*$H$84</f>
        <v>1103.059392561948</v>
      </c>
      <c r="I58" s="18">
        <f>Table9[[#This Row],[Allergan Adjusted %]]*$I$84</f>
        <v>1103.059392561948</v>
      </c>
      <c r="J58" s="18">
        <f>SUM(Table9[[#This Row],[Payment 1]:[Payment 7]])</f>
        <v>7888.4762594739195</v>
      </c>
    </row>
    <row r="59" spans="1:10" x14ac:dyDescent="0.3">
      <c r="A59" t="s">
        <v>180</v>
      </c>
      <c r="B59">
        <v>2.0785566573142404E-3</v>
      </c>
      <c r="C59" s="18">
        <f>Table9[[#This Row],[Allergan Adjusted %]]*$C$84</f>
        <v>3147.5684305610635</v>
      </c>
      <c r="D59" s="18">
        <f>Table9[[#This Row],[Allergan Adjusted %]]*$D$84</f>
        <v>3147.5684305610635</v>
      </c>
      <c r="E59" s="18">
        <f>Table9[[#This Row],[Allergan Adjusted %]]*$E$84</f>
        <v>2636.9189415127826</v>
      </c>
      <c r="F59" s="18">
        <f>Table9[[#This Row],[Allergan Adjusted %]]*$F$84</f>
        <v>2636.9189416200734</v>
      </c>
      <c r="G59" s="18">
        <f>Table9[[#This Row],[Allergan Adjusted %]]*$G$84</f>
        <v>2636.9189416200734</v>
      </c>
      <c r="H59" s="18">
        <f>Table9[[#This Row],[Allergan Adjusted %]]*$H$84</f>
        <v>2757.6484814048695</v>
      </c>
      <c r="I59" s="18">
        <f>Table9[[#This Row],[Allergan Adjusted %]]*$I$84</f>
        <v>2757.6484814048695</v>
      </c>
      <c r="J59" s="18">
        <f>SUM(Table9[[#This Row],[Payment 1]:[Payment 7]])</f>
        <v>19721.190648684798</v>
      </c>
    </row>
    <row r="60" spans="1:10" x14ac:dyDescent="0.3">
      <c r="A60" t="s">
        <v>181</v>
      </c>
      <c r="B60">
        <v>2.0785566573142404E-3</v>
      </c>
      <c r="C60" s="18">
        <f>Table9[[#This Row],[Allergan Adjusted %]]*$C$84</f>
        <v>3147.5684305610635</v>
      </c>
      <c r="D60" s="18">
        <f>Table9[[#This Row],[Allergan Adjusted %]]*$D$84</f>
        <v>3147.5684305610635</v>
      </c>
      <c r="E60" s="18">
        <f>Table9[[#This Row],[Allergan Adjusted %]]*$E$84</f>
        <v>2636.9189415127826</v>
      </c>
      <c r="F60" s="18">
        <f>Table9[[#This Row],[Allergan Adjusted %]]*$F$84</f>
        <v>2636.9189416200734</v>
      </c>
      <c r="G60" s="18">
        <f>Table9[[#This Row],[Allergan Adjusted %]]*$G$84</f>
        <v>2636.9189416200734</v>
      </c>
      <c r="H60" s="18">
        <f>Table9[[#This Row],[Allergan Adjusted %]]*$H$84</f>
        <v>2757.6484814048695</v>
      </c>
      <c r="I60" s="18">
        <f>Table9[[#This Row],[Allergan Adjusted %]]*$I$84</f>
        <v>2757.6484814048695</v>
      </c>
      <c r="J60" s="18">
        <f>SUM(Table9[[#This Row],[Payment 1]:[Payment 7]])</f>
        <v>19721.190648684798</v>
      </c>
    </row>
    <row r="61" spans="1:10" x14ac:dyDescent="0.3">
      <c r="A61" t="s">
        <v>182</v>
      </c>
      <c r="B61">
        <v>2.0785566573142404E-3</v>
      </c>
      <c r="C61" s="18">
        <f>Table9[[#This Row],[Allergan Adjusted %]]*$C$84</f>
        <v>3147.5684305610635</v>
      </c>
      <c r="D61" s="18">
        <f>Table9[[#This Row],[Allergan Adjusted %]]*$D$84</f>
        <v>3147.5684305610635</v>
      </c>
      <c r="E61" s="18">
        <f>Table9[[#This Row],[Allergan Adjusted %]]*$E$84</f>
        <v>2636.9189415127826</v>
      </c>
      <c r="F61" s="18">
        <f>Table9[[#This Row],[Allergan Adjusted %]]*$F$84</f>
        <v>2636.9189416200734</v>
      </c>
      <c r="G61" s="18">
        <f>Table9[[#This Row],[Allergan Adjusted %]]*$G$84</f>
        <v>2636.9189416200734</v>
      </c>
      <c r="H61" s="18">
        <f>Table9[[#This Row],[Allergan Adjusted %]]*$H$84</f>
        <v>2757.6484814048695</v>
      </c>
      <c r="I61" s="18">
        <f>Table9[[#This Row],[Allergan Adjusted %]]*$I$84</f>
        <v>2757.6484814048695</v>
      </c>
      <c r="J61" s="18">
        <f>SUM(Table9[[#This Row],[Payment 1]:[Payment 7]])</f>
        <v>19721.190648684798</v>
      </c>
    </row>
    <row r="62" spans="1:10" x14ac:dyDescent="0.3">
      <c r="A62" t="s">
        <v>183</v>
      </c>
      <c r="B62">
        <v>2.8888026791500155E-3</v>
      </c>
      <c r="C62" s="18">
        <f>Table9[[#This Row],[Allergan Adjusted %]]*$C$84</f>
        <v>4374.5279124417712</v>
      </c>
      <c r="D62" s="18">
        <f>Table9[[#This Row],[Allergan Adjusted %]]*$D$84</f>
        <v>4374.5279124417712</v>
      </c>
      <c r="E62" s="18">
        <f>Table9[[#This Row],[Allergan Adjusted %]]*$E$84</f>
        <v>3664.8211999120476</v>
      </c>
      <c r="F62" s="18">
        <f>Table9[[#This Row],[Allergan Adjusted %]]*$F$84</f>
        <v>3664.8212000611616</v>
      </c>
      <c r="G62" s="18">
        <f>Table9[[#This Row],[Allergan Adjusted %]]*$G$84</f>
        <v>3664.8212000611616</v>
      </c>
      <c r="H62" s="18">
        <f>Table9[[#This Row],[Allergan Adjusted %]]*$H$84</f>
        <v>3832.6125454428725</v>
      </c>
      <c r="I62" s="18">
        <f>Table9[[#This Row],[Allergan Adjusted %]]*$I$84</f>
        <v>3832.6125454428725</v>
      </c>
      <c r="J62" s="18">
        <f>SUM(Table9[[#This Row],[Payment 1]:[Payment 7]])</f>
        <v>27408.744515803661</v>
      </c>
    </row>
    <row r="63" spans="1:10" x14ac:dyDescent="0.3">
      <c r="A63" t="s">
        <v>184</v>
      </c>
      <c r="B63">
        <v>2.5289629832233311E-2</v>
      </c>
      <c r="C63" s="18">
        <f>Table9[[#This Row],[Allergan Adjusted %]]*$C$84</f>
        <v>38296.20915090535</v>
      </c>
      <c r="D63" s="18">
        <f>Table9[[#This Row],[Allergan Adjusted %]]*$D$84</f>
        <v>38296.20915090535</v>
      </c>
      <c r="E63" s="18">
        <f>Table9[[#This Row],[Allergan Adjusted %]]*$E$84</f>
        <v>32083.178340989012</v>
      </c>
      <c r="F63" s="18">
        <f>Table9[[#This Row],[Allergan Adjusted %]]*$F$84</f>
        <v>32083.178342294406</v>
      </c>
      <c r="G63" s="18">
        <f>Table9[[#This Row],[Allergan Adjusted %]]*$G$84</f>
        <v>32083.178342294406</v>
      </c>
      <c r="H63" s="18">
        <f>Table9[[#This Row],[Allergan Adjusted %]]*$H$84</f>
        <v>33552.084835764021</v>
      </c>
      <c r="I63" s="18">
        <f>Table9[[#This Row],[Allergan Adjusted %]]*$I$84</f>
        <v>33552.084835764021</v>
      </c>
      <c r="J63" s="18">
        <f>SUM(Table9[[#This Row],[Payment 1]:[Payment 7]])</f>
        <v>239946.12299891657</v>
      </c>
    </row>
    <row r="64" spans="1:10" x14ac:dyDescent="0.3">
      <c r="A64" t="s">
        <v>185</v>
      </c>
      <c r="B64">
        <v>7.4060115009528223E-3</v>
      </c>
      <c r="C64" s="18">
        <f>Table9[[#This Row],[Allergan Adjusted %]]*$C$84</f>
        <v>11214.95914712854</v>
      </c>
      <c r="D64" s="18">
        <f>Table9[[#This Row],[Allergan Adjusted %]]*$D$84</f>
        <v>11214.95914712854</v>
      </c>
      <c r="E64" s="18">
        <f>Table9[[#This Row],[Allergan Adjusted %]]*$E$84</f>
        <v>9395.4869785257761</v>
      </c>
      <c r="F64" s="18">
        <f>Table9[[#This Row],[Allergan Adjusted %]]*$F$84</f>
        <v>9395.4869789080585</v>
      </c>
      <c r="G64" s="18">
        <f>Table9[[#This Row],[Allergan Adjusted %]]*$G$84</f>
        <v>9395.4869789080585</v>
      </c>
      <c r="H64" s="18">
        <f>Table9[[#This Row],[Allergan Adjusted %]]*$H$84</f>
        <v>9825.6529582690764</v>
      </c>
      <c r="I64" s="18">
        <f>Table9[[#This Row],[Allergan Adjusted %]]*$I$84</f>
        <v>9825.6529582690764</v>
      </c>
      <c r="J64" s="18">
        <f>SUM(Table9[[#This Row],[Payment 1]:[Payment 7]])</f>
        <v>70267.685147137134</v>
      </c>
    </row>
    <row r="65" spans="1:10" x14ac:dyDescent="0.3">
      <c r="A65" t="s">
        <v>186</v>
      </c>
      <c r="B65">
        <v>0.12960314060682437</v>
      </c>
      <c r="C65" s="18">
        <f>Table9[[#This Row],[Allergan Adjusted %]]*$C$84</f>
        <v>196258.664607541</v>
      </c>
      <c r="D65" s="18">
        <f>Table9[[#This Row],[Allergan Adjusted %]]*$D$84</f>
        <v>196258.664607541</v>
      </c>
      <c r="E65" s="18">
        <f>Table9[[#This Row],[Allergan Adjusted %]]*$E$84</f>
        <v>164418.40790968286</v>
      </c>
      <c r="F65" s="18">
        <f>Table9[[#This Row],[Allergan Adjusted %]]*$F$84</f>
        <v>164418.4079163727</v>
      </c>
      <c r="G65" s="18">
        <f>Table9[[#This Row],[Allergan Adjusted %]]*$G$84</f>
        <v>164418.4079163727</v>
      </c>
      <c r="H65" s="18">
        <f>Table9[[#This Row],[Allergan Adjusted %]]*$H$84</f>
        <v>171946.1928651573</v>
      </c>
      <c r="I65" s="18">
        <f>Table9[[#This Row],[Allergan Adjusted %]]*$I$84</f>
        <v>171946.1928651573</v>
      </c>
      <c r="J65" s="18">
        <f>SUM(Table9[[#This Row],[Payment 1]:[Payment 7]])</f>
        <v>1229664.9386878246</v>
      </c>
    </row>
    <row r="66" spans="1:10" x14ac:dyDescent="0.3">
      <c r="A66" t="s">
        <v>189</v>
      </c>
      <c r="B66">
        <v>8.3142266292569617E-4</v>
      </c>
      <c r="C66" s="18">
        <f>Table9[[#This Row],[Allergan Adjusted %]]*$C$84</f>
        <v>1259.0273722244253</v>
      </c>
      <c r="D66" s="18">
        <f>Table9[[#This Row],[Allergan Adjusted %]]*$D$84</f>
        <v>1259.0273722244253</v>
      </c>
      <c r="E66" s="18">
        <f>Table9[[#This Row],[Allergan Adjusted %]]*$E$84</f>
        <v>1054.7675766051132</v>
      </c>
      <c r="F66" s="18">
        <f>Table9[[#This Row],[Allergan Adjusted %]]*$F$84</f>
        <v>1054.7675766480293</v>
      </c>
      <c r="G66" s="18">
        <f>Table9[[#This Row],[Allergan Adjusted %]]*$G$84</f>
        <v>1054.7675766480293</v>
      </c>
      <c r="H66" s="18">
        <f>Table9[[#This Row],[Allergan Adjusted %]]*$H$84</f>
        <v>1103.0593925619478</v>
      </c>
      <c r="I66" s="18">
        <f>Table9[[#This Row],[Allergan Adjusted %]]*$I$84</f>
        <v>1103.0593925619478</v>
      </c>
      <c r="J66" s="18">
        <f>SUM(Table9[[#This Row],[Payment 1]:[Payment 7]])</f>
        <v>7888.4762594739186</v>
      </c>
    </row>
    <row r="67" spans="1:10" x14ac:dyDescent="0.3">
      <c r="A67" t="s">
        <v>191</v>
      </c>
      <c r="B67">
        <v>3.3414852025936359E-2</v>
      </c>
      <c r="C67" s="18">
        <f>Table9[[#This Row],[Allergan Adjusted %]]*$C$84</f>
        <v>50600.272539410522</v>
      </c>
      <c r="D67" s="18">
        <f>Table9[[#This Row],[Allergan Adjusted %]]*$D$84</f>
        <v>50600.272539410522</v>
      </c>
      <c r="E67" s="18">
        <f>Table9[[#This Row],[Allergan Adjusted %]]*$E$84</f>
        <v>42391.077445485949</v>
      </c>
      <c r="F67" s="18">
        <f>Table9[[#This Row],[Allergan Adjusted %]]*$F$84</f>
        <v>42391.077447210751</v>
      </c>
      <c r="G67" s="18">
        <f>Table9[[#This Row],[Allergan Adjusted %]]*$G$84</f>
        <v>42391.077447210751</v>
      </c>
      <c r="H67" s="18">
        <f>Table9[[#This Row],[Allergan Adjusted %]]*$H$84</f>
        <v>44331.924088495485</v>
      </c>
      <c r="I67" s="18">
        <f>Table9[[#This Row],[Allergan Adjusted %]]*$I$84</f>
        <v>44331.924088495485</v>
      </c>
      <c r="J67" s="18">
        <f>SUM(Table9[[#This Row],[Payment 1]:[Payment 7]])</f>
        <v>317037.6255957195</v>
      </c>
    </row>
    <row r="68" spans="1:10" x14ac:dyDescent="0.3">
      <c r="A68" t="s">
        <v>192</v>
      </c>
      <c r="B68">
        <v>8.3142266292569617E-4</v>
      </c>
      <c r="C68" s="18">
        <f>Table9[[#This Row],[Allergan Adjusted %]]*$C$84</f>
        <v>1259.0273722244253</v>
      </c>
      <c r="D68" s="18">
        <f>Table9[[#This Row],[Allergan Adjusted %]]*$D$84</f>
        <v>1259.0273722244253</v>
      </c>
      <c r="E68" s="18">
        <f>Table9[[#This Row],[Allergan Adjusted %]]*$E$84</f>
        <v>1054.7675766051132</v>
      </c>
      <c r="F68" s="18">
        <f>Table9[[#This Row],[Allergan Adjusted %]]*$F$84</f>
        <v>1054.7675766480293</v>
      </c>
      <c r="G68" s="18">
        <f>Table9[[#This Row],[Allergan Adjusted %]]*$G$84</f>
        <v>1054.7675766480293</v>
      </c>
      <c r="H68" s="18">
        <f>Table9[[#This Row],[Allergan Adjusted %]]*$H$84</f>
        <v>1103.0593925619478</v>
      </c>
      <c r="I68" s="18">
        <f>Table9[[#This Row],[Allergan Adjusted %]]*$I$84</f>
        <v>1103.0593925619478</v>
      </c>
      <c r="J68" s="18">
        <f>SUM(Table9[[#This Row],[Payment 1]:[Payment 7]])</f>
        <v>7888.4762594739186</v>
      </c>
    </row>
    <row r="69" spans="1:10" x14ac:dyDescent="0.3">
      <c r="A69" t="s">
        <v>194</v>
      </c>
      <c r="B69">
        <v>8.3142266292569617E-4</v>
      </c>
      <c r="C69" s="18">
        <f>Table9[[#This Row],[Allergan Adjusted %]]*$C$84</f>
        <v>1259.0273722244253</v>
      </c>
      <c r="D69" s="18">
        <f>Table9[[#This Row],[Allergan Adjusted %]]*$D$84</f>
        <v>1259.0273722244253</v>
      </c>
      <c r="E69" s="18">
        <f>Table9[[#This Row],[Allergan Adjusted %]]*$E$84</f>
        <v>1054.7675766051132</v>
      </c>
      <c r="F69" s="18">
        <f>Table9[[#This Row],[Allergan Adjusted %]]*$F$84</f>
        <v>1054.7675766480293</v>
      </c>
      <c r="G69" s="18">
        <f>Table9[[#This Row],[Allergan Adjusted %]]*$G$84</f>
        <v>1054.7675766480293</v>
      </c>
      <c r="H69" s="18">
        <f>Table9[[#This Row],[Allergan Adjusted %]]*$H$84</f>
        <v>1103.0593925619478</v>
      </c>
      <c r="I69" s="18">
        <f>Table9[[#This Row],[Allergan Adjusted %]]*$I$84</f>
        <v>1103.0593925619478</v>
      </c>
      <c r="J69" s="18">
        <f>SUM(Table9[[#This Row],[Payment 1]:[Payment 7]])</f>
        <v>7888.4762594739186</v>
      </c>
    </row>
    <row r="70" spans="1:10" x14ac:dyDescent="0.3">
      <c r="A70" t="s">
        <v>195</v>
      </c>
      <c r="B70">
        <v>8.3142266292569617E-4</v>
      </c>
      <c r="C70" s="18">
        <f>Table9[[#This Row],[Allergan Adjusted %]]*$C$84</f>
        <v>1259.0273722244253</v>
      </c>
      <c r="D70" s="18">
        <f>Table9[[#This Row],[Allergan Adjusted %]]*$D$84</f>
        <v>1259.0273722244253</v>
      </c>
      <c r="E70" s="18">
        <f>Table9[[#This Row],[Allergan Adjusted %]]*$E$84</f>
        <v>1054.7675766051132</v>
      </c>
      <c r="F70" s="18">
        <f>Table9[[#This Row],[Allergan Adjusted %]]*$F$84</f>
        <v>1054.7675766480293</v>
      </c>
      <c r="G70" s="18">
        <f>Table9[[#This Row],[Allergan Adjusted %]]*$G$84</f>
        <v>1054.7675766480293</v>
      </c>
      <c r="H70" s="18">
        <f>Table9[[#This Row],[Allergan Adjusted %]]*$H$84</f>
        <v>1103.0593925619478</v>
      </c>
      <c r="I70" s="18">
        <f>Table9[[#This Row],[Allergan Adjusted %]]*$I$84</f>
        <v>1103.0593925619478</v>
      </c>
      <c r="J70" s="18">
        <f>SUM(Table9[[#This Row],[Payment 1]:[Payment 7]])</f>
        <v>7888.4762594739186</v>
      </c>
    </row>
    <row r="71" spans="1:10" x14ac:dyDescent="0.3">
      <c r="A71" t="s">
        <v>196</v>
      </c>
      <c r="B71">
        <v>2.7154648211781909E-3</v>
      </c>
      <c r="C71" s="18">
        <f>Table9[[#This Row],[Allergan Adjusted %]]*$C$84</f>
        <v>4112.0415531436956</v>
      </c>
      <c r="D71" s="18">
        <f>Table9[[#This Row],[Allergan Adjusted %]]*$D$84</f>
        <v>4112.0415531436956</v>
      </c>
      <c r="E71" s="18">
        <f>Table9[[#This Row],[Allergan Adjusted %]]*$E$84</f>
        <v>3444.9196257313565</v>
      </c>
      <c r="F71" s="18">
        <f>Table9[[#This Row],[Allergan Adjusted %]]*$F$84</f>
        <v>3444.9196258715233</v>
      </c>
      <c r="G71" s="18">
        <f>Table9[[#This Row],[Allergan Adjusted %]]*$G$84</f>
        <v>3444.9196258715233</v>
      </c>
      <c r="H71" s="18">
        <f>Table9[[#This Row],[Allergan Adjusted %]]*$H$84</f>
        <v>3602.642927283116</v>
      </c>
      <c r="I71" s="18">
        <f>Table9[[#This Row],[Allergan Adjusted %]]*$I$84</f>
        <v>3602.642927283116</v>
      </c>
      <c r="J71" s="18">
        <f>SUM(Table9[[#This Row],[Payment 1]:[Payment 7]])</f>
        <v>25764.127838328026</v>
      </c>
    </row>
    <row r="72" spans="1:10" x14ac:dyDescent="0.3">
      <c r="A72" t="s">
        <v>197</v>
      </c>
      <c r="B72">
        <v>2.071892466452032E-3</v>
      </c>
      <c r="C72" s="18">
        <f>Table9[[#This Row],[Allergan Adjusted %]]*$C$84</f>
        <v>3137.4768140062256</v>
      </c>
      <c r="D72" s="18">
        <f>Table9[[#This Row],[Allergan Adjusted %]]*$D$84</f>
        <v>3137.4768140062256</v>
      </c>
      <c r="E72" s="18">
        <f>Table9[[#This Row],[Allergan Adjusted %]]*$E$84</f>
        <v>2628.4645503117654</v>
      </c>
      <c r="F72" s="18">
        <f>Table9[[#This Row],[Allergan Adjusted %]]*$F$84</f>
        <v>2628.464550418712</v>
      </c>
      <c r="G72" s="18">
        <f>Table9[[#This Row],[Allergan Adjusted %]]*$G$84</f>
        <v>2628.464550418712</v>
      </c>
      <c r="H72" s="18">
        <f>Table9[[#This Row],[Allergan Adjusted %]]*$H$84</f>
        <v>2748.807011654073</v>
      </c>
      <c r="I72" s="18">
        <f>Table9[[#This Row],[Allergan Adjusted %]]*$I$84</f>
        <v>2748.807011654073</v>
      </c>
      <c r="J72" s="18">
        <f>SUM(Table9[[#This Row],[Payment 1]:[Payment 7]])</f>
        <v>19657.961302469786</v>
      </c>
    </row>
    <row r="73" spans="1:10" x14ac:dyDescent="0.3">
      <c r="A73" t="s">
        <v>198</v>
      </c>
      <c r="B73">
        <v>1.6917532507479485E-2</v>
      </c>
      <c r="C73" s="18">
        <f>Table9[[#This Row],[Allergan Adjusted %]]*$C$84</f>
        <v>25618.301553702931</v>
      </c>
      <c r="D73" s="18">
        <f>Table9[[#This Row],[Allergan Adjusted %]]*$D$84</f>
        <v>25618.301553702931</v>
      </c>
      <c r="E73" s="18">
        <f>Table9[[#This Row],[Allergan Adjusted %]]*$E$84</f>
        <v>21462.08608538624</v>
      </c>
      <c r="F73" s="18">
        <f>Table9[[#This Row],[Allergan Adjusted %]]*$F$84</f>
        <v>21462.086086259485</v>
      </c>
      <c r="G73" s="18">
        <f>Table9[[#This Row],[Allergan Adjusted %]]*$G$84</f>
        <v>21462.086086259485</v>
      </c>
      <c r="H73" s="18">
        <f>Table9[[#This Row],[Allergan Adjusted %]]*$H$84</f>
        <v>22444.713096562602</v>
      </c>
      <c r="I73" s="18">
        <f>Table9[[#This Row],[Allergan Adjusted %]]*$I$84</f>
        <v>22444.713096562602</v>
      </c>
      <c r="J73" s="18">
        <f>SUM(Table9[[#This Row],[Payment 1]:[Payment 7]])</f>
        <v>160512.28755843628</v>
      </c>
    </row>
    <row r="74" spans="1:10" x14ac:dyDescent="0.3">
      <c r="A74" t="s">
        <v>199</v>
      </c>
      <c r="B74">
        <v>2.0785566573142404E-3</v>
      </c>
      <c r="C74" s="18">
        <f>Table9[[#This Row],[Allergan Adjusted %]]*$C$84</f>
        <v>3147.5684305610635</v>
      </c>
      <c r="D74" s="18">
        <f>Table9[[#This Row],[Allergan Adjusted %]]*$D$84</f>
        <v>3147.5684305610635</v>
      </c>
      <c r="E74" s="18">
        <f>Table9[[#This Row],[Allergan Adjusted %]]*$E$84</f>
        <v>2636.9189415127826</v>
      </c>
      <c r="F74" s="18">
        <f>Table9[[#This Row],[Allergan Adjusted %]]*$F$84</f>
        <v>2636.9189416200734</v>
      </c>
      <c r="G74" s="18">
        <f>Table9[[#This Row],[Allergan Adjusted %]]*$G$84</f>
        <v>2636.9189416200734</v>
      </c>
      <c r="H74" s="18">
        <f>Table9[[#This Row],[Allergan Adjusted %]]*$H$84</f>
        <v>2757.6484814048695</v>
      </c>
      <c r="I74" s="18">
        <f>Table9[[#This Row],[Allergan Adjusted %]]*$I$84</f>
        <v>2757.6484814048695</v>
      </c>
      <c r="J74" s="18">
        <f>SUM(Table9[[#This Row],[Payment 1]:[Payment 7]])</f>
        <v>19721.190648684798</v>
      </c>
    </row>
    <row r="75" spans="1:10" x14ac:dyDescent="0.3">
      <c r="A75" t="s">
        <v>200</v>
      </c>
      <c r="B75">
        <v>8.3142266292569617E-4</v>
      </c>
      <c r="C75" s="18">
        <f>Table9[[#This Row],[Allergan Adjusted %]]*$C$84</f>
        <v>1259.0273722244253</v>
      </c>
      <c r="D75" s="18">
        <f>Table9[[#This Row],[Allergan Adjusted %]]*$D$84</f>
        <v>1259.0273722244253</v>
      </c>
      <c r="E75" s="18">
        <f>Table9[[#This Row],[Allergan Adjusted %]]*$E$84</f>
        <v>1054.7675766051132</v>
      </c>
      <c r="F75" s="18">
        <f>Table9[[#This Row],[Allergan Adjusted %]]*$F$84</f>
        <v>1054.7675766480293</v>
      </c>
      <c r="G75" s="18">
        <f>Table9[[#This Row],[Allergan Adjusted %]]*$G$84</f>
        <v>1054.7675766480293</v>
      </c>
      <c r="H75" s="18">
        <f>Table9[[#This Row],[Allergan Adjusted %]]*$H$84</f>
        <v>1103.0593925619478</v>
      </c>
      <c r="I75" s="18">
        <f>Table9[[#This Row],[Allergan Adjusted %]]*$I$84</f>
        <v>1103.0593925619478</v>
      </c>
      <c r="J75" s="18">
        <f>SUM(Table9[[#This Row],[Payment 1]:[Payment 7]])</f>
        <v>7888.4762594739186</v>
      </c>
    </row>
    <row r="76" spans="1:10" x14ac:dyDescent="0.3">
      <c r="A76" t="s">
        <v>201</v>
      </c>
      <c r="B76">
        <v>2.8660384485716176E-2</v>
      </c>
      <c r="C76" s="18">
        <f>Table9[[#This Row],[Allergan Adjusted %]]*$C$84</f>
        <v>43400.55927633254</v>
      </c>
      <c r="D76" s="18">
        <f>Table9[[#This Row],[Allergan Adjusted %]]*$D$84</f>
        <v>43400.55927633254</v>
      </c>
      <c r="E76" s="18">
        <f>Table9[[#This Row],[Allergan Adjusted %]]*$E$84</f>
        <v>36359.418183518144</v>
      </c>
      <c r="F76" s="18">
        <f>Table9[[#This Row],[Allergan Adjusted %]]*$F$84</f>
        <v>36359.418184997528</v>
      </c>
      <c r="G76" s="18">
        <f>Table9[[#This Row],[Allergan Adjusted %]]*$G$84</f>
        <v>36359.418184997528</v>
      </c>
      <c r="H76" s="18">
        <f>Table9[[#This Row],[Allergan Adjusted %]]*$H$84</f>
        <v>38024.109410439894</v>
      </c>
      <c r="I76" s="18">
        <f>Table9[[#This Row],[Allergan Adjusted %]]*$I$84</f>
        <v>38024.109410439894</v>
      </c>
      <c r="J76" s="18">
        <f>SUM(Table9[[#This Row],[Payment 1]:[Payment 7]])</f>
        <v>271927.59192705806</v>
      </c>
    </row>
    <row r="77" spans="1:10" x14ac:dyDescent="0.3">
      <c r="A77" t="s">
        <v>202</v>
      </c>
      <c r="B77">
        <v>8.3142266292569617E-4</v>
      </c>
      <c r="C77" s="18">
        <f>Table9[[#This Row],[Allergan Adjusted %]]*$C$84</f>
        <v>1259.0273722244253</v>
      </c>
      <c r="D77" s="18">
        <f>Table9[[#This Row],[Allergan Adjusted %]]*$D$84</f>
        <v>1259.0273722244253</v>
      </c>
      <c r="E77" s="18">
        <f>Table9[[#This Row],[Allergan Adjusted %]]*$E$84</f>
        <v>1054.7675766051132</v>
      </c>
      <c r="F77" s="18">
        <f>Table9[[#This Row],[Allergan Adjusted %]]*$F$84</f>
        <v>1054.7675766480293</v>
      </c>
      <c r="G77" s="18">
        <f>Table9[[#This Row],[Allergan Adjusted %]]*$G$84</f>
        <v>1054.7675766480293</v>
      </c>
      <c r="H77" s="18">
        <f>Table9[[#This Row],[Allergan Adjusted %]]*$H$84</f>
        <v>1103.0593925619478</v>
      </c>
      <c r="I77" s="18">
        <f>Table9[[#This Row],[Allergan Adjusted %]]*$I$84</f>
        <v>1103.0593925619478</v>
      </c>
      <c r="J77" s="18">
        <f>SUM(Table9[[#This Row],[Payment 1]:[Payment 7]])</f>
        <v>7888.4762594739186</v>
      </c>
    </row>
    <row r="78" spans="1:10" x14ac:dyDescent="0.3">
      <c r="A78" t="s">
        <v>203</v>
      </c>
      <c r="B78">
        <v>3.5821541110373136E-3</v>
      </c>
      <c r="C78" s="18">
        <f>Table9[[#This Row],[Allergan Adjusted %]]*$C$84</f>
        <v>5424.4733496340723</v>
      </c>
      <c r="D78" s="18">
        <f>Table9[[#This Row],[Allergan Adjusted %]]*$D$84</f>
        <v>5424.4733496340723</v>
      </c>
      <c r="E78" s="18">
        <f>Table9[[#This Row],[Allergan Adjusted %]]*$E$84</f>
        <v>4544.4274966348121</v>
      </c>
      <c r="F78" s="18">
        <f>Table9[[#This Row],[Allergan Adjusted %]]*$F$84</f>
        <v>4544.4274968197151</v>
      </c>
      <c r="G78" s="18">
        <f>Table9[[#This Row],[Allergan Adjusted %]]*$G$84</f>
        <v>4544.4274968197151</v>
      </c>
      <c r="H78" s="18">
        <f>Table9[[#This Row],[Allergan Adjusted %]]*$H$84</f>
        <v>4752.491018081897</v>
      </c>
      <c r="I78" s="18">
        <f>Table9[[#This Row],[Allergan Adjusted %]]*$I$84</f>
        <v>4752.491018081897</v>
      </c>
      <c r="J78" s="18">
        <f>SUM(Table9[[#This Row],[Payment 1]:[Payment 7]])</f>
        <v>33987.211225706182</v>
      </c>
    </row>
    <row r="79" spans="1:10" x14ac:dyDescent="0.3">
      <c r="A79" t="s">
        <v>204</v>
      </c>
      <c r="B79">
        <v>8.3142266292569617E-4</v>
      </c>
      <c r="C79" s="18">
        <f>Table9[[#This Row],[Allergan Adjusted %]]*$C$84</f>
        <v>1259.0273722244253</v>
      </c>
      <c r="D79" s="18">
        <f>Table9[[#This Row],[Allergan Adjusted %]]*$D$84</f>
        <v>1259.0273722244253</v>
      </c>
      <c r="E79" s="18">
        <f>Table9[[#This Row],[Allergan Adjusted %]]*$E$84</f>
        <v>1054.7675766051132</v>
      </c>
      <c r="F79" s="18">
        <f>Table9[[#This Row],[Allergan Adjusted %]]*$F$84</f>
        <v>1054.7675766480293</v>
      </c>
      <c r="G79" s="18">
        <f>Table9[[#This Row],[Allergan Adjusted %]]*$G$84</f>
        <v>1054.7675766480293</v>
      </c>
      <c r="H79" s="18">
        <f>Table9[[#This Row],[Allergan Adjusted %]]*$H$84</f>
        <v>1103.0593925619478</v>
      </c>
      <c r="I79" s="18">
        <f>Table9[[#This Row],[Allergan Adjusted %]]*$I$84</f>
        <v>1103.0593925619478</v>
      </c>
      <c r="J79" s="18">
        <f>SUM(Table9[[#This Row],[Payment 1]:[Payment 7]])</f>
        <v>7888.4762594739186</v>
      </c>
    </row>
    <row r="80" spans="1:10" x14ac:dyDescent="0.3">
      <c r="A80" t="s">
        <v>205</v>
      </c>
      <c r="B80">
        <v>8.3142266292569617E-4</v>
      </c>
      <c r="C80" s="18">
        <f>Table9[[#This Row],[Allergan Adjusted %]]*$C$84</f>
        <v>1259.0273722244253</v>
      </c>
      <c r="D80" s="18">
        <f>Table9[[#This Row],[Allergan Adjusted %]]*$D$84</f>
        <v>1259.0273722244253</v>
      </c>
      <c r="E80" s="18">
        <f>Table9[[#This Row],[Allergan Adjusted %]]*$E$84</f>
        <v>1054.7675766051132</v>
      </c>
      <c r="F80" s="18">
        <f>Table9[[#This Row],[Allergan Adjusted %]]*$F$84</f>
        <v>1054.7675766480293</v>
      </c>
      <c r="G80" s="18">
        <f>Table9[[#This Row],[Allergan Adjusted %]]*$G$84</f>
        <v>1054.7675766480293</v>
      </c>
      <c r="H80" s="18">
        <f>Table9[[#This Row],[Allergan Adjusted %]]*$H$84</f>
        <v>1103.0593925619478</v>
      </c>
      <c r="I80" s="18">
        <f>Table9[[#This Row],[Allergan Adjusted %]]*$I$84</f>
        <v>1103.0593925619478</v>
      </c>
      <c r="J80" s="18">
        <f>SUM(Table9[[#This Row],[Payment 1]:[Payment 7]])</f>
        <v>7888.4762594739186</v>
      </c>
    </row>
    <row r="81" spans="1:10" x14ac:dyDescent="0.3">
      <c r="A81" t="s">
        <v>206</v>
      </c>
      <c r="B81">
        <v>2.1066408482365941E-3</v>
      </c>
      <c r="C81" s="18">
        <f>Table9[[#This Row],[Allergan Adjusted %]]*$C$84</f>
        <v>3190.0964571289178</v>
      </c>
      <c r="D81" s="18">
        <f>Table9[[#This Row],[Allergan Adjusted %]]*$D$84</f>
        <v>3190.0964571289178</v>
      </c>
      <c r="E81" s="18">
        <f>Table9[[#This Row],[Allergan Adjusted %]]*$E$84</f>
        <v>2672.5473833643055</v>
      </c>
      <c r="F81" s="18">
        <f>Table9[[#This Row],[Allergan Adjusted %]]*$F$84</f>
        <v>2672.5473834730456</v>
      </c>
      <c r="G81" s="18">
        <f>Table9[[#This Row],[Allergan Adjusted %]]*$G$84</f>
        <v>2672.5473834730456</v>
      </c>
      <c r="H81" s="18">
        <f>Table9[[#This Row],[Allergan Adjusted %]]*$H$84</f>
        <v>2794.9081472292228</v>
      </c>
      <c r="I81" s="18">
        <f>Table9[[#This Row],[Allergan Adjusted %]]*$I$84</f>
        <v>2794.9081472292228</v>
      </c>
      <c r="J81" s="18">
        <f>SUM(Table9[[#This Row],[Payment 1]:[Payment 7]])</f>
        <v>19987.65135902668</v>
      </c>
    </row>
    <row r="82" spans="1:10" x14ac:dyDescent="0.3">
      <c r="A82" t="s">
        <v>207</v>
      </c>
      <c r="B82">
        <v>3.6884841592980722E-2</v>
      </c>
      <c r="C82" s="18">
        <f>Table9[[#This Row],[Allergan Adjusted %]]*$C$84</f>
        <v>55854.894575895079</v>
      </c>
      <c r="D82" s="18">
        <f>Table9[[#This Row],[Allergan Adjusted %]]*$D$84</f>
        <v>55854.894575895079</v>
      </c>
      <c r="E82" s="18">
        <f>Table9[[#This Row],[Allergan Adjusted %]]*$E$84</f>
        <v>46793.209657755826</v>
      </c>
      <c r="F82" s="18">
        <f>Table9[[#This Row],[Allergan Adjusted %]]*$F$84</f>
        <v>46793.209659659748</v>
      </c>
      <c r="G82" s="18">
        <f>Table9[[#This Row],[Allergan Adjusted %]]*$G$84</f>
        <v>46793.209659659748</v>
      </c>
      <c r="H82" s="18">
        <f>Table9[[#This Row],[Allergan Adjusted %]]*$H$84</f>
        <v>48935.604929418536</v>
      </c>
      <c r="I82" s="18">
        <f>Table9[[#This Row],[Allergan Adjusted %]]*$I$84</f>
        <v>48935.604929418536</v>
      </c>
      <c r="J82" s="18">
        <f>SUM(Table9[[#This Row],[Payment 1]:[Payment 7]])</f>
        <v>349960.62798770255</v>
      </c>
    </row>
    <row r="84" spans="1:10" x14ac:dyDescent="0.3">
      <c r="A84" t="s">
        <v>6</v>
      </c>
      <c r="C84" s="7">
        <f>'Teva Allergan Lit Breakdown'!H2</f>
        <v>1514304.851631094</v>
      </c>
      <c r="D84" s="7">
        <f>'Teva Allergan Lit Breakdown'!H3</f>
        <v>1514304.851631094</v>
      </c>
      <c r="E84" s="7">
        <f>'Teva Allergan Lit Breakdown'!H4</f>
        <v>1268629.8120543018</v>
      </c>
      <c r="F84" s="7">
        <f>'Teva Allergan Lit Breakdown'!H5</f>
        <v>1268629.8121059197</v>
      </c>
      <c r="G84" s="7">
        <f>'Teva Allergan Lit Breakdown'!H6</f>
        <v>1268629.8121059197</v>
      </c>
      <c r="H84" s="7">
        <f>'Teva Allergan Lit Breakdown'!H7</f>
        <v>1326713.1649748255</v>
      </c>
      <c r="I84" s="7">
        <f>'Teva Allergan Lit Breakdown'!H8</f>
        <v>1326713.1649748255</v>
      </c>
      <c r="J84" s="7">
        <f>SUM(C84:I84)</f>
        <v>9487925.4694779813</v>
      </c>
    </row>
    <row r="86" spans="1:10" x14ac:dyDescent="0.3">
      <c r="A86" t="s">
        <v>214</v>
      </c>
    </row>
    <row r="87" spans="1:10" x14ac:dyDescent="0.3">
      <c r="A87" t="s">
        <v>6</v>
      </c>
      <c r="C87" s="7">
        <f>'Teva Allergan Lit Breakdown'!G2</f>
        <v>504768.28387703135</v>
      </c>
      <c r="D87" s="7">
        <f>'Teva Allergan Lit Breakdown'!G3</f>
        <v>504768.28387703135</v>
      </c>
      <c r="E87" s="7">
        <f>'Teva Allergan Lit Breakdown'!G4</f>
        <v>422876.6040181006</v>
      </c>
      <c r="F87" s="7">
        <f>'Teva Allergan Lit Breakdown'!G5</f>
        <v>422876.60403530655</v>
      </c>
      <c r="G87" s="7">
        <f>'Teva Allergan Lit Breakdown'!G6</f>
        <v>422876.60403530655</v>
      </c>
      <c r="H87" s="7">
        <f>'Teva Allergan Lit Breakdown'!G7</f>
        <v>442237.72165827511</v>
      </c>
      <c r="I87" s="7">
        <f>'Teva Allergan Lit Breakdown'!G8</f>
        <v>442237.72165827511</v>
      </c>
      <c r="J87" s="7">
        <f>SUM(C87:I87)</f>
        <v>3162641.8231593263</v>
      </c>
    </row>
    <row r="89" spans="1:10" x14ac:dyDescent="0.3">
      <c r="A89" s="13" t="s">
        <v>214</v>
      </c>
      <c r="B89" s="13" t="s">
        <v>215</v>
      </c>
      <c r="C89" t="s">
        <v>93</v>
      </c>
      <c r="D89" t="s">
        <v>94</v>
      </c>
      <c r="E89" t="s">
        <v>95</v>
      </c>
      <c r="F89" t="s">
        <v>96</v>
      </c>
      <c r="G89" t="s">
        <v>97</v>
      </c>
      <c r="H89" t="s">
        <v>98</v>
      </c>
      <c r="I89" t="s">
        <v>99</v>
      </c>
      <c r="J89" t="s">
        <v>6</v>
      </c>
    </row>
    <row r="90" spans="1:10" x14ac:dyDescent="0.3">
      <c r="A90" s="14" t="s">
        <v>76</v>
      </c>
      <c r="B90" s="14">
        <v>0.7</v>
      </c>
      <c r="C90" s="7">
        <f>Table13[[#This Row],[Bellwether Percent]]*$C$87</f>
        <v>353337.79871392192</v>
      </c>
      <c r="D90" s="7">
        <f>Table13[[#This Row],[Bellwether Percent]]*$D$87</f>
        <v>353337.79871392192</v>
      </c>
      <c r="E90" s="7">
        <f>Table13[[#This Row],[Bellwether Percent]]*$E$87</f>
        <v>296013.62281267042</v>
      </c>
      <c r="F90" s="7">
        <f>Table13[[#This Row],[Bellwether Percent]]*$F$87</f>
        <v>296013.62282471458</v>
      </c>
      <c r="G90" s="7">
        <f>Table13[[#This Row],[Bellwether Percent]]*$G$87</f>
        <v>296013.62282471458</v>
      </c>
      <c r="H90" s="7">
        <f>Table13[[#This Row],[Bellwether Percent]]*$H$87</f>
        <v>309566.40516079258</v>
      </c>
      <c r="I90" s="7">
        <f>Table13[[#This Row],[Bellwether Percent]]*$I$87</f>
        <v>309566.40516079258</v>
      </c>
      <c r="J90" s="7">
        <f>Table13[[#This Row],[Bellwether Percent]]*$J$87</f>
        <v>2213849.2762115281</v>
      </c>
    </row>
    <row r="91" spans="1:10" x14ac:dyDescent="0.3">
      <c r="A91" s="15" t="s">
        <v>48</v>
      </c>
      <c r="B91" s="15">
        <v>0.25</v>
      </c>
      <c r="C91" s="7">
        <f>Table13[[#This Row],[Bellwether Percent]]*$C$87</f>
        <v>126192.07096925784</v>
      </c>
      <c r="D91" s="7">
        <f>Table13[[#This Row],[Bellwether Percent]]*$D$87</f>
        <v>126192.07096925784</v>
      </c>
      <c r="E91" s="7">
        <f>Table13[[#This Row],[Bellwether Percent]]*$E$87</f>
        <v>105719.15100452515</v>
      </c>
      <c r="F91" s="7">
        <f>Table13[[#This Row],[Bellwether Percent]]*$F$87</f>
        <v>105719.15100882664</v>
      </c>
      <c r="G91" s="7">
        <f>Table13[[#This Row],[Bellwether Percent]]*$G$87</f>
        <v>105719.15100882664</v>
      </c>
      <c r="H91" s="7">
        <f>Table13[[#This Row],[Bellwether Percent]]*$H$87</f>
        <v>110559.43041456878</v>
      </c>
      <c r="I91" s="7">
        <f>Table13[[#This Row],[Bellwether Percent]]*$I$87</f>
        <v>110559.43041456878</v>
      </c>
      <c r="J91" s="7">
        <f>Table13[[#This Row],[Bellwether Percent]]*$J$87</f>
        <v>790660.45578983158</v>
      </c>
    </row>
    <row r="92" spans="1:10" x14ac:dyDescent="0.3">
      <c r="A92" s="14" t="s">
        <v>38</v>
      </c>
      <c r="B92" s="14">
        <v>0.05</v>
      </c>
      <c r="C92" s="7">
        <f>Table13[[#This Row],[Bellwether Percent]]*$C$87</f>
        <v>25238.414193851568</v>
      </c>
      <c r="D92" s="7">
        <f>Table13[[#This Row],[Bellwether Percent]]*$D$87</f>
        <v>25238.414193851568</v>
      </c>
      <c r="E92" s="7">
        <f>Table13[[#This Row],[Bellwether Percent]]*$E$87</f>
        <v>21143.830200905031</v>
      </c>
      <c r="F92" s="7">
        <f>Table13[[#This Row],[Bellwether Percent]]*$F$87</f>
        <v>21143.83020176533</v>
      </c>
      <c r="G92" s="7">
        <f>Table13[[#This Row],[Bellwether Percent]]*$G$87</f>
        <v>21143.83020176533</v>
      </c>
      <c r="H92" s="7">
        <f>Table13[[#This Row],[Bellwether Percent]]*$H$87</f>
        <v>22111.886082913756</v>
      </c>
      <c r="I92" s="7">
        <f>Table13[[#This Row],[Bellwether Percent]]*$I$87</f>
        <v>22111.886082913756</v>
      </c>
      <c r="J92" s="7">
        <f>Table13[[#This Row],[Bellwether Percent]]*$J$87</f>
        <v>158132.09115796632</v>
      </c>
    </row>
    <row r="94" spans="1:10" x14ac:dyDescent="0.3">
      <c r="A94" t="s">
        <v>225</v>
      </c>
    </row>
    <row r="96" spans="1:10" x14ac:dyDescent="0.3">
      <c r="A96" t="s">
        <v>226</v>
      </c>
      <c r="B96" t="s">
        <v>227</v>
      </c>
    </row>
    <row r="97" spans="1:2" x14ac:dyDescent="0.3">
      <c r="A97" t="s">
        <v>121</v>
      </c>
      <c r="B97" s="18">
        <v>513017.07150383887</v>
      </c>
    </row>
    <row r="98" spans="1:2" x14ac:dyDescent="0.3">
      <c r="A98" t="s">
        <v>134</v>
      </c>
      <c r="B98" s="18">
        <v>33048.463442098189</v>
      </c>
    </row>
    <row r="99" spans="1:2" x14ac:dyDescent="0.3">
      <c r="A99" t="s">
        <v>139</v>
      </c>
      <c r="B99" s="18">
        <v>117488.55512872525</v>
      </c>
    </row>
    <row r="100" spans="1:2" x14ac:dyDescent="0.3">
      <c r="A100" t="s">
        <v>155</v>
      </c>
      <c r="B100" s="18">
        <v>111119.82800007184</v>
      </c>
    </row>
    <row r="101" spans="1:2" x14ac:dyDescent="0.3">
      <c r="A101" t="s">
        <v>187</v>
      </c>
      <c r="B101" s="18">
        <v>25520.34415279821</v>
      </c>
    </row>
    <row r="102" spans="1:2" x14ac:dyDescent="0.3">
      <c r="A102" t="s">
        <v>188</v>
      </c>
      <c r="B102" s="18">
        <v>124285.96630565193</v>
      </c>
    </row>
    <row r="103" spans="1:2" x14ac:dyDescent="0.3">
      <c r="A103" t="s">
        <v>190</v>
      </c>
      <c r="B103" s="18">
        <v>58682.128632962238</v>
      </c>
    </row>
    <row r="104" spans="1:2" x14ac:dyDescent="0.3">
      <c r="A104" t="s">
        <v>193</v>
      </c>
      <c r="B104" s="18">
        <v>16837.642833853679</v>
      </c>
    </row>
    <row r="106" spans="1:2" x14ac:dyDescent="0.3">
      <c r="A106" t="s">
        <v>6</v>
      </c>
      <c r="B106" s="18">
        <f>SUM(Table17[Allergan Modified Allocation])</f>
        <v>1000000.0000000002</v>
      </c>
    </row>
    <row r="108" spans="1:2" x14ac:dyDescent="0.3">
      <c r="A108" t="s">
        <v>233</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f4d639-200a-4f35-a684-0b5f72844889" xsi:nil="true"/>
    <lcf76f155ced4ddcb4097134ff3c332f xmlns="7fc5aa47-f438-4196-b3b6-d3756d88bd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345AED64094D4D8307469A9ED6BB78" ma:contentTypeVersion="14" ma:contentTypeDescription="Create a new document." ma:contentTypeScope="" ma:versionID="99413be9dad41b759ea7c0a7da6db41b">
  <xsd:schema xmlns:xsd="http://www.w3.org/2001/XMLSchema" xmlns:xs="http://www.w3.org/2001/XMLSchema" xmlns:p="http://schemas.microsoft.com/office/2006/metadata/properties" xmlns:ns2="7fc5aa47-f438-4196-b3b6-d3756d88bd61" xmlns:ns3="97f4d639-200a-4f35-a684-0b5f72844889" targetNamespace="http://schemas.microsoft.com/office/2006/metadata/properties" ma:root="true" ma:fieldsID="ce0c5d570dd831513add38b4e97cae99" ns2:_="" ns3:_="">
    <xsd:import namespace="7fc5aa47-f438-4196-b3b6-d3756d88bd61"/>
    <xsd:import namespace="97f4d639-200a-4f35-a684-0b5f728448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5aa47-f438-4196-b3b6-d3756d88b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1ea644-9c4e-4dfb-916f-08a355146fa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f4d639-200a-4f35-a684-0b5f7284488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b6ff682-9065-43df-a90a-fcd3992773f7}" ma:internalName="TaxCatchAll" ma:showField="CatchAllData" ma:web="97f4d639-200a-4f35-a684-0b5f7284488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B7152-3E91-4701-AB66-E638709692B1}">
  <ds:schemaRefs>
    <ds:schemaRef ds:uri="http://schemas.microsoft.com/office/2006/metadata/properties"/>
    <ds:schemaRef ds:uri="http://schemas.microsoft.com/office/infopath/2007/PartnerControls"/>
    <ds:schemaRef ds:uri="97f4d639-200a-4f35-a684-0b5f72844889"/>
    <ds:schemaRef ds:uri="7fc5aa47-f438-4196-b3b6-d3756d88bd61"/>
  </ds:schemaRefs>
</ds:datastoreItem>
</file>

<file path=customXml/itemProps2.xml><?xml version="1.0" encoding="utf-8"?>
<ds:datastoreItem xmlns:ds="http://schemas.openxmlformats.org/officeDocument/2006/customXml" ds:itemID="{A748E069-62A6-41CE-B98F-485D6CE4E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5aa47-f438-4196-b3b6-d3756d88bd61"/>
    <ds:schemaRef ds:uri="97f4d639-200a-4f35-a684-0b5f72844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2FE88A-0D5D-4476-A739-63A3B6F921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Wave II Payment Detail</vt:lpstr>
      <vt:lpstr>Distribution Breakdown</vt:lpstr>
      <vt:lpstr>County Breakdown</vt:lpstr>
      <vt:lpstr>Teva Allergan Walmart County</vt:lpstr>
      <vt:lpstr>Walgreens and CVS County</vt:lpstr>
      <vt:lpstr>Teva Allergan Lit Breakdown</vt:lpstr>
      <vt:lpstr>Teva Litigating</vt:lpstr>
      <vt:lpstr>Allergan Litigating</vt:lpstr>
      <vt:lpstr>Pharmacies Breakdown</vt:lpstr>
      <vt:lpstr>Walgreens and CVS Litigating</vt:lpstr>
      <vt:lpstr>Walmart Litigating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Briana Anderson</dc:creator>
  <cp:lastModifiedBy>Briana Anderson</cp:lastModifiedBy>
  <dcterms:created xsi:type="dcterms:W3CDTF">2024-10-29T19:02:31Z</dcterms:created>
  <dcterms:modified xsi:type="dcterms:W3CDTF">2024-10-29T19:02:31Z</dcterms:modified>
</cp:coreProperties>
</file>