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Program Files (x86)\Mimecast\PATI\temp\5f2167d9-e487-4fe5-91a4-fc66d59619db\"/>
    </mc:Choice>
  </mc:AlternateContent>
  <xr:revisionPtr revIDLastSave="0" documentId="8_{CA912DB9-CCC1-4468-B72C-41D875D656A6}" xr6:coauthVersionLast="36" xr6:coauthVersionMax="36" xr10:uidLastSave="{00000000-0000-0000-0000-000000000000}"/>
  <bookViews>
    <workbookView xWindow="-15315" yWindow="-16320" windowWidth="29040" windowHeight="15720" xr2:uid="{2611368E-4446-4C57-93FB-9B9501136B4B}"/>
  </bookViews>
  <sheets>
    <sheet name="Payment 4 Breakdown " sheetId="6" r:id="rId1"/>
    <sheet name="Not Used - 1" sheetId="1" state="hidden" r:id="rId2"/>
    <sheet name="Not Used -2" sheetId="4" state="hidden" r:id="rId3"/>
    <sheet name="Not Used -3" sheetId="3" state="hidden" r:id="rId4"/>
    <sheet name="Payment 4 Interest Allocation" sheetId="8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6" l="1"/>
  <c r="C55" i="6"/>
  <c r="C66" i="6"/>
  <c r="C37" i="6"/>
  <c r="C26" i="6"/>
  <c r="C24" i="6"/>
  <c r="C16" i="6"/>
  <c r="D125" i="6"/>
  <c r="C10" i="6"/>
  <c r="C68" i="6"/>
  <c r="C125" i="6"/>
  <c r="D52" i="6"/>
  <c r="D3" i="6"/>
  <c r="D132" i="6" l="1"/>
  <c r="H126" i="8" l="1"/>
  <c r="H127" i="8"/>
  <c r="I91" i="8"/>
  <c r="I99" i="8"/>
  <c r="I107" i="8"/>
  <c r="I115" i="8"/>
  <c r="L79" i="8"/>
  <c r="O7" i="8"/>
  <c r="O8" i="8"/>
  <c r="O15" i="8"/>
  <c r="O16" i="8"/>
  <c r="O23" i="8"/>
  <c r="O24" i="8"/>
  <c r="O31" i="8"/>
  <c r="O32" i="8"/>
  <c r="O39" i="8"/>
  <c r="O40" i="8"/>
  <c r="O47" i="8"/>
  <c r="O48" i="8"/>
  <c r="O55" i="8"/>
  <c r="O56" i="8"/>
  <c r="O63" i="8"/>
  <c r="O64" i="8"/>
  <c r="I126" i="8"/>
  <c r="I127" i="8"/>
  <c r="G126" i="8"/>
  <c r="G127" i="8"/>
  <c r="F126" i="8"/>
  <c r="F129" i="8" s="1"/>
  <c r="G123" i="8"/>
  <c r="H123" i="8" s="1"/>
  <c r="I123" i="8" s="1"/>
  <c r="J123" i="8" s="1"/>
  <c r="D133" i="6" s="1" a="1"/>
  <c r="D133" i="6" s="1"/>
  <c r="D134" i="6" s="1"/>
  <c r="E121" i="8"/>
  <c r="D121" i="8"/>
  <c r="C121" i="8"/>
  <c r="F120" i="8"/>
  <c r="G120" i="8" s="1"/>
  <c r="H120" i="8" s="1"/>
  <c r="I120" i="8" s="1"/>
  <c r="F119" i="8"/>
  <c r="G119" i="8" s="1"/>
  <c r="H119" i="8" s="1"/>
  <c r="I119" i="8" s="1"/>
  <c r="F118" i="8"/>
  <c r="G118" i="8" s="1"/>
  <c r="H118" i="8" s="1"/>
  <c r="I118" i="8" s="1"/>
  <c r="F117" i="8"/>
  <c r="G117" i="8" s="1"/>
  <c r="H117" i="8" s="1"/>
  <c r="I117" i="8" s="1"/>
  <c r="F116" i="8"/>
  <c r="G116" i="8" s="1"/>
  <c r="H116" i="8" s="1"/>
  <c r="I116" i="8" s="1"/>
  <c r="F115" i="8"/>
  <c r="G115" i="8" s="1"/>
  <c r="H115" i="8" s="1"/>
  <c r="F114" i="8"/>
  <c r="G114" i="8" s="1"/>
  <c r="H114" i="8" s="1"/>
  <c r="I114" i="8" s="1"/>
  <c r="F113" i="8"/>
  <c r="G113" i="8" s="1"/>
  <c r="H113" i="8" s="1"/>
  <c r="I113" i="8" s="1"/>
  <c r="F112" i="8"/>
  <c r="G112" i="8" s="1"/>
  <c r="H112" i="8" s="1"/>
  <c r="I112" i="8" s="1"/>
  <c r="F111" i="8"/>
  <c r="G111" i="8" s="1"/>
  <c r="H111" i="8" s="1"/>
  <c r="I111" i="8" s="1"/>
  <c r="F110" i="8"/>
  <c r="G110" i="8" s="1"/>
  <c r="H110" i="8" s="1"/>
  <c r="I110" i="8" s="1"/>
  <c r="F109" i="8"/>
  <c r="G109" i="8" s="1"/>
  <c r="H109" i="8" s="1"/>
  <c r="I109" i="8" s="1"/>
  <c r="F108" i="8"/>
  <c r="G108" i="8" s="1"/>
  <c r="H108" i="8" s="1"/>
  <c r="I108" i="8" s="1"/>
  <c r="F107" i="8"/>
  <c r="G107" i="8" s="1"/>
  <c r="H107" i="8" s="1"/>
  <c r="F106" i="8"/>
  <c r="G106" i="8" s="1"/>
  <c r="H106" i="8" s="1"/>
  <c r="I106" i="8" s="1"/>
  <c r="F105" i="8"/>
  <c r="G105" i="8" s="1"/>
  <c r="H105" i="8" s="1"/>
  <c r="I105" i="8" s="1"/>
  <c r="F104" i="8"/>
  <c r="G104" i="8" s="1"/>
  <c r="H104" i="8" s="1"/>
  <c r="I104" i="8" s="1"/>
  <c r="F103" i="8"/>
  <c r="G103" i="8" s="1"/>
  <c r="H103" i="8" s="1"/>
  <c r="I103" i="8" s="1"/>
  <c r="F102" i="8"/>
  <c r="G102" i="8" s="1"/>
  <c r="H102" i="8" s="1"/>
  <c r="I102" i="8" s="1"/>
  <c r="F101" i="8"/>
  <c r="G101" i="8" s="1"/>
  <c r="H101" i="8" s="1"/>
  <c r="I101" i="8" s="1"/>
  <c r="F100" i="8"/>
  <c r="G100" i="8" s="1"/>
  <c r="H100" i="8" s="1"/>
  <c r="I100" i="8" s="1"/>
  <c r="F99" i="8"/>
  <c r="G99" i="8" s="1"/>
  <c r="H99" i="8" s="1"/>
  <c r="F98" i="8"/>
  <c r="G98" i="8" s="1"/>
  <c r="H98" i="8" s="1"/>
  <c r="I98" i="8" s="1"/>
  <c r="F97" i="8"/>
  <c r="G97" i="8" s="1"/>
  <c r="H97" i="8" s="1"/>
  <c r="I97" i="8" s="1"/>
  <c r="F96" i="8"/>
  <c r="G96" i="8" s="1"/>
  <c r="H96" i="8" s="1"/>
  <c r="I96" i="8" s="1"/>
  <c r="F95" i="8"/>
  <c r="G95" i="8" s="1"/>
  <c r="H95" i="8" s="1"/>
  <c r="I95" i="8" s="1"/>
  <c r="F94" i="8"/>
  <c r="G94" i="8" s="1"/>
  <c r="H94" i="8" s="1"/>
  <c r="I94" i="8" s="1"/>
  <c r="F93" i="8"/>
  <c r="G93" i="8" s="1"/>
  <c r="H93" i="8" s="1"/>
  <c r="I93" i="8" s="1"/>
  <c r="F92" i="8"/>
  <c r="G92" i="8" s="1"/>
  <c r="H92" i="8" s="1"/>
  <c r="I92" i="8" s="1"/>
  <c r="F91" i="8"/>
  <c r="G91" i="8" s="1"/>
  <c r="H91" i="8" s="1"/>
  <c r="F90" i="8"/>
  <c r="G90" i="8" s="1"/>
  <c r="H90" i="8" s="1"/>
  <c r="I90" i="8" s="1"/>
  <c r="F89" i="8"/>
  <c r="G89" i="8" s="1"/>
  <c r="H89" i="8" s="1"/>
  <c r="I89" i="8" s="1"/>
  <c r="F88" i="8"/>
  <c r="G88" i="8" s="1"/>
  <c r="H88" i="8" s="1"/>
  <c r="I88" i="8" s="1"/>
  <c r="F87" i="8"/>
  <c r="G87" i="8" s="1"/>
  <c r="H87" i="8" s="1"/>
  <c r="I87" i="8" s="1"/>
  <c r="F86" i="8"/>
  <c r="G86" i="8" s="1"/>
  <c r="H86" i="8" s="1"/>
  <c r="I86" i="8" s="1"/>
  <c r="F85" i="8"/>
  <c r="G85" i="8" s="1"/>
  <c r="H85" i="8" s="1"/>
  <c r="I85" i="8" s="1"/>
  <c r="H83" i="8"/>
  <c r="G83" i="8"/>
  <c r="D83" i="8"/>
  <c r="C83" i="8"/>
  <c r="I82" i="8"/>
  <c r="J82" i="8" s="1"/>
  <c r="K82" i="8" s="1"/>
  <c r="L82" i="8" s="1"/>
  <c r="I81" i="8"/>
  <c r="J81" i="8" s="1"/>
  <c r="K81" i="8" s="1"/>
  <c r="L81" i="8" s="1"/>
  <c r="I80" i="8"/>
  <c r="J80" i="8" s="1"/>
  <c r="K80" i="8" s="1"/>
  <c r="L80" i="8" s="1"/>
  <c r="I79" i="8"/>
  <c r="J79" i="8" s="1"/>
  <c r="K79" i="8" s="1"/>
  <c r="I78" i="8"/>
  <c r="J78" i="8" s="1"/>
  <c r="K78" i="8" s="1"/>
  <c r="L78" i="8" s="1"/>
  <c r="I77" i="8"/>
  <c r="J77" i="8" s="1"/>
  <c r="K77" i="8" s="1"/>
  <c r="L77" i="8" s="1"/>
  <c r="I76" i="8"/>
  <c r="J76" i="8" s="1"/>
  <c r="K76" i="8" s="1"/>
  <c r="L76" i="8" s="1"/>
  <c r="I75" i="8"/>
  <c r="J75" i="8" s="1"/>
  <c r="K75" i="8" s="1"/>
  <c r="L75" i="8" s="1"/>
  <c r="I74" i="8"/>
  <c r="J74" i="8" s="1"/>
  <c r="K74" i="8" s="1"/>
  <c r="L74" i="8" s="1"/>
  <c r="I73" i="8"/>
  <c r="J73" i="8" s="1"/>
  <c r="K73" i="8" s="1"/>
  <c r="L73" i="8" s="1"/>
  <c r="J69" i="8"/>
  <c r="I69" i="8"/>
  <c r="H69" i="8"/>
  <c r="G69" i="8"/>
  <c r="F69" i="8"/>
  <c r="E69" i="8"/>
  <c r="D69" i="8"/>
  <c r="C69" i="8"/>
  <c r="L68" i="8"/>
  <c r="M68" i="8" s="1"/>
  <c r="N68" i="8" s="1"/>
  <c r="O68" i="8" s="1"/>
  <c r="L67" i="8"/>
  <c r="M67" i="8" s="1"/>
  <c r="N67" i="8" s="1"/>
  <c r="O67" i="8" s="1"/>
  <c r="L66" i="8"/>
  <c r="M66" i="8" s="1"/>
  <c r="N66" i="8" s="1"/>
  <c r="O66" i="8" s="1"/>
  <c r="L65" i="8"/>
  <c r="M65" i="8" s="1"/>
  <c r="N65" i="8" s="1"/>
  <c r="O65" i="8" s="1"/>
  <c r="L64" i="8"/>
  <c r="M64" i="8" s="1"/>
  <c r="N64" i="8" s="1"/>
  <c r="L63" i="8"/>
  <c r="M63" i="8" s="1"/>
  <c r="N63" i="8" s="1"/>
  <c r="L62" i="8"/>
  <c r="M62" i="8" s="1"/>
  <c r="N62" i="8" s="1"/>
  <c r="O62" i="8" s="1"/>
  <c r="L61" i="8"/>
  <c r="M61" i="8" s="1"/>
  <c r="N61" i="8" s="1"/>
  <c r="O61" i="8" s="1"/>
  <c r="L60" i="8"/>
  <c r="M60" i="8" s="1"/>
  <c r="N60" i="8" s="1"/>
  <c r="O60" i="8" s="1"/>
  <c r="L59" i="8"/>
  <c r="M59" i="8" s="1"/>
  <c r="N59" i="8" s="1"/>
  <c r="O59" i="8" s="1"/>
  <c r="L58" i="8"/>
  <c r="M58" i="8" s="1"/>
  <c r="N58" i="8" s="1"/>
  <c r="O58" i="8" s="1"/>
  <c r="L57" i="8"/>
  <c r="M57" i="8" s="1"/>
  <c r="N57" i="8" s="1"/>
  <c r="O57" i="8" s="1"/>
  <c r="L56" i="8"/>
  <c r="M56" i="8" s="1"/>
  <c r="N56" i="8" s="1"/>
  <c r="L55" i="8"/>
  <c r="M55" i="8" s="1"/>
  <c r="N55" i="8" s="1"/>
  <c r="L54" i="8"/>
  <c r="M54" i="8" s="1"/>
  <c r="N54" i="8" s="1"/>
  <c r="O54" i="8" s="1"/>
  <c r="L53" i="8"/>
  <c r="M53" i="8" s="1"/>
  <c r="N53" i="8" s="1"/>
  <c r="O53" i="8" s="1"/>
  <c r="L52" i="8"/>
  <c r="M52" i="8" s="1"/>
  <c r="N52" i="8" s="1"/>
  <c r="O52" i="8" s="1"/>
  <c r="L51" i="8"/>
  <c r="M51" i="8" s="1"/>
  <c r="N51" i="8" s="1"/>
  <c r="O51" i="8" s="1"/>
  <c r="L50" i="8"/>
  <c r="M50" i="8" s="1"/>
  <c r="N50" i="8" s="1"/>
  <c r="O50" i="8" s="1"/>
  <c r="L49" i="8"/>
  <c r="M49" i="8" s="1"/>
  <c r="N49" i="8" s="1"/>
  <c r="O49" i="8" s="1"/>
  <c r="L48" i="8"/>
  <c r="M48" i="8" s="1"/>
  <c r="N48" i="8" s="1"/>
  <c r="L47" i="8"/>
  <c r="M47" i="8" s="1"/>
  <c r="N47" i="8" s="1"/>
  <c r="L46" i="8"/>
  <c r="M46" i="8" s="1"/>
  <c r="N46" i="8" s="1"/>
  <c r="O46" i="8" s="1"/>
  <c r="L45" i="8"/>
  <c r="M45" i="8" s="1"/>
  <c r="N45" i="8" s="1"/>
  <c r="O45" i="8" s="1"/>
  <c r="L44" i="8"/>
  <c r="M44" i="8" s="1"/>
  <c r="N44" i="8" s="1"/>
  <c r="O44" i="8" s="1"/>
  <c r="L43" i="8"/>
  <c r="M43" i="8" s="1"/>
  <c r="N43" i="8" s="1"/>
  <c r="O43" i="8" s="1"/>
  <c r="L42" i="8"/>
  <c r="M42" i="8" s="1"/>
  <c r="N42" i="8" s="1"/>
  <c r="O42" i="8" s="1"/>
  <c r="L41" i="8"/>
  <c r="M41" i="8" s="1"/>
  <c r="N41" i="8" s="1"/>
  <c r="O41" i="8" s="1"/>
  <c r="L40" i="8"/>
  <c r="M40" i="8" s="1"/>
  <c r="N40" i="8" s="1"/>
  <c r="L39" i="8"/>
  <c r="M39" i="8" s="1"/>
  <c r="N39" i="8" s="1"/>
  <c r="L38" i="8"/>
  <c r="M38" i="8" s="1"/>
  <c r="N38" i="8" s="1"/>
  <c r="O38" i="8" s="1"/>
  <c r="L37" i="8"/>
  <c r="M37" i="8" s="1"/>
  <c r="N37" i="8" s="1"/>
  <c r="O37" i="8" s="1"/>
  <c r="L36" i="8"/>
  <c r="M36" i="8" s="1"/>
  <c r="N36" i="8" s="1"/>
  <c r="O36" i="8" s="1"/>
  <c r="L35" i="8"/>
  <c r="M35" i="8" s="1"/>
  <c r="N35" i="8" s="1"/>
  <c r="O35" i="8" s="1"/>
  <c r="L34" i="8"/>
  <c r="M34" i="8" s="1"/>
  <c r="N34" i="8" s="1"/>
  <c r="O34" i="8" s="1"/>
  <c r="L33" i="8"/>
  <c r="M33" i="8" s="1"/>
  <c r="N33" i="8" s="1"/>
  <c r="O33" i="8" s="1"/>
  <c r="L32" i="8"/>
  <c r="M32" i="8" s="1"/>
  <c r="N32" i="8" s="1"/>
  <c r="L31" i="8"/>
  <c r="M31" i="8" s="1"/>
  <c r="N31" i="8" s="1"/>
  <c r="L30" i="8"/>
  <c r="M30" i="8" s="1"/>
  <c r="N30" i="8" s="1"/>
  <c r="O30" i="8" s="1"/>
  <c r="L29" i="8"/>
  <c r="M29" i="8" s="1"/>
  <c r="N29" i="8" s="1"/>
  <c r="O29" i="8" s="1"/>
  <c r="L28" i="8"/>
  <c r="M28" i="8" s="1"/>
  <c r="N28" i="8" s="1"/>
  <c r="O28" i="8" s="1"/>
  <c r="L27" i="8"/>
  <c r="M27" i="8" s="1"/>
  <c r="N27" i="8" s="1"/>
  <c r="O27" i="8" s="1"/>
  <c r="L26" i="8"/>
  <c r="M26" i="8" s="1"/>
  <c r="N26" i="8" s="1"/>
  <c r="O26" i="8" s="1"/>
  <c r="L25" i="8"/>
  <c r="M25" i="8" s="1"/>
  <c r="N25" i="8" s="1"/>
  <c r="O25" i="8" s="1"/>
  <c r="L24" i="8"/>
  <c r="M24" i="8" s="1"/>
  <c r="N24" i="8" s="1"/>
  <c r="L23" i="8"/>
  <c r="M23" i="8" s="1"/>
  <c r="N23" i="8" s="1"/>
  <c r="L22" i="8"/>
  <c r="M22" i="8" s="1"/>
  <c r="N22" i="8" s="1"/>
  <c r="O22" i="8" s="1"/>
  <c r="L21" i="8"/>
  <c r="M21" i="8" s="1"/>
  <c r="N21" i="8" s="1"/>
  <c r="O21" i="8" s="1"/>
  <c r="L20" i="8"/>
  <c r="M20" i="8" s="1"/>
  <c r="N20" i="8" s="1"/>
  <c r="O20" i="8" s="1"/>
  <c r="L19" i="8"/>
  <c r="M19" i="8" s="1"/>
  <c r="N19" i="8" s="1"/>
  <c r="O19" i="8" s="1"/>
  <c r="L18" i="8"/>
  <c r="M18" i="8" s="1"/>
  <c r="N18" i="8" s="1"/>
  <c r="O18" i="8" s="1"/>
  <c r="L17" i="8"/>
  <c r="M17" i="8" s="1"/>
  <c r="N17" i="8" s="1"/>
  <c r="O17" i="8" s="1"/>
  <c r="L16" i="8"/>
  <c r="M16" i="8" s="1"/>
  <c r="N16" i="8" s="1"/>
  <c r="L15" i="8"/>
  <c r="M15" i="8" s="1"/>
  <c r="N15" i="8" s="1"/>
  <c r="L14" i="8"/>
  <c r="M14" i="8" s="1"/>
  <c r="N14" i="8" s="1"/>
  <c r="O14" i="8" s="1"/>
  <c r="L13" i="8"/>
  <c r="M13" i="8" s="1"/>
  <c r="N13" i="8" s="1"/>
  <c r="O13" i="8" s="1"/>
  <c r="L12" i="8"/>
  <c r="M12" i="8" s="1"/>
  <c r="N12" i="8" s="1"/>
  <c r="O12" i="8" s="1"/>
  <c r="L11" i="8"/>
  <c r="M11" i="8" s="1"/>
  <c r="N11" i="8" s="1"/>
  <c r="O11" i="8" s="1"/>
  <c r="L10" i="8"/>
  <c r="M10" i="8" s="1"/>
  <c r="N10" i="8" s="1"/>
  <c r="O10" i="8" s="1"/>
  <c r="L9" i="8"/>
  <c r="M9" i="8" s="1"/>
  <c r="N9" i="8" s="1"/>
  <c r="O9" i="8" s="1"/>
  <c r="L8" i="8"/>
  <c r="M8" i="8" s="1"/>
  <c r="N8" i="8" s="1"/>
  <c r="L7" i="8"/>
  <c r="M7" i="8" s="1"/>
  <c r="N7" i="8" s="1"/>
  <c r="L6" i="8"/>
  <c r="M6" i="8" s="1"/>
  <c r="N6" i="8" s="1"/>
  <c r="O6" i="8" s="1"/>
  <c r="L5" i="8"/>
  <c r="M5" i="8" s="1"/>
  <c r="N5" i="8" s="1"/>
  <c r="O5" i="8" s="1"/>
  <c r="L4" i="8"/>
  <c r="M4" i="8" s="1"/>
  <c r="N4" i="8" s="1"/>
  <c r="O4" i="8" s="1"/>
  <c r="L3" i="8"/>
  <c r="M3" i="8" s="1"/>
  <c r="N3" i="8" s="1"/>
  <c r="O3" i="8" s="1"/>
  <c r="L2" i="8"/>
  <c r="M2" i="8" s="1"/>
  <c r="N2" i="8" s="1"/>
  <c r="O2" i="8" s="1"/>
  <c r="I121" i="8" l="1"/>
  <c r="K83" i="8"/>
  <c r="P55" i="8"/>
  <c r="H121" i="8"/>
  <c r="J120" i="8"/>
  <c r="G121" i="8"/>
  <c r="J113" i="8"/>
  <c r="J112" i="8"/>
  <c r="J105" i="8"/>
  <c r="J97" i="8"/>
  <c r="J89" i="8"/>
  <c r="L83" i="8"/>
  <c r="M74" i="8"/>
  <c r="M79" i="8"/>
  <c r="J83" i="8"/>
  <c r="M82" i="8"/>
  <c r="M80" i="8"/>
  <c r="M69" i="8"/>
  <c r="P16" i="8"/>
  <c r="P24" i="8"/>
  <c r="P40" i="8"/>
  <c r="P48" i="8"/>
  <c r="P56" i="8"/>
  <c r="P64" i="8"/>
  <c r="P39" i="8"/>
  <c r="N69" i="8"/>
  <c r="P31" i="8"/>
  <c r="P23" i="8"/>
  <c r="P15" i="8"/>
  <c r="P32" i="8"/>
  <c r="P8" i="8"/>
  <c r="P47" i="8"/>
  <c r="P63" i="8"/>
  <c r="P7" i="8"/>
  <c r="K123" i="8"/>
  <c r="J116" i="8"/>
  <c r="J92" i="8"/>
  <c r="J115" i="8"/>
  <c r="J107" i="8"/>
  <c r="J99" i="8"/>
  <c r="J91" i="8"/>
  <c r="J108" i="8"/>
  <c r="J100" i="8"/>
  <c r="J114" i="8"/>
  <c r="J106" i="8"/>
  <c r="J98" i="8"/>
  <c r="J90" i="8"/>
  <c r="J88" i="8"/>
  <c r="J119" i="8"/>
  <c r="J111" i="8"/>
  <c r="J103" i="8"/>
  <c r="J95" i="8"/>
  <c r="J87" i="8"/>
  <c r="J104" i="8"/>
  <c r="J118" i="8"/>
  <c r="J110" i="8"/>
  <c r="J102" i="8"/>
  <c r="J94" i="8"/>
  <c r="J86" i="8"/>
  <c r="J96" i="8"/>
  <c r="J117" i="8"/>
  <c r="J109" i="8"/>
  <c r="J101" i="8"/>
  <c r="J93" i="8"/>
  <c r="J85" i="8"/>
  <c r="M78" i="8"/>
  <c r="M77" i="8"/>
  <c r="M76" i="8"/>
  <c r="M75" i="8"/>
  <c r="M81" i="8"/>
  <c r="M73" i="8"/>
  <c r="O69" i="8"/>
  <c r="P65" i="8"/>
  <c r="P57" i="8"/>
  <c r="P49" i="8"/>
  <c r="P41" i="8"/>
  <c r="P33" i="8"/>
  <c r="P25" i="8"/>
  <c r="P17" i="8"/>
  <c r="P9" i="8"/>
  <c r="P62" i="8"/>
  <c r="P54" i="8"/>
  <c r="P46" i="8"/>
  <c r="P38" i="8"/>
  <c r="P30" i="8"/>
  <c r="P22" i="8"/>
  <c r="P14" i="8"/>
  <c r="P6" i="8"/>
  <c r="P61" i="8"/>
  <c r="P53" i="8"/>
  <c r="P45" i="8"/>
  <c r="P37" i="8"/>
  <c r="P29" i="8"/>
  <c r="P21" i="8"/>
  <c r="P13" i="8"/>
  <c r="P5" i="8"/>
  <c r="P68" i="8"/>
  <c r="P60" i="8"/>
  <c r="P52" i="8"/>
  <c r="P44" i="8"/>
  <c r="P36" i="8"/>
  <c r="P28" i="8"/>
  <c r="P20" i="8"/>
  <c r="P12" i="8"/>
  <c r="P4" i="8"/>
  <c r="P67" i="8"/>
  <c r="P59" i="8"/>
  <c r="P51" i="8"/>
  <c r="P43" i="8"/>
  <c r="P35" i="8"/>
  <c r="P27" i="8"/>
  <c r="P19" i="8"/>
  <c r="P11" i="8"/>
  <c r="P3" i="8"/>
  <c r="P66" i="8"/>
  <c r="P58" i="8"/>
  <c r="P50" i="8"/>
  <c r="P42" i="8"/>
  <c r="P34" i="8"/>
  <c r="P26" i="8"/>
  <c r="P18" i="8"/>
  <c r="P10" i="8"/>
  <c r="P2" i="8"/>
  <c r="F121" i="8"/>
  <c r="I83" i="8"/>
  <c r="L69" i="8"/>
  <c r="F130" i="8"/>
  <c r="J121" i="8" l="1"/>
  <c r="M83" i="8"/>
  <c r="P69" i="8"/>
  <c r="E70" i="8"/>
  <c r="F131" i="8"/>
  <c r="F133" i="8" l="1"/>
  <c r="E122" i="6" l="1"/>
  <c r="D122" i="6"/>
  <c r="C122" i="6"/>
  <c r="D83" i="6"/>
  <c r="C83" i="6"/>
  <c r="E69" i="6"/>
  <c r="H69" i="6"/>
  <c r="G69" i="6"/>
  <c r="F69" i="6"/>
  <c r="H83" i="6"/>
  <c r="J69" i="6"/>
  <c r="G83" i="6"/>
  <c r="I69" i="6"/>
  <c r="I75" i="6" l="1"/>
  <c r="F128" i="6"/>
  <c r="C132" i="6" s="1"/>
  <c r="E132" i="6" s="1"/>
  <c r="G125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6" i="6"/>
  <c r="I82" i="6"/>
  <c r="I81" i="6"/>
  <c r="I80" i="6"/>
  <c r="I79" i="6"/>
  <c r="I78" i="6"/>
  <c r="I77" i="6"/>
  <c r="I76" i="6"/>
  <c r="I74" i="6"/>
  <c r="I73" i="6"/>
  <c r="D69" i="6"/>
  <c r="C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I83" i="6" l="1"/>
  <c r="L69" i="6"/>
  <c r="M126" i="3" l="1"/>
  <c r="M74" i="3"/>
  <c r="E125" i="4"/>
  <c r="C125" i="4"/>
  <c r="B125" i="4"/>
  <c r="D125" i="4"/>
  <c r="E124" i="4"/>
  <c r="D124" i="4"/>
  <c r="C124" i="4"/>
  <c r="B124" i="4"/>
  <c r="E86" i="4"/>
  <c r="D86" i="4"/>
  <c r="C86" i="4"/>
  <c r="B86" i="4"/>
  <c r="E74" i="4"/>
  <c r="D74" i="4"/>
  <c r="C74" i="4"/>
  <c r="B74" i="4"/>
  <c r="C5" i="4"/>
  <c r="B5" i="4"/>
  <c r="J126" i="3"/>
  <c r="G124" i="3"/>
  <c r="C124" i="3"/>
  <c r="J124" i="3"/>
  <c r="F124" i="3"/>
  <c r="B124" i="3"/>
  <c r="G86" i="3"/>
  <c r="C86" i="3"/>
  <c r="J86" i="3"/>
  <c r="F86" i="3"/>
  <c r="B86" i="3"/>
  <c r="G74" i="3"/>
  <c r="C74" i="3"/>
  <c r="J74" i="3"/>
  <c r="F74" i="3"/>
  <c r="F126" i="3" s="1"/>
  <c r="B74" i="3"/>
  <c r="B126" i="3" s="1"/>
  <c r="G5" i="3"/>
  <c r="F5" i="3"/>
  <c r="C5" i="3"/>
  <c r="B5" i="3"/>
  <c r="D125" i="1"/>
  <c r="E125" i="1"/>
  <c r="C125" i="1"/>
  <c r="B125" i="1"/>
  <c r="E124" i="1"/>
  <c r="C124" i="1"/>
  <c r="B124" i="1"/>
  <c r="C86" i="1"/>
  <c r="B86" i="1"/>
  <c r="G74" i="1"/>
  <c r="D74" i="1"/>
  <c r="C74" i="1"/>
  <c r="B74" i="1"/>
  <c r="C5" i="1"/>
  <c r="B5" i="1"/>
  <c r="G125" i="1"/>
  <c r="D128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5" i="4"/>
  <c r="E84" i="4"/>
  <c r="E83" i="4"/>
  <c r="E82" i="4"/>
  <c r="E81" i="4"/>
  <c r="E80" i="4"/>
  <c r="E79" i="4"/>
  <c r="E78" i="4"/>
  <c r="E77" i="4"/>
  <c r="E76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4" i="4"/>
  <c r="E3" i="4"/>
  <c r="E2" i="4"/>
  <c r="E5" i="4" s="1"/>
  <c r="I12" i="3"/>
  <c r="I13" i="3"/>
  <c r="I16" i="3"/>
  <c r="I18" i="3"/>
  <c r="I20" i="3"/>
  <c r="I26" i="3"/>
  <c r="I30" i="3"/>
  <c r="I33" i="3"/>
  <c r="I35" i="3"/>
  <c r="I39" i="3"/>
  <c r="I40" i="3"/>
  <c r="I42" i="3"/>
  <c r="I44" i="3"/>
  <c r="I48" i="3"/>
  <c r="I50" i="3"/>
  <c r="I52" i="3"/>
  <c r="I53" i="3"/>
  <c r="I56" i="3"/>
  <c r="I59" i="3"/>
  <c r="I61" i="3"/>
  <c r="I62" i="3"/>
  <c r="I63" i="3"/>
  <c r="I64" i="3"/>
  <c r="I66" i="3"/>
  <c r="I67" i="3"/>
  <c r="I68" i="3"/>
  <c r="I70" i="3"/>
  <c r="E12" i="3"/>
  <c r="E13" i="3"/>
  <c r="E16" i="3"/>
  <c r="E18" i="3"/>
  <c r="E20" i="3"/>
  <c r="E26" i="3"/>
  <c r="E28" i="3"/>
  <c r="E30" i="3"/>
  <c r="E33" i="3"/>
  <c r="E35" i="3"/>
  <c r="E39" i="3"/>
  <c r="E40" i="3"/>
  <c r="E42" i="3"/>
  <c r="E44" i="3"/>
  <c r="E48" i="3"/>
  <c r="E50" i="3"/>
  <c r="E52" i="3"/>
  <c r="E53" i="3"/>
  <c r="E54" i="3"/>
  <c r="E56" i="3"/>
  <c r="E59" i="3"/>
  <c r="E61" i="3"/>
  <c r="E62" i="3"/>
  <c r="E63" i="3"/>
  <c r="E64" i="3"/>
  <c r="E66" i="3"/>
  <c r="E67" i="3"/>
  <c r="E68" i="3"/>
  <c r="E70" i="3"/>
  <c r="E88" i="3"/>
  <c r="E103" i="3"/>
  <c r="E107" i="3"/>
  <c r="E112" i="3"/>
  <c r="E114" i="3"/>
  <c r="E115" i="3"/>
  <c r="H130" i="3"/>
  <c r="H132" i="3" s="1"/>
  <c r="H2" i="3" s="1"/>
  <c r="I2" i="3" s="1"/>
  <c r="D130" i="3"/>
  <c r="D132" i="3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6" i="1"/>
  <c r="E86" i="1" s="1"/>
  <c r="E77" i="1"/>
  <c r="E78" i="1"/>
  <c r="E79" i="1"/>
  <c r="E80" i="1"/>
  <c r="E81" i="1"/>
  <c r="E82" i="1"/>
  <c r="E83" i="1"/>
  <c r="E84" i="1"/>
  <c r="E85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7" i="1"/>
  <c r="E4" i="1"/>
  <c r="E3" i="1"/>
  <c r="E2" i="1"/>
  <c r="E5" i="1" s="1"/>
  <c r="B128" i="4" l="1"/>
  <c r="C128" i="4"/>
  <c r="E74" i="1"/>
  <c r="K53" i="3"/>
  <c r="K52" i="3"/>
  <c r="K50" i="3"/>
  <c r="K48" i="3"/>
  <c r="K13" i="3"/>
  <c r="K44" i="3"/>
  <c r="K66" i="3"/>
  <c r="K26" i="3"/>
  <c r="K64" i="3"/>
  <c r="K20" i="3"/>
  <c r="K18" i="3"/>
  <c r="K40" i="3"/>
  <c r="K39" i="3"/>
  <c r="K35" i="3"/>
  <c r="K59" i="3"/>
  <c r="K12" i="3"/>
  <c r="K33" i="3"/>
  <c r="K16" i="3"/>
  <c r="K42" i="3"/>
  <c r="K56" i="3"/>
  <c r="K70" i="3"/>
  <c r="K68" i="3"/>
  <c r="K30" i="3"/>
  <c r="K67" i="3"/>
  <c r="K63" i="3"/>
  <c r="K62" i="3"/>
  <c r="K61" i="3"/>
  <c r="E128" i="4"/>
  <c r="H3" i="3"/>
  <c r="I3" i="3" s="1"/>
  <c r="H4" i="3"/>
  <c r="I4" i="3" s="1"/>
  <c r="D4" i="3"/>
  <c r="E4" i="3" s="1"/>
  <c r="D3" i="3"/>
  <c r="E3" i="3" s="1"/>
  <c r="K3" i="3" s="1"/>
  <c r="D2" i="3"/>
  <c r="D131" i="3"/>
  <c r="H131" i="3"/>
  <c r="I5" i="3" l="1"/>
  <c r="E2" i="3"/>
  <c r="E5" i="3" s="1"/>
  <c r="D5" i="3"/>
  <c r="H5" i="3"/>
  <c r="K2" i="3"/>
  <c r="K4" i="3"/>
  <c r="H115" i="3"/>
  <c r="I115" i="3" s="1"/>
  <c r="K115" i="3" s="1"/>
  <c r="H95" i="3"/>
  <c r="I95" i="3" s="1"/>
  <c r="H71" i="3"/>
  <c r="I71" i="3" s="1"/>
  <c r="H31" i="3"/>
  <c r="I31" i="3" s="1"/>
  <c r="H114" i="3"/>
  <c r="I114" i="3" s="1"/>
  <c r="K114" i="3" s="1"/>
  <c r="H94" i="3"/>
  <c r="I94" i="3" s="1"/>
  <c r="H69" i="3"/>
  <c r="I69" i="3" s="1"/>
  <c r="H29" i="3"/>
  <c r="I29" i="3" s="1"/>
  <c r="H113" i="3"/>
  <c r="I113" i="3" s="1"/>
  <c r="H93" i="3"/>
  <c r="I93" i="3" s="1"/>
  <c r="H65" i="3"/>
  <c r="I65" i="3" s="1"/>
  <c r="H28" i="3"/>
  <c r="I28" i="3" s="1"/>
  <c r="K28" i="3" s="1"/>
  <c r="H112" i="3"/>
  <c r="I112" i="3" s="1"/>
  <c r="K112" i="3" s="1"/>
  <c r="H92" i="3"/>
  <c r="I92" i="3" s="1"/>
  <c r="H60" i="3"/>
  <c r="I60" i="3" s="1"/>
  <c r="H27" i="3"/>
  <c r="I27" i="3" s="1"/>
  <c r="H85" i="3"/>
  <c r="I85" i="3" s="1"/>
  <c r="H106" i="3"/>
  <c r="I106" i="3" s="1"/>
  <c r="H49" i="3"/>
  <c r="I49" i="3" s="1"/>
  <c r="H105" i="3"/>
  <c r="I105" i="3" s="1"/>
  <c r="H47" i="3"/>
  <c r="I47" i="3" s="1"/>
  <c r="H104" i="3"/>
  <c r="I104" i="3" s="1"/>
  <c r="H82" i="3"/>
  <c r="I82" i="3" s="1"/>
  <c r="H15" i="3"/>
  <c r="I15" i="3" s="1"/>
  <c r="H123" i="3"/>
  <c r="I123" i="3" s="1"/>
  <c r="H81" i="3"/>
  <c r="I81" i="3" s="1"/>
  <c r="H14" i="3"/>
  <c r="I14" i="3" s="1"/>
  <c r="H122" i="3"/>
  <c r="I122" i="3" s="1"/>
  <c r="H43" i="3"/>
  <c r="I43" i="3" s="1"/>
  <c r="H111" i="3"/>
  <c r="I111" i="3" s="1"/>
  <c r="H91" i="3"/>
  <c r="I91" i="3" s="1"/>
  <c r="H58" i="3"/>
  <c r="I58" i="3" s="1"/>
  <c r="H25" i="3"/>
  <c r="I25" i="3" s="1"/>
  <c r="H110" i="3"/>
  <c r="I110" i="3" s="1"/>
  <c r="H90" i="3"/>
  <c r="I90" i="3" s="1"/>
  <c r="H57" i="3"/>
  <c r="I57" i="3" s="1"/>
  <c r="H24" i="3"/>
  <c r="I24" i="3" s="1"/>
  <c r="H109" i="3"/>
  <c r="I109" i="3" s="1"/>
  <c r="H89" i="3"/>
  <c r="I89" i="3" s="1"/>
  <c r="H55" i="3"/>
  <c r="I55" i="3" s="1"/>
  <c r="H23" i="3"/>
  <c r="I23" i="3" s="1"/>
  <c r="H108" i="3"/>
  <c r="I108" i="3" s="1"/>
  <c r="H88" i="3"/>
  <c r="H54" i="3"/>
  <c r="I54" i="3" s="1"/>
  <c r="K54" i="3" s="1"/>
  <c r="H22" i="3"/>
  <c r="I22" i="3" s="1"/>
  <c r="H107" i="3"/>
  <c r="I107" i="3" s="1"/>
  <c r="K107" i="3" s="1"/>
  <c r="H51" i="3"/>
  <c r="I51" i="3" s="1"/>
  <c r="H21" i="3"/>
  <c r="I21" i="3" s="1"/>
  <c r="H84" i="3"/>
  <c r="I84" i="3" s="1"/>
  <c r="H19" i="3"/>
  <c r="I19" i="3" s="1"/>
  <c r="H83" i="3"/>
  <c r="I83" i="3" s="1"/>
  <c r="H17" i="3"/>
  <c r="I17" i="3" s="1"/>
  <c r="H46" i="3"/>
  <c r="I46" i="3" s="1"/>
  <c r="H103" i="3"/>
  <c r="I103" i="3" s="1"/>
  <c r="K103" i="3" s="1"/>
  <c r="H45" i="3"/>
  <c r="I45" i="3" s="1"/>
  <c r="H102" i="3"/>
  <c r="I102" i="3" s="1"/>
  <c r="H80" i="3"/>
  <c r="I80" i="3" s="1"/>
  <c r="H11" i="3"/>
  <c r="I11" i="3" s="1"/>
  <c r="H41" i="3"/>
  <c r="I41" i="3" s="1"/>
  <c r="H38" i="3"/>
  <c r="I38" i="3" s="1"/>
  <c r="H121" i="3"/>
  <c r="I121" i="3" s="1"/>
  <c r="H37" i="3"/>
  <c r="I37" i="3" s="1"/>
  <c r="H120" i="3"/>
  <c r="I120" i="3" s="1"/>
  <c r="H36" i="3"/>
  <c r="I36" i="3" s="1"/>
  <c r="H119" i="3"/>
  <c r="I119" i="3" s="1"/>
  <c r="H34" i="3"/>
  <c r="I34" i="3" s="1"/>
  <c r="H118" i="3"/>
  <c r="I118" i="3" s="1"/>
  <c r="H32" i="3"/>
  <c r="I32" i="3" s="1"/>
  <c r="H117" i="3"/>
  <c r="I117" i="3" s="1"/>
  <c r="H10" i="3"/>
  <c r="I10" i="3" s="1"/>
  <c r="H116" i="3"/>
  <c r="I116" i="3" s="1"/>
  <c r="H9" i="3"/>
  <c r="I9" i="3" s="1"/>
  <c r="H101" i="3"/>
  <c r="I101" i="3" s="1"/>
  <c r="H8" i="3"/>
  <c r="I8" i="3" s="1"/>
  <c r="H100" i="3"/>
  <c r="I100" i="3" s="1"/>
  <c r="H7" i="3"/>
  <c r="H99" i="3"/>
  <c r="I99" i="3" s="1"/>
  <c r="H98" i="3"/>
  <c r="I98" i="3" s="1"/>
  <c r="H97" i="3"/>
  <c r="I97" i="3" s="1"/>
  <c r="H96" i="3"/>
  <c r="I96" i="3" s="1"/>
  <c r="H79" i="3"/>
  <c r="I79" i="3" s="1"/>
  <c r="H78" i="3"/>
  <c r="I78" i="3" s="1"/>
  <c r="H77" i="3"/>
  <c r="I77" i="3" s="1"/>
  <c r="H73" i="3"/>
  <c r="I73" i="3" s="1"/>
  <c r="H76" i="3"/>
  <c r="H72" i="3"/>
  <c r="I72" i="3" s="1"/>
  <c r="D106" i="3"/>
  <c r="E106" i="3" s="1"/>
  <c r="D82" i="3"/>
  <c r="E82" i="3" s="1"/>
  <c r="K82" i="3" s="1"/>
  <c r="D45" i="3"/>
  <c r="E45" i="3" s="1"/>
  <c r="D11" i="3"/>
  <c r="E11" i="3" s="1"/>
  <c r="D105" i="3"/>
  <c r="E105" i="3" s="1"/>
  <c r="K105" i="3" s="1"/>
  <c r="D81" i="3"/>
  <c r="E81" i="3" s="1"/>
  <c r="D43" i="3"/>
  <c r="E43" i="3" s="1"/>
  <c r="K43" i="3" s="1"/>
  <c r="D10" i="3"/>
  <c r="E10" i="3" s="1"/>
  <c r="K10" i="3" s="1"/>
  <c r="D104" i="3"/>
  <c r="E104" i="3" s="1"/>
  <c r="D80" i="3"/>
  <c r="E80" i="3" s="1"/>
  <c r="D41" i="3"/>
  <c r="E41" i="3" s="1"/>
  <c r="D9" i="3"/>
  <c r="E9" i="3" s="1"/>
  <c r="D102" i="3"/>
  <c r="E102" i="3" s="1"/>
  <c r="D79" i="3"/>
  <c r="E79" i="3" s="1"/>
  <c r="D38" i="3"/>
  <c r="E38" i="3" s="1"/>
  <c r="D8" i="3"/>
  <c r="E8" i="3" s="1"/>
  <c r="D122" i="3"/>
  <c r="E122" i="3" s="1"/>
  <c r="D72" i="3"/>
  <c r="E72" i="3" s="1"/>
  <c r="D31" i="3"/>
  <c r="E31" i="3" s="1"/>
  <c r="D121" i="3"/>
  <c r="E121" i="3" s="1"/>
  <c r="K121" i="3" s="1"/>
  <c r="D71" i="3"/>
  <c r="E71" i="3" s="1"/>
  <c r="K71" i="3" s="1"/>
  <c r="D120" i="3"/>
  <c r="E120" i="3" s="1"/>
  <c r="K120" i="3" s="1"/>
  <c r="D94" i="3"/>
  <c r="E94" i="3" s="1"/>
  <c r="K94" i="3" s="1"/>
  <c r="D25" i="3"/>
  <c r="E25" i="3" s="1"/>
  <c r="D93" i="3"/>
  <c r="E93" i="3" s="1"/>
  <c r="D60" i="3"/>
  <c r="E60" i="3" s="1"/>
  <c r="D117" i="3"/>
  <c r="E117" i="3" s="1"/>
  <c r="K117" i="3" s="1"/>
  <c r="D101" i="3"/>
  <c r="E101" i="3" s="1"/>
  <c r="K101" i="3" s="1"/>
  <c r="D78" i="3"/>
  <c r="E78" i="3" s="1"/>
  <c r="D37" i="3"/>
  <c r="E37" i="3" s="1"/>
  <c r="D7" i="3"/>
  <c r="D100" i="3"/>
  <c r="E100" i="3" s="1"/>
  <c r="D77" i="3"/>
  <c r="E77" i="3" s="1"/>
  <c r="D36" i="3"/>
  <c r="E36" i="3" s="1"/>
  <c r="D99" i="3"/>
  <c r="E99" i="3" s="1"/>
  <c r="D76" i="3"/>
  <c r="D34" i="3"/>
  <c r="E34" i="3" s="1"/>
  <c r="D123" i="3"/>
  <c r="E123" i="3" s="1"/>
  <c r="D98" i="3"/>
  <c r="E98" i="3" s="1"/>
  <c r="D73" i="3"/>
  <c r="E73" i="3" s="1"/>
  <c r="K73" i="3" s="1"/>
  <c r="D32" i="3"/>
  <c r="E32" i="3" s="1"/>
  <c r="D97" i="3"/>
  <c r="E97" i="3" s="1"/>
  <c r="K97" i="3" s="1"/>
  <c r="D96" i="3"/>
  <c r="E96" i="3" s="1"/>
  <c r="K96" i="3" s="1"/>
  <c r="D29" i="3"/>
  <c r="E29" i="3" s="1"/>
  <c r="K29" i="3" s="1"/>
  <c r="D95" i="3"/>
  <c r="E95" i="3" s="1"/>
  <c r="D69" i="3"/>
  <c r="E69" i="3" s="1"/>
  <c r="K69" i="3" s="1"/>
  <c r="D27" i="3"/>
  <c r="E27" i="3" s="1"/>
  <c r="D119" i="3"/>
  <c r="E119" i="3" s="1"/>
  <c r="D65" i="3"/>
  <c r="E65" i="3" s="1"/>
  <c r="D118" i="3"/>
  <c r="E118" i="3" s="1"/>
  <c r="D24" i="3"/>
  <c r="E24" i="3" s="1"/>
  <c r="K24" i="3" s="1"/>
  <c r="D90" i="3"/>
  <c r="E90" i="3" s="1"/>
  <c r="D89" i="3"/>
  <c r="D85" i="3"/>
  <c r="E85" i="3" s="1"/>
  <c r="D84" i="3"/>
  <c r="E84" i="3" s="1"/>
  <c r="D83" i="3"/>
  <c r="E83" i="3" s="1"/>
  <c r="D58" i="3"/>
  <c r="E58" i="3" s="1"/>
  <c r="D57" i="3"/>
  <c r="E57" i="3" s="1"/>
  <c r="D55" i="3"/>
  <c r="E55" i="3" s="1"/>
  <c r="K55" i="3" s="1"/>
  <c r="D51" i="3"/>
  <c r="E51" i="3" s="1"/>
  <c r="D49" i="3"/>
  <c r="E49" i="3" s="1"/>
  <c r="K49" i="3" s="1"/>
  <c r="D47" i="3"/>
  <c r="E47" i="3" s="1"/>
  <c r="K47" i="3" s="1"/>
  <c r="D116" i="3"/>
  <c r="E116" i="3" s="1"/>
  <c r="D23" i="3"/>
  <c r="E23" i="3" s="1"/>
  <c r="D22" i="3"/>
  <c r="E22" i="3" s="1"/>
  <c r="K22" i="3" s="1"/>
  <c r="D21" i="3"/>
  <c r="E21" i="3" s="1"/>
  <c r="K21" i="3" s="1"/>
  <c r="D19" i="3"/>
  <c r="E19" i="3" s="1"/>
  <c r="D17" i="3"/>
  <c r="E17" i="3" s="1"/>
  <c r="K17" i="3" s="1"/>
  <c r="D108" i="3"/>
  <c r="E108" i="3" s="1"/>
  <c r="D15" i="3"/>
  <c r="E15" i="3" s="1"/>
  <c r="D14" i="3"/>
  <c r="E14" i="3" s="1"/>
  <c r="D91" i="3"/>
  <c r="E91" i="3" s="1"/>
  <c r="D46" i="3"/>
  <c r="E46" i="3" s="1"/>
  <c r="D113" i="3"/>
  <c r="E113" i="3" s="1"/>
  <c r="D111" i="3"/>
  <c r="E111" i="3" s="1"/>
  <c r="D110" i="3"/>
  <c r="E110" i="3" s="1"/>
  <c r="D109" i="3"/>
  <c r="E109" i="3" s="1"/>
  <c r="D92" i="3"/>
  <c r="E92" i="3" s="1"/>
  <c r="K19" i="3" l="1"/>
  <c r="K93" i="3"/>
  <c r="K23" i="3"/>
  <c r="K119" i="3"/>
  <c r="E7" i="3"/>
  <c r="E74" i="3" s="1"/>
  <c r="D74" i="3"/>
  <c r="I76" i="3"/>
  <c r="I86" i="3" s="1"/>
  <c r="H86" i="3"/>
  <c r="H126" i="3" s="1"/>
  <c r="E76" i="3"/>
  <c r="E86" i="3" s="1"/>
  <c r="D86" i="3"/>
  <c r="K81" i="3"/>
  <c r="I7" i="3"/>
  <c r="I74" i="3" s="1"/>
  <c r="H74" i="3"/>
  <c r="E89" i="3"/>
  <c r="D124" i="3"/>
  <c r="K95" i="3"/>
  <c r="I88" i="3"/>
  <c r="H124" i="3"/>
  <c r="K108" i="3"/>
  <c r="K65" i="3"/>
  <c r="K78" i="3"/>
  <c r="K104" i="3"/>
  <c r="K5" i="3"/>
  <c r="K15" i="3"/>
  <c r="K118" i="3"/>
  <c r="K37" i="3"/>
  <c r="K38" i="3"/>
  <c r="K80" i="3"/>
  <c r="K11" i="3"/>
  <c r="K106" i="3"/>
  <c r="K51" i="3"/>
  <c r="K98" i="3"/>
  <c r="K31" i="3"/>
  <c r="K109" i="3"/>
  <c r="K99" i="3"/>
  <c r="K85" i="3"/>
  <c r="K27" i="3"/>
  <c r="K57" i="3"/>
  <c r="K72" i="3"/>
  <c r="K58" i="3"/>
  <c r="K122" i="3"/>
  <c r="K110" i="3"/>
  <c r="K111" i="3"/>
  <c r="K79" i="3"/>
  <c r="K46" i="3"/>
  <c r="K102" i="3"/>
  <c r="K100" i="3"/>
  <c r="K60" i="3"/>
  <c r="K25" i="3"/>
  <c r="K116" i="3"/>
  <c r="K45" i="3"/>
  <c r="K32" i="3"/>
  <c r="K92" i="3"/>
  <c r="K123" i="3"/>
  <c r="K34" i="3"/>
  <c r="K83" i="3"/>
  <c r="K8" i="3"/>
  <c r="K84" i="3"/>
  <c r="K113" i="3"/>
  <c r="K36" i="3"/>
  <c r="K77" i="3"/>
  <c r="K91" i="3"/>
  <c r="K90" i="3"/>
  <c r="K9" i="3"/>
  <c r="K14" i="3"/>
  <c r="K7" i="3"/>
  <c r="K41" i="3"/>
  <c r="D126" i="3"/>
  <c r="K89" i="3" l="1"/>
  <c r="E124" i="3"/>
  <c r="E126" i="3" s="1"/>
  <c r="K88" i="3"/>
  <c r="K124" i="3" s="1"/>
  <c r="I124" i="3"/>
  <c r="I126" i="3" s="1"/>
  <c r="K74" i="3"/>
  <c r="K76" i="3"/>
  <c r="K86" i="3" s="1"/>
  <c r="K126" i="3" l="1"/>
  <c r="F87" i="6" l="1"/>
  <c r="C133" i="6" l="1"/>
  <c r="F122" i="6"/>
  <c r="E70" i="6" l="1"/>
  <c r="E133" i="6"/>
  <c r="C134" i="6"/>
  <c r="E13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Carson Shaffer</author>
  </authors>
  <commentList>
    <comment ref="E127" authorId="0" shapeId="0" xr:uid="{F0B25437-117D-49E5-891E-D5851C4B1AD1}">
      <text>
        <r>
          <rPr>
            <b/>
            <sz val="9"/>
            <color indexed="81"/>
            <rFont val="Tahoma"/>
            <family val="2"/>
          </rPr>
          <t>Carson Shaffer:</t>
        </r>
        <r>
          <rPr>
            <sz val="9"/>
            <color indexed="81"/>
            <rFont val="Tahoma"/>
            <family val="2"/>
          </rPr>
          <t xml:space="preserve">
Agrees to total calculated on next sheet using % of funds.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Carson Shaffer</author>
  </authors>
  <commentList>
    <comment ref="C5" authorId="0" shapeId="0" xr:uid="{840B94C5-6CA7-4B78-97EF-AC566AC7CBFE}">
      <text>
        <r>
          <rPr>
            <b/>
            <sz val="9"/>
            <color indexed="81"/>
            <rFont val="Tahoma"/>
            <family val="2"/>
          </rPr>
          <t>Carson Shaffer:</t>
        </r>
        <r>
          <rPr>
            <sz val="9"/>
            <color indexed="81"/>
            <rFont val="Tahoma"/>
            <family val="2"/>
          </rPr>
          <t xml:space="preserve">
These three litigants represent 25% of total allocation, per Trust Payment Notice 3 excel.</t>
        </r>
      </text>
    </comment>
    <comment ref="C132" authorId="0" shapeId="0" xr:uid="{FA5CAE47-0B7E-4BEF-8852-E857ADCE02A9}">
      <text>
        <r>
          <rPr>
            <b/>
            <sz val="9"/>
            <color indexed="81"/>
            <rFont val="Tahoma"/>
            <family val="2"/>
          </rPr>
          <t>Carson Shaffer:</t>
        </r>
        <r>
          <rPr>
            <sz val="9"/>
            <color indexed="81"/>
            <rFont val="Tahoma"/>
            <family val="2"/>
          </rPr>
          <t xml:space="preserve">
25% of PA Dist. Interest is allocated to 3 litigants: Philadelphia, Delaware, and Carbon. </t>
        </r>
      </text>
    </comment>
    <comment ref="G132" authorId="0" shapeId="0" xr:uid="{FC8B6F2A-BAA4-40CC-9B9A-4BB2E2B3A1DC}">
      <text>
        <r>
          <rPr>
            <b/>
            <sz val="9"/>
            <color indexed="81"/>
            <rFont val="Tahoma"/>
            <family val="2"/>
          </rPr>
          <t>Carson Shaffer:</t>
        </r>
        <r>
          <rPr>
            <sz val="9"/>
            <color indexed="81"/>
            <rFont val="Tahoma"/>
            <family val="2"/>
          </rPr>
          <t xml:space="preserve">
25% of J&amp;J Interest is allocated to 3 litigants: Philadelphia, Delaware, and Carbon.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A. Ritter</author>
  </authors>
  <commentList>
    <comment ref="L97" authorId="0" shapeId="0" xr:uid="{B9447201-6AE1-4CBE-98C1-94E4963C43EE}">
      <text>
        <r>
          <rPr>
            <b/>
            <sz val="9"/>
            <color indexed="81"/>
            <rFont val="Tahoma"/>
            <family val="2"/>
          </rPr>
          <t>Lisa A. Ritter: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<sst xmlns="http://schemas.openxmlformats.org/spreadsheetml/2006/main" count="754" uniqueCount="283">
  <si>
    <t>PA Distributors</t>
  </si>
  <si>
    <t>J&amp;J Litigating</t>
  </si>
  <si>
    <t>Mallincrodt</t>
  </si>
  <si>
    <t>Total</t>
  </si>
  <si>
    <t>Litigant</t>
  </si>
  <si>
    <t>Philadelphia</t>
  </si>
  <si>
    <t>Delaware</t>
  </si>
  <si>
    <t>Carbon</t>
  </si>
  <si>
    <t>ADAMS COUNTY</t>
  </si>
  <si>
    <t>ALLEGHENY COUNTY</t>
  </si>
  <si>
    <t>ARMSTRONG COUNTY</t>
  </si>
  <si>
    <t>BEAVER COUNTY</t>
  </si>
  <si>
    <t>BEDFORD COUNTY</t>
  </si>
  <si>
    <t>BRADFORD COUNTY</t>
  </si>
  <si>
    <t>BUCKS COUNTY</t>
  </si>
  <si>
    <t>CAMBRIA COUNTY</t>
  </si>
  <si>
    <t>CARBON COUNTY</t>
  </si>
  <si>
    <t>CHESTER COUNTY</t>
  </si>
  <si>
    <t>CLARION COUNTY</t>
  </si>
  <si>
    <t>CLEARFIELD COUNTY</t>
  </si>
  <si>
    <t>CLINTON COUNTY</t>
  </si>
  <si>
    <t>COLUMBIA COUNTY</t>
  </si>
  <si>
    <t>CUMBERLAND COUNTY</t>
  </si>
  <si>
    <t>DELAWARE COUNTY</t>
  </si>
  <si>
    <t>ERIE COUNTY</t>
  </si>
  <si>
    <t>FAYETTE COUNTY</t>
  </si>
  <si>
    <t>FRANKLIN COUNTY</t>
  </si>
  <si>
    <t>GREENE COUNTY</t>
  </si>
  <si>
    <t>HUNTINGDON COUNTY</t>
  </si>
  <si>
    <t>INDIANA COUNTY</t>
  </si>
  <si>
    <t>LACKAWANNA COUNTY</t>
  </si>
  <si>
    <t>LAWRENCE COUNTY</t>
  </si>
  <si>
    <t>LEHIGH COUNTY</t>
  </si>
  <si>
    <t>LUZERNE COUNTY</t>
  </si>
  <si>
    <t>LYCOMING COUNTY</t>
  </si>
  <si>
    <t>MERCER COUNTY</t>
  </si>
  <si>
    <t>MONROE COUNTY</t>
  </si>
  <si>
    <t>NORTHUMBERLAND COUNTY</t>
  </si>
  <si>
    <t>PHILADELPHIA  COUNTY</t>
  </si>
  <si>
    <t>PIKE COUNTY</t>
  </si>
  <si>
    <t>SCHUYLKILL COUNTY</t>
  </si>
  <si>
    <t>TIOGA COUNTY</t>
  </si>
  <si>
    <t>WASHINGTON COUNTY</t>
  </si>
  <si>
    <t>WESTMORELAND COUNTY</t>
  </si>
  <si>
    <t>WYOMING COUNTY</t>
  </si>
  <si>
    <t>YORK COUNTY</t>
  </si>
  <si>
    <t>BUCKS COUNTY DA</t>
  </si>
  <si>
    <t>DELAWARE COUNTY DA</t>
  </si>
  <si>
    <t>LEHIGH COUNTY DA</t>
  </si>
  <si>
    <t>WESTMORELAND COUNTY DA</t>
  </si>
  <si>
    <t>ERIE COUNTY DA</t>
  </si>
  <si>
    <t>CHESTER COUNTY DA</t>
  </si>
  <si>
    <t>NORTHAMPTON COUNTY DA</t>
  </si>
  <si>
    <t>DAUPHIN COUNTY DA</t>
  </si>
  <si>
    <t>BERKS COUNTY DA</t>
  </si>
  <si>
    <t>CLEARFIELD COUNTY DA</t>
  </si>
  <si>
    <t>Allentown city, Lehigh County, PA</t>
  </si>
  <si>
    <t>Bensalem township, Bucks County, PA</t>
  </si>
  <si>
    <t>Bristol township, Bucks County, PA</t>
  </si>
  <si>
    <t xml:space="preserve">City of Lock Haven, Clinton County, PA </t>
  </si>
  <si>
    <t>Coatesville city, Chester County, PA</t>
  </si>
  <si>
    <t xml:space="preserve">Edwardsville Borough, Luzerne County, PA </t>
  </si>
  <si>
    <t>Exeter Borough, Luzerne County, PA</t>
  </si>
  <si>
    <t>Fairview township, York County, PA</t>
  </si>
  <si>
    <t xml:space="preserve">Forty Fort Borough, Luzerne County, PA </t>
  </si>
  <si>
    <t>Hanover township, Luzerne County, PA</t>
  </si>
  <si>
    <t>Hazleton city, Luzerne County, PA</t>
  </si>
  <si>
    <t>Kingston borough, Luzerne County, PA</t>
  </si>
  <si>
    <t>Lower Makefield township, Bucks County, PA</t>
  </si>
  <si>
    <t>Lower Southampton township, Bucks County, PA</t>
  </si>
  <si>
    <t>Middletown township, Bucks County, PA</t>
  </si>
  <si>
    <t>Morrisville borough, Bucks County, PA</t>
  </si>
  <si>
    <t>Nanticoke city, Luzerne County, PA</t>
  </si>
  <si>
    <t>Newtown township, Bucks County, PA</t>
  </si>
  <si>
    <t>Norristown borough, Montgomery County, PA</t>
  </si>
  <si>
    <t>Pittsburgh city, Allegheny County, PA</t>
  </si>
  <si>
    <t>Plains Township, Luzerne County, PA</t>
  </si>
  <si>
    <t xml:space="preserve">Sugar Notch Borough, Luzerne County, PA </t>
  </si>
  <si>
    <t>Warminster township, Bucks County, PA</t>
  </si>
  <si>
    <t>Warrington township, Bucks County, PA</t>
  </si>
  <si>
    <t>West Norriton township, Montgomery County, PA</t>
  </si>
  <si>
    <t xml:space="preserve">West Pittston Borough, Luzerne County, PA </t>
  </si>
  <si>
    <t>Wilkes-Barre city, Luzerne County, PA</t>
  </si>
  <si>
    <t>Wilkes-Barre township, Luzerne County, PA</t>
  </si>
  <si>
    <t xml:space="preserve">Wright Township, Luzerne County, PA </t>
  </si>
  <si>
    <t xml:space="preserve">Wyoming Borough, Luzerenre County, PA </t>
  </si>
  <si>
    <t>Aliquippa city, Beaver County, PA</t>
  </si>
  <si>
    <t>Mahoning township, Carbon County, PA</t>
  </si>
  <si>
    <t>New Castle city, Lawrence County, PA</t>
  </si>
  <si>
    <t>SEPTA</t>
  </si>
  <si>
    <t>Union township, Lawrence County, PA</t>
  </si>
  <si>
    <t>Wampum Borough, Lawrence County, PA</t>
  </si>
  <si>
    <t xml:space="preserve">DAUPHIN COUNTY  </t>
  </si>
  <si>
    <t xml:space="preserve">NORTHAMPTON COUNTY  </t>
  </si>
  <si>
    <t xml:space="preserve">BERKS COUNTY  </t>
  </si>
  <si>
    <t>BLAIR COUNTY</t>
  </si>
  <si>
    <t>BUTLER COUNTY</t>
  </si>
  <si>
    <t>CAMERON COUNTY</t>
  </si>
  <si>
    <t>CENTRE COUNTY</t>
  </si>
  <si>
    <t>CRAWFORD COUNTY</t>
  </si>
  <si>
    <t>ELK COUNTY</t>
  </si>
  <si>
    <t>FOREST COUNTY</t>
  </si>
  <si>
    <t>FULTON COUNTY</t>
  </si>
  <si>
    <t>JEFFERSON COUNTY</t>
  </si>
  <si>
    <t>JUNIATA COUNTY</t>
  </si>
  <si>
    <t>LANCASTER COUNTY</t>
  </si>
  <si>
    <t>LEBANON COUNTY</t>
  </si>
  <si>
    <t>McKEAN COUNTY</t>
  </si>
  <si>
    <t>MIFFLIN COUNTY</t>
  </si>
  <si>
    <t>MONTGOMERY COUNTY</t>
  </si>
  <si>
    <t>MONTOUR COUNTY</t>
  </si>
  <si>
    <t>PERRY COUNTY</t>
  </si>
  <si>
    <t>POTTER COUNTY</t>
  </si>
  <si>
    <t>SNYDER COUNTY</t>
  </si>
  <si>
    <t>SOMERSET COUNTY</t>
  </si>
  <si>
    <t>SULLIVAN COUNTY</t>
  </si>
  <si>
    <t>SUSQUEHANNA COUNTY</t>
  </si>
  <si>
    <t>UNION COUNTY</t>
  </si>
  <si>
    <t>VENANGO COUNTY</t>
  </si>
  <si>
    <t>WARREN COUNTY</t>
  </si>
  <si>
    <t>WAYNE COUNTY</t>
  </si>
  <si>
    <t>Interest - PA Distributors</t>
  </si>
  <si>
    <t>Interest - J&amp;J Litigating</t>
  </si>
  <si>
    <t>PA Dist. Interest</t>
  </si>
  <si>
    <t>J&amp;J Interest</t>
  </si>
  <si>
    <t>Total - PA Distributors</t>
  </si>
  <si>
    <t>Total - J&amp;J Litigating</t>
  </si>
  <si>
    <t>Total with Interest</t>
  </si>
  <si>
    <t>Difference</t>
  </si>
  <si>
    <t>Total interest paid, Trust Payment 4</t>
  </si>
  <si>
    <t>Counties:</t>
  </si>
  <si>
    <t>District Attorneys:</t>
  </si>
  <si>
    <t>Other Litigants:</t>
  </si>
  <si>
    <t>PA Distributors and J&amp;J County Payments</t>
  </si>
  <si>
    <t>Adjusted % (W/ Floors)</t>
  </si>
  <si>
    <t>Subtotal</t>
  </si>
  <si>
    <t>Subtotal Counties</t>
  </si>
  <si>
    <t>Subtotal District Attorneys</t>
  </si>
  <si>
    <t>Subtotal Other Litigants</t>
  </si>
  <si>
    <t>Payee (Counties)</t>
  </si>
  <si>
    <t>Unique ID</t>
  </si>
  <si>
    <t>County Payment</t>
  </si>
  <si>
    <t>MNK County Payment</t>
  </si>
  <si>
    <t>Dist Litigating</t>
  </si>
  <si>
    <t>JJ Litigating</t>
  </si>
  <si>
    <t>Dist Bellwether</t>
  </si>
  <si>
    <t>JJ Bellwether</t>
  </si>
  <si>
    <t>MNK Litigating Payment</t>
  </si>
  <si>
    <t xml:space="preserve">MNK Bellwether </t>
  </si>
  <si>
    <t>Total Payment 4</t>
  </si>
  <si>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</si>
  <si>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</si>
  <si>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</si>
  <si>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</si>
  <si>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</si>
  <si>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</si>
  <si>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</si>
  <si>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</si>
  <si>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</si>
  <si>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</si>
  <si>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</si>
  <si>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</si>
  <si>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</si>
  <si>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</si>
  <si>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</si>
  <si>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</si>
  <si>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</si>
  <si>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</si>
  <si>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</si>
  <si>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</si>
  <si>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</si>
  <si>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Elk</t>
  </si>
  <si>
    <t>Erie</t>
  </si>
  <si>
    <t>Fayette</t>
  </si>
  <si>
    <t>Forest</t>
  </si>
  <si>
    <t>Franklin</t>
  </si>
  <si>
    <t>Fulton</t>
  </si>
  <si>
    <t>Greene</t>
  </si>
  <si>
    <t>Huntingdon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</si>
  <si>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</si>
  <si>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</si>
  <si>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</si>
  <si>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</si>
  <si>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</si>
  <si>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</si>
  <si>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</si>
  <si>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</si>
  <si>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</si>
  <si>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</si>
  <si>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</si>
  <si>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</si>
  <si>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</si>
  <si>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</si>
  <si>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</si>
  <si>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</si>
  <si>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</si>
  <si>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</si>
  <si>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</si>
  <si>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</si>
  <si>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</si>
  <si>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</si>
  <si>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</si>
  <si>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</si>
  <si>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</si>
  <si>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</si>
  <si>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</si>
  <si>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</si>
  <si>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</si>
  <si>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</si>
  <si>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</si>
  <si>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</si>
  <si>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</si>
  <si>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</si>
  <si>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</si>
  <si>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Ties to Trust Order</t>
  </si>
  <si>
    <t>Payee (DAs)</t>
  </si>
  <si>
    <t>Dist Bellweather</t>
  </si>
  <si>
    <t>MNK Litigating</t>
  </si>
  <si>
    <t>MNK Bellwether</t>
  </si>
  <si>
    <t>Payee (Subdivisions)</t>
  </si>
  <si>
    <t>Aliquippa city, Beaver County, Pennsylvania</t>
  </si>
  <si>
    <t>Allentown city, Lehigh County, Pennsylvania</t>
  </si>
  <si>
    <t>Bensalem township, Bucks County, Pennsylvania</t>
  </si>
  <si>
    <t>Bristol township, Bucks County, Pennsylvania</t>
  </si>
  <si>
    <t xml:space="preserve">City of Lock Haven, Clinton County, Pennsylvania </t>
  </si>
  <si>
    <t>Coatesville city, Chester County, Pennsylvania</t>
  </si>
  <si>
    <t xml:space="preserve">Edwardsville Borough, Luzerne County, Pennsylvania </t>
  </si>
  <si>
    <t>Exeter Borough, Luzerne County, Pennsylvania</t>
  </si>
  <si>
    <t>Fairview township, Luzerne County, Pennsylvania</t>
  </si>
  <si>
    <t xml:space="preserve">Forty Fort Borough, Luzerne County, Pennsylvania </t>
  </si>
  <si>
    <t>Hanover township, Luzerne County, Pennsylvania</t>
  </si>
  <si>
    <t>Hazleton city, Luzerne County, Pennsylvania</t>
  </si>
  <si>
    <t>Kingston borough, Luzerne County, Pennsylvania</t>
  </si>
  <si>
    <t>Lower Makefield township, Bucks County, Pennsylvania</t>
  </si>
  <si>
    <t>Lower Southampton township, Bucks County, Pennsylvania</t>
  </si>
  <si>
    <t xml:space="preserve">Mahoning Township, Lawrence County, Pennsylvania </t>
  </si>
  <si>
    <t>Middletown township, Bucks County, Pennsylvania</t>
  </si>
  <si>
    <t>Morrisville borough, Bucks County, Pennsylvania</t>
  </si>
  <si>
    <t>Nanticoke city, Luzerne County, Pennsylvania</t>
  </si>
  <si>
    <t>New Castle city, Lawrence County, Pennsylvania</t>
  </si>
  <si>
    <t>Newtown township, Bucks County, Pennsylvania</t>
  </si>
  <si>
    <t>Norristown borough, Montgomery County, Pennsylvania</t>
  </si>
  <si>
    <t>Pittsburgh city, Allegheny County, Pennsylvania</t>
  </si>
  <si>
    <t>Plains Township, Luzerne County, Pennsylvania</t>
  </si>
  <si>
    <t xml:space="preserve">Sugar Notch Borough, Luzerne County, Pennsylvania </t>
  </si>
  <si>
    <t>Union township, Lawrence County, Pennsylvania</t>
  </si>
  <si>
    <t xml:space="preserve">Wampum Borough, Lawrence County, Pennsylvania </t>
  </si>
  <si>
    <t>Warminster township, Bucks County, Pennsylvania</t>
  </si>
  <si>
    <t>Warrington township, Bucks County, Pennsylvania</t>
  </si>
  <si>
    <t>West Norriton township, Montgomery County, Pennsylvania</t>
  </si>
  <si>
    <t xml:space="preserve">West Pittston Borough, Luzerne County, Pennsylvania </t>
  </si>
  <si>
    <t>Wilkes-Barre city, Luzerne County, Pennsylvania</t>
  </si>
  <si>
    <t>Wilkes-Barre township, Luzerne County, Pennsylvania</t>
  </si>
  <si>
    <t xml:space="preserve">Wright Township, Luzerne County, Pennsylvania </t>
  </si>
  <si>
    <t xml:space="preserve">Wyoming Borough, Luzerenre County, Pennsylvania </t>
  </si>
  <si>
    <t>Payee (COPA)</t>
  </si>
  <si>
    <t>Dist Payment</t>
  </si>
  <si>
    <t>JJ Payment</t>
  </si>
  <si>
    <t>MNK Payment</t>
  </si>
  <si>
    <t>COPA</t>
  </si>
  <si>
    <t>Cost/Fees</t>
  </si>
  <si>
    <t>Attorney/Admin Costs</t>
  </si>
  <si>
    <t>Dist Atty Fees</t>
  </si>
  <si>
    <t>JJ Atty Fees</t>
  </si>
  <si>
    <t>Fee Fund</t>
  </si>
  <si>
    <t>Trust Administrative Fund</t>
  </si>
  <si>
    <t>Total Payment 4 to Payees</t>
  </si>
  <si>
    <t>Total Costs/Fees</t>
  </si>
  <si>
    <t>Total Payment 4 Distributions</t>
  </si>
  <si>
    <t>Totals</t>
  </si>
  <si>
    <t>Interest</t>
  </si>
  <si>
    <t>Commonwealth of Pennsylvania</t>
  </si>
  <si>
    <t xml:space="preserve"> </t>
  </si>
  <si>
    <t>Payment with Interest</t>
  </si>
  <si>
    <t>Total Payment  Less MNK</t>
  </si>
  <si>
    <t>Percentage of Total</t>
  </si>
  <si>
    <t>Less MNK</t>
  </si>
  <si>
    <t>Total  earning interest</t>
  </si>
  <si>
    <t>Total Payment less MNK</t>
  </si>
  <si>
    <t>Interest used in equation is rounded to ensure amount allocated equals the amount earned.</t>
  </si>
  <si>
    <t>Note: Mallinckrodt broken out separately on AG spreadsheet.  Breakout above is for PA and J&amp;J only.</t>
  </si>
  <si>
    <t>Reductions/ COPA Bonus</t>
  </si>
  <si>
    <t>Source of data is OAG payment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</si>
</sst>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00000000_);_(* \(#,##0.000000000\);_(* &quot;-&quot;??_);_(@_)"/>
    <numFmt numFmtId="168" formatCode="&quot;$&quot;#,##0.00"/>
    <numFmt numFmtId="169" formatCode="&quot;$&quot;#,##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650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6" fontId="0" fillId="0" borderId="0" xfId="0" applyNumberFormat="1"/>
    <xf numFmtId="165" fontId="0" fillId="0" borderId="0" xfId="1" applyFont="1"/>
    <xf numFmtId="0" fontId="0" fillId="0" borderId="0" xfId="0" applyAlignment="1">
      <alignment horizontal="right"/>
    </xf>
    <xf numFmtId="166" fontId="0" fillId="0" borderId="1" xfId="0" applyNumberFormat="1" applyBorder="1"/>
    <xf numFmtId="0" fontId="0" fillId="0" borderId="1" xfId="0" applyBorder="1" applyAlignment="1">
      <alignment horizontal="center" wrapText="1"/>
    </xf>
    <xf numFmtId="166" fontId="0" fillId="0" borderId="0" xfId="1" applyNumberFormat="1" applyFont="1"/>
    <xf numFmtId="9" fontId="0" fillId="0" borderId="0" xfId="0" applyNumberFormat="1"/>
    <xf numFmtId="166" fontId="0" fillId="0" borderId="0" xfId="0" applyNumberFormat="1" applyAlignment="1">
      <alignment horizontal="right"/>
    </xf>
    <xf numFmtId="166" fontId="0" fillId="0" borderId="2" xfId="1" applyNumberFormat="1" applyFont="1" applyBorder="1"/>
    <xf numFmtId="166" fontId="0" fillId="0" borderId="3" xfId="0" applyNumberFormat="1" applyBorder="1"/>
    <xf numFmtId="166" fontId="0" fillId="0" borderId="3" xfId="1" applyNumberFormat="1" applyFont="1" applyBorder="1"/>
    <xf numFmtId="166" fontId="0" fillId="0" borderId="4" xfId="0" applyNumberFormat="1" applyBorder="1"/>
    <xf numFmtId="166" fontId="0" fillId="0" borderId="2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10" xfId="0" applyNumberFormat="1" applyBorder="1"/>
    <xf numFmtId="165" fontId="0" fillId="0" borderId="5" xfId="1" applyFont="1" applyBorder="1"/>
    <xf numFmtId="0" fontId="0" fillId="0" borderId="4" xfId="0" applyBorder="1" applyAlignment="1">
      <alignment horizontal="center" wrapText="1"/>
    </xf>
    <xf numFmtId="166" fontId="0" fillId="0" borderId="11" xfId="0" applyNumberFormat="1" applyBorder="1"/>
    <xf numFmtId="166" fontId="0" fillId="0" borderId="12" xfId="0" applyNumberFormat="1" applyBorder="1"/>
    <xf numFmtId="166" fontId="0" fillId="0" borderId="13" xfId="0" applyNumberFormat="1" applyBorder="1"/>
    <xf numFmtId="0" fontId="0" fillId="0" borderId="7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6" fontId="2" fillId="0" borderId="0" xfId="0" applyNumberFormat="1" applyFont="1"/>
    <xf numFmtId="166" fontId="2" fillId="0" borderId="14" xfId="0" applyNumberFormat="1" applyFont="1" applyBorder="1"/>
    <xf numFmtId="166" fontId="2" fillId="0" borderId="1" xfId="0" applyNumberFormat="1" applyFont="1" applyBorder="1"/>
    <xf numFmtId="166" fontId="2" fillId="0" borderId="9" xfId="0" applyNumberFormat="1" applyFont="1" applyBorder="1"/>
    <xf numFmtId="166" fontId="2" fillId="0" borderId="8" xfId="0" applyNumberFormat="1" applyFont="1" applyBorder="1"/>
    <xf numFmtId="0" fontId="2" fillId="0" borderId="0" xfId="0" applyFont="1"/>
    <xf numFmtId="0" fontId="0" fillId="0" borderId="4" xfId="0" applyBorder="1"/>
    <xf numFmtId="0" fontId="2" fillId="0" borderId="3" xfId="0" applyFont="1" applyBorder="1"/>
    <xf numFmtId="0" fontId="0" fillId="0" borderId="0" xfId="0" applyAlignment="1">
      <alignment horizontal="center" wrapText="1"/>
    </xf>
    <xf numFmtId="167" fontId="0" fillId="0" borderId="0" xfId="0" applyNumberFormat="1"/>
    <xf numFmtId="167" fontId="0" fillId="0" borderId="1" xfId="0" applyNumberFormat="1" applyBorder="1"/>
    <xf numFmtId="9" fontId="0" fillId="0" borderId="8" xfId="0" applyNumberFormat="1" applyBorder="1"/>
    <xf numFmtId="2" fontId="0" fillId="0" borderId="0" xfId="1" applyNumberFormat="1" applyFont="1" applyBorder="1"/>
    <xf numFmtId="0" fontId="0" fillId="0" borderId="0" xfId="0" applyAlignment="1">
      <alignment horizontal="left" indent="1"/>
    </xf>
    <xf numFmtId="0" fontId="0" fillId="0" borderId="3" xfId="0" applyBorder="1" applyAlignment="1">
      <alignment horizontal="left" indent="1"/>
    </xf>
    <xf numFmtId="166" fontId="0" fillId="0" borderId="4" xfId="1" applyNumberFormat="1" applyFont="1" applyBorder="1"/>
    <xf numFmtId="10" fontId="0" fillId="0" borderId="0" xfId="3" applyNumberFormat="1" applyFont="1" applyBorder="1"/>
    <xf numFmtId="10" fontId="0" fillId="0" borderId="0" xfId="3" applyNumberFormat="1" applyFont="1"/>
    <xf numFmtId="0" fontId="0" fillId="3" borderId="0" xfId="0" applyFill="1"/>
    <xf numFmtId="168" fontId="0" fillId="0" borderId="0" xfId="0" applyNumberFormat="1"/>
    <xf numFmtId="168" fontId="6" fillId="0" borderId="0" xfId="4" applyNumberFormat="1" applyFill="1"/>
    <xf numFmtId="9" fontId="0" fillId="0" borderId="0" xfId="3" applyFont="1"/>
    <xf numFmtId="168" fontId="0" fillId="4" borderId="0" xfId="0" applyNumberFormat="1" applyFill="1"/>
    <xf numFmtId="164" fontId="0" fillId="0" borderId="0" xfId="0" applyNumberFormat="1"/>
    <xf numFmtId="165" fontId="0" fillId="0" borderId="0" xfId="1" applyFont="1" applyFill="1"/>
    <xf numFmtId="9" fontId="0" fillId="0" borderId="0" xfId="3" applyFont="1" applyFill="1"/>
    <xf numFmtId="10" fontId="0" fillId="0" borderId="0" xfId="3" applyNumberFormat="1" applyFont="1" applyFill="1"/>
    <xf numFmtId="10" fontId="0" fillId="0" borderId="0" xfId="0" applyNumberFormat="1"/>
    <xf numFmtId="0" fontId="7" fillId="0" borderId="0" xfId="0" applyFont="1"/>
    <xf numFmtId="168" fontId="8" fillId="0" borderId="0" xfId="0" applyNumberFormat="1" applyFont="1"/>
    <xf numFmtId="165" fontId="1" fillId="0" borderId="0" xfId="0" applyNumberFormat="1" applyFont="1"/>
    <xf numFmtId="168" fontId="0" fillId="0" borderId="0" xfId="1" applyNumberFormat="1" applyFont="1" applyFill="1" applyBorder="1"/>
    <xf numFmtId="0" fontId="2" fillId="0" borderId="1" xfId="0" applyFont="1" applyBorder="1"/>
    <xf numFmtId="169" fontId="0" fillId="0" borderId="0" xfId="0" applyNumberFormat="1"/>
    <xf numFmtId="169" fontId="0" fillId="0" borderId="1" xfId="0" applyNumberFormat="1" applyBorder="1"/>
    <xf numFmtId="165" fontId="0" fillId="0" borderId="1" xfId="1" applyFont="1" applyFill="1" applyBorder="1"/>
    <xf numFmtId="168" fontId="0" fillId="0" borderId="1" xfId="0" applyNumberFormat="1" applyBorder="1"/>
    <xf numFmtId="165" fontId="0" fillId="0" borderId="0" xfId="0" applyNumberFormat="1"/>
    <xf numFmtId="2" fontId="0" fillId="0" borderId="0" xfId="0" applyNumberFormat="1"/>
    <xf numFmtId="0" fontId="0" fillId="5" borderId="0" xfId="0" applyFill="1"/>
  </cellXfs>
  <cellStyles count="5">
    <cellStyle name="Currency" xfId="1" builtinId="4"/>
    <cellStyle name="Neutral 2" xfId="4" xr:uid="{18178E48-A7C5-42F9-A282-3468A8ACBBD9}"/>
    <cellStyle name="Normal" xfId="0" builtinId="0"/>
    <cellStyle name="Normal 2" xfId="2" xr:uid="{A48382F4-9ED7-421B-B70E-BCC7BB03B3D5}"/>
    <cellStyle name="Percent" xfId="3" builtinId="5"/>
  </cellStyles>
  <dxfs count="148"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8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</dxf>
    <dxf>
      <numFmt numFmtId="168" formatCode="&quot;$&quot;#,##0.00"/>
    </dxf>
    <dxf>
      <numFmt numFmtId="168" formatCode="&quot;$&quot;#,##0.00"/>
    </dxf>
    <dxf>
      <numFmt numFmtId="168" formatCode="&quot;$&quot;#,##0.00"/>
    </dxf>
    <dxf>
      <numFmt numFmtId="14" formatCode="0.00%"/>
    </dxf>
    <dxf>
      <numFmt numFmtId="14" formatCode="0.00%"/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</dxf>
    <dxf>
      <numFmt numFmtId="168" formatCode="&quot;$&quot;#,##0.00"/>
    </dxf>
    <dxf>
      <numFmt numFmtId="168" formatCode="&quot;$&quot;#,##0.00"/>
      <fill>
        <patternFill patternType="solid">
          <fgColor indexed="64"/>
          <bgColor rgb="FFFFFF00"/>
        </patternFill>
      </fill>
    </dxf>
    <dxf>
      <numFmt numFmtId="168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4" formatCode="0.00%"/>
    </dxf>
    <dxf>
      <numFmt numFmtId="168" formatCode="&quot;$&quot;#,##0.00"/>
    </dxf>
    <dxf>
      <numFmt numFmtId="168" formatCode="&quot;$&quot;#,##0.00"/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auto="1"/>
        </patternFill>
      </fill>
    </dxf>
    <dxf>
      <numFmt numFmtId="168" formatCode="&quot;$&quot;#,##0.00"/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  <dxf>
      <numFmt numFmtId="168" formatCode="&quot;$&quot;#,##0.00"/>
      <fill>
        <patternFill patternType="none">
          <fgColor indexed="64"/>
          <bgColor indexed="65"/>
        </patternFill>
      </fill>
    </dxf>
    <dxf>
      <numFmt numFmtId="168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891540</xdr:colOff>
      <xdr:row>70</xdr:row>
      <xdr:rowOff>15216</xdr:rowOff>
    </xdr:from>
    <xdr:to>
      <xdr:col>4</xdr:col>
      <xdr:colOff>1036320</xdr:colOff>
      <xdr:row>70</xdr:row>
      <xdr:rowOff>159996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412472-1F11-4872-80B5-40FEA0B01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9540" y="12816816"/>
          <a:ext cx="144780" cy="144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891540</xdr:colOff>
      <xdr:row>70</xdr:row>
      <xdr:rowOff>15216</xdr:rowOff>
    </xdr:from>
    <xdr:to>
      <xdr:col>4</xdr:col>
      <xdr:colOff>1036320</xdr:colOff>
      <xdr:row>70</xdr:row>
      <xdr:rowOff>159996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7F5BD2-D636-47E6-9AA4-CB4EC312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9540" y="12816816"/>
          <a:ext cx="144780" cy="1447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CEAE0E-54E0-44E2-94D1-F13A7ED3E400}" name="Table113" displayName="Table113" ref="A1:L69" totalsRowCount="1">
  <autoFilter ref="A1:L68" xr:uid="{00000000-0009-0000-0100-000001000000}"/>
  <tableColumns count="12">
    <tableColumn id="1" xr3:uid="{6747A0FD-DF99-4CAE-B45D-6030B1AF61C0}" name="Payee (Counties)" totalsRowLabel="Totals"/>
    <tableColumn id="12" xr3:uid="{D153ED9F-062B-44E7-8957-5B0F3E7C3E65}" name="Unique ID"/>
    <tableColumn id="2" xr3:uid="{27928D45-6D1C-4EE1-8E91-D3A5AFA0E6C4}" name="County Payment" totalsRowFunction="custom" dataDxfId="147" totalsRowDxfId="146">
      <totalsRowFormula>SUM(Table113[County Payment])</totalsRowFormula>
    </tableColumn>
    <tableColumn id="10" xr3:uid="{9800475D-25F7-4A45-830F-54F493702ED8}" name="MNK County Payment" totalsRowFunction="custom" dataDxfId="145" totalsRowDxfId="144">
      <totalsRowFormula>SUM(Table113[MNK County Payment])</totalsRowFormula>
    </tableColumn>
    <tableColumn id="3" xr3:uid="{3FFA2EC4-9E7E-4339-8872-95F1EDA006CD}" name="Dist Litigating" totalsRowFunction="custom" dataDxfId="143" totalsRowDxfId="142">
      <totalsRowFormula>SUM(E2:E68)</totalsRowFormula>
    </tableColumn>
    <tableColumn id="4" xr3:uid="{7122B628-65B6-460C-9ED9-28B16C4011D3}" name="JJ Litigating" totalsRowFunction="custom" dataDxfId="141" totalsRowDxfId="140">
      <totalsRowFormula>SUM(F2:F68)</totalsRowFormula>
    </tableColumn>
    <tableColumn id="5" xr3:uid="{A49C7140-2F40-440E-BC01-63CEC10FBE89}" name="Dist Bellwether" totalsRowFunction="custom" dataDxfId="139" totalsRowDxfId="138">
      <totalsRowFormula>SUM(G2:G68)</totalsRowFormula>
    </tableColumn>
    <tableColumn id="6" xr3:uid="{D468A197-5DF0-41BC-BE2B-58DD4E0C07D2}" name="JJ Bellwether" totalsRowFunction="custom" dataDxfId="137" totalsRowDxfId="136">
      <totalsRowFormula>SUM(H2:H68)</totalsRowFormula>
    </tableColumn>
    <tableColumn id="9" xr3:uid="{79843C5D-4F10-4B94-8B1B-D023F095DCDC}" name="MNK Litigating Payment" totalsRowFunction="custom" dataDxfId="135" totalsRowDxfId="134">
      <totalsRowFormula>SUM(I2:I68)</totalsRowFormula>
    </tableColumn>
    <tableColumn id="11" xr3:uid="{04669AE5-DAD8-427B-9120-F0453A78815D}" name="MNK Bellwether " totalsRowFunction="custom" dataDxfId="133" totalsRowDxfId="132">
      <totalsRowFormula>SUM(J2:J68)</totalsRowFormula>
    </tableColumn>
    <tableColumn id="7" xr3:uid="{884A21EF-77A9-4326-965F-0B2581FC1411}" name="Reductions/ COPA Bonus" dataDxfId="131" totalsRowDxfId="130"/>
    <tableColumn id="8" xr3:uid="{B648BFB3-F44E-44F6-AA7D-D15DA605EC99}" name="Total Payment 4" totalsRowFunction="custom" dataDxfId="129" totalsRowDxfId="128">
      <calculatedColumnFormula>SUM(Table113[[#This Row],[County Payment]:[Reductions/ COPA Bonus]])</calculatedColumnFormula>
      <totalsRowFormula>SUM(L2:L68)</totalsRowFormula>
    </tableColumn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2387774-19D1-4E6E-A6AC-3B46EDD13024}" name="Table81911" displayName="Table81911" ref="A125:I127" totalsRowShown="0" headerRowDxfId="7">
  <autoFilter ref="A125:I127" xr:uid="{00000000-0009-0000-0100-000008000000}"/>
  <tableColumns count="9">
    <tableColumn id="1" xr3:uid="{1B132115-D5F3-428B-BDB6-0924106143AF}" name="Cost/Fees"/>
    <tableColumn id="2" xr3:uid="{3BFF5C93-D5D4-40E2-9314-13D3D7CFF0CA}" name="Unique ID"/>
    <tableColumn id="3" xr3:uid="{AF7608A2-3657-4CBF-B7F3-878CFC49A5C5}" name="Attorney/Admin Costs" dataDxfId="6"/>
    <tableColumn id="4" xr3:uid="{8AAB0645-5E2D-4BC8-A031-8A990EB9F409}" name="Dist Atty Fees" dataDxfId="5"/>
    <tableColumn id="5" xr3:uid="{A14B6C88-2491-427A-AA4D-654F41A634F2}" name="JJ Atty Fees" dataDxfId="4"/>
    <tableColumn id="6" xr3:uid="{4A5D0682-10CC-4724-9734-63E17014E635}" name="Total Payment 4" dataDxfId="3"/>
    <tableColumn id="7" xr3:uid="{D78E1B16-2D01-4C83-A9AE-391E96D387E6}" name="Percentage of Total" dataDxfId="2">
      <calculatedColumnFormula>+Table81911[[#This Row],[Total Payment 4]]/86374268.64</calculatedColumnFormula>
    </tableColumn>
    <tableColumn id="8" xr3:uid="{055EC4B5-C1A0-4DDF-9824-DCA8CCBB30CC}" name="Interest" dataDxfId="1">
      <calculatedColumnFormula>4660*Table81911[[#This Row],[Percentage of Total]]</calculatedColumnFormula>
    </tableColumn>
    <tableColumn id="9" xr3:uid="{957B5D96-646D-4857-854A-6EAD18861749}" name="Payment with Interest" dataDxfId="0">
      <calculatedColumnFormula>+Table81911[[#This Row],[Total Payment 4]]+Table81911[[#This Row],[Interest]]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417208-5C0D-4487-ACFE-EFF25E4C9A4B}" name="Table215" displayName="Table215" ref="A72:I83" totalsRowCount="1">
  <autoFilter ref="A72:I82" xr:uid="{00000000-0009-0000-0100-000002000000}"/>
  <sortState ref="A73:I82">
    <sortCondition ref="B72:B82"/>
  </sortState>
  <tableColumns count="9">
    <tableColumn id="1" xr3:uid="{4A8729C9-4304-4282-BE40-F48E5FD668A8}" name="Payee (DAs)" totalsRowLabel="Totals"/>
    <tableColumn id="7" xr3:uid="{E7526DD5-9107-44E3-BCCD-CC34BFB5C320}" name="Unique ID"/>
    <tableColumn id="3" xr3:uid="{133E0AAA-4DCB-4D5D-8816-035A6D323E66}" name="Dist Litigating" totalsRowFunction="custom" dataDxfId="127" totalsRowDxfId="126">
      <totalsRowFormula>SUM(C73:C82)</totalsRowFormula>
    </tableColumn>
    <tableColumn id="4" xr3:uid="{7146C95C-A37E-4471-88AC-3DF09C92556A}" name="JJ Litigating" totalsRowFunction="custom" dataDxfId="125" totalsRowDxfId="124">
      <totalsRowFormula>SUM(D73:D82)</totalsRowFormula>
    </tableColumn>
    <tableColumn id="5" xr3:uid="{F9EAB80D-9B76-40B7-8196-01E413D58AA6}" name="Dist Bellweather" dataDxfId="123" totalsRowDxfId="122"/>
    <tableColumn id="6" xr3:uid="{BC0FC642-29B6-4584-B2BB-3C106692CEE9}" name="JJ Bellwether" dataDxfId="121" totalsRowDxfId="120"/>
    <tableColumn id="9" xr3:uid="{EB3D6442-501F-47CF-892A-6D1D5760F603}" name="MNK Litigating" totalsRowFunction="custom" dataDxfId="119" totalsRowDxfId="118">
      <totalsRowFormula>SUM(G73:G82)</totalsRowFormula>
    </tableColumn>
    <tableColumn id="10" xr3:uid="{C2470770-3B2B-4870-80B9-28C40FB375C9}" name="MNK Bellwether" totalsRowFunction="custom" dataDxfId="117" totalsRowDxfId="116">
      <totalsRowFormula>SUM(H73:H82)</totalsRowFormula>
    </tableColumn>
    <tableColumn id="8" xr3:uid="{D1DEA88C-4024-4B89-85F2-33FD17F858AA}" name="Total Payment 4" totalsRowFunction="custom" dataDxfId="115" totalsRowDxfId="114">
      <calculatedColumnFormula>SUM(Table215[[#This Row],[Dist Litigating]:[MNK Bellwether]])</calculatedColumnFormula>
      <totalsRowFormula>SUM(I73:I82)</totalsRow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07621F-4C50-4610-8217-E603FF30DC98}" name="Table317" displayName="Table317" ref="A85:F122" totalsRowCount="1">
  <autoFilter ref="A85:F121" xr:uid="{00000000-0009-0000-0100-000003000000}"/>
  <tableColumns count="6">
    <tableColumn id="1" xr3:uid="{F9566E14-4409-43F1-9B02-B83226221F5F}" name="Payee (Subdivisions)"/>
    <tableColumn id="6" xr3:uid="{A35FCE91-6CD3-45D4-A5C8-8AAF44A36D18}" name="Unique ID" dataCellStyle="Normal"/>
    <tableColumn id="3" xr3:uid="{CCA22DA3-4547-426D-BF95-641D7FBDC579}" name="Dist Litigating" totalsRowFunction="custom" dataDxfId="113" totalsRowDxfId="112">
      <totalsRowFormula>SUM(C86:C121)</totalsRowFormula>
    </tableColumn>
    <tableColumn id="4" xr3:uid="{8F6736B1-C47C-419F-8D1B-679B337F0C68}" name="JJ Litigating" totalsRowFunction="custom" dataDxfId="111" totalsRowDxfId="110">
      <totalsRowFormula>SUM(D86:D121)</totalsRowFormula>
    </tableColumn>
    <tableColumn id="5" xr3:uid="{C2872553-2E45-4E6B-846D-32D426FF59A1}" name="MNK Litigating" totalsRowFunction="custom" dataDxfId="109" totalsRowDxfId="108">
      <totalsRowFormula>SUM(E86:E121)</totalsRowFormula>
    </tableColumn>
    <tableColumn id="8" xr3:uid="{09CA729F-B78D-41D9-9CB3-A8AF86D1F12E}" name="Total Payment 4" totalsRowFunction="custom" dataDxfId="107" totalsRowDxfId="106">
      <calculatedColumnFormula>SUM(Table317[[#This Row],[Dist Litigating]:[MNK Litigating]])</calculatedColumnFormula>
      <totalsRowFormula>SUM(F86:F121)</totalsRow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B05624A-5350-403E-A267-AB9B4A9A09E3}" name="Table718" displayName="Table718" ref="A124:G126" totalsRowCount="1">
  <autoFilter ref="A124:G125" xr:uid="{00000000-0009-0000-0100-000007000000}"/>
  <tableColumns count="7">
    <tableColumn id="1" xr3:uid="{87DC7119-B470-49E1-864D-87957647E0DA}" name="Payee (COPA)"/>
    <tableColumn id="2" xr3:uid="{737B4C6A-44D8-4622-9769-B691F8370B4D}" name="Unique ID"/>
    <tableColumn id="3" xr3:uid="{96D154AC-F0A9-4A46-9332-F1511746313A}" name="Dist Payment" dataDxfId="105" totalsRowDxfId="104">
      <calculatedColumnFormula>5772983.2062805+0.01</calculatedColumnFormula>
    </tableColumn>
    <tableColumn id="4" xr3:uid="{743F1909-0E73-4C11-9B6D-BD9D08712526}" name="JJ Payment" dataDxfId="103" totalsRowDxfId="102">
      <calculatedColumnFormula>5455801.02735089+0.01</calculatedColumnFormula>
    </tableColumn>
    <tableColumn id="5" xr3:uid="{5888ECE0-736E-4C3F-8315-8B51062F676D}" name="MNK Payment" dataDxfId="101" totalsRowDxfId="100" dataCellStyle="Currency"/>
    <tableColumn id="6" xr3:uid="{B73A23CF-0EC7-49ED-B385-384BB8C58E17}" name=" " dataDxfId="99" totalsRowDxfId="98"/>
    <tableColumn id="7" xr3:uid="{64D170DC-D457-4EEC-8842-1848167EF599}" name="Total Payment 4" dataDxfId="97" totalsRowDxfId="96">
      <calculatedColumnFormula>SUM(Table718[[Dist Payment]:[MNK Payment]])</calculatedColumn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C2F709D-83AA-45B4-99E5-9B7D3C94A432}" name="Table819" displayName="Table819" ref="A127:F129" totalsRowShown="0" headerRowDxfId="95">
  <autoFilter ref="A127:F129" xr:uid="{00000000-0009-0000-0100-000008000000}"/>
  <tableColumns count="6">
    <tableColumn id="1" xr3:uid="{BD621713-419F-42C8-A894-215BFDC5D69D}" name="Cost/Fees"/>
    <tableColumn id="2" xr3:uid="{6D4422CE-D0D8-439F-9BEE-2D563D96BDFF}" name="Unique ID"/>
    <tableColumn id="3" xr3:uid="{A1BFB0D7-5915-40C3-BABB-E6E1756CD2B6}" name="Attorney/Admin Costs" dataDxfId="94"/>
    <tableColumn id="4" xr3:uid="{3E7D5B83-769E-4D33-A218-1F851281763C}" name="Dist Atty Fees" dataDxfId="93"/>
    <tableColumn id="5" xr3:uid="{91FAFABC-C190-4641-A76B-699490D994AC}" name="JJ Atty Fees" dataDxfId="92"/>
    <tableColumn id="6" xr3:uid="{19DC2D0A-36E6-4928-B1FD-93D944B39317}" name="Total Payment 4" dataDxfId="91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0847437-AE00-4637-91DC-C685B1B3A514}" name="Table1137" displayName="Table1137" ref="A1:P69" totalsRowCount="1">
  <autoFilter ref="A1:P68" xr:uid="{00000000-0009-0000-0100-000001000000}"/>
  <tableColumns count="16">
    <tableColumn id="1" xr3:uid="{EB4A327A-13B4-4699-9ECB-61175AE32FA1}" name="Payee (Counties)" totalsRowLabel="Totals"/>
    <tableColumn id="12" xr3:uid="{98F10F35-C5EE-461D-921C-4A69BA232267}" name="Unique ID"/>
    <tableColumn id="2" xr3:uid="{ECC15BB0-3EFA-4E50-B1E5-D44AB91CDBCA}" name="County Payment" totalsRowFunction="custom" dataDxfId="90" totalsRowDxfId="89">
      <totalsRowFormula>SUM(Table1137[County Payment])</totalsRowFormula>
    </tableColumn>
    <tableColumn id="10" xr3:uid="{9EE52EA6-345A-40C9-B0F4-562DED703AB0}" name="MNK County Payment" totalsRowFunction="custom" dataDxfId="88" totalsRowDxfId="87">
      <totalsRowFormula>SUM(Table1137[MNK County Payment])</totalsRowFormula>
    </tableColumn>
    <tableColumn id="3" xr3:uid="{34797DEF-8B70-4E78-83D9-A3420B96C9E7}" name="Dist Litigating" totalsRowFunction="custom" dataDxfId="86" totalsRowDxfId="85">
      <totalsRowFormula>SUM(E2:E68)</totalsRowFormula>
    </tableColumn>
    <tableColumn id="4" xr3:uid="{2CEA66B0-2D1C-45E6-BC8C-2E6EB4625F21}" name="JJ Litigating" totalsRowFunction="custom" dataDxfId="84" totalsRowDxfId="83">
      <totalsRowFormula>SUM(F2:F68)</totalsRowFormula>
    </tableColumn>
    <tableColumn id="5" xr3:uid="{882EDEF4-8E76-444B-9402-9B69BCA86F63}" name="Dist Bellwether" totalsRowFunction="custom" dataDxfId="82" totalsRowDxfId="81">
      <totalsRowFormula>SUM(G2:G68)</totalsRowFormula>
    </tableColumn>
    <tableColumn id="6" xr3:uid="{178F4C31-5ECC-443F-9D84-CDC79B9BEBC8}" name="JJ Bellwether" totalsRowFunction="custom" dataDxfId="80" totalsRowDxfId="79">
      <totalsRowFormula>SUM(H2:H68)</totalsRowFormula>
    </tableColumn>
    <tableColumn id="9" xr3:uid="{B3BECA66-9DE2-4928-B0EF-21A6DD6958C9}" name="MNK Litigating Payment" totalsRowFunction="custom" dataDxfId="78" totalsRowDxfId="77">
      <totalsRowFormula>SUM(I2:I68)</totalsRowFormula>
    </tableColumn>
    <tableColumn id="11" xr3:uid="{AA9DE079-A580-4230-A3A0-B1205B05AF23}" name="MNK Bellwether " totalsRowFunction="custom" dataDxfId="76" totalsRowDxfId="75">
      <totalsRowFormula>SUM(J2:J68)</totalsRowFormula>
    </tableColumn>
    <tableColumn id="7" xr3:uid="{EE71B4DB-8756-4E77-8B7D-DB86A2BAE49A}" name="Reductions/ COPA Bonus" dataDxfId="74" totalsRowDxfId="73"/>
    <tableColumn id="8" xr3:uid="{0E693F2E-556E-43E9-8C63-ED3532C91CE7}" name="Total Payment 4" totalsRowFunction="custom" dataDxfId="72" totalsRowDxfId="71">
      <calculatedColumnFormula>SUM(Table1137[[#This Row],[County Payment]:[Reductions/ COPA Bonus]])</calculatedColumnFormula>
      <totalsRowFormula>SUM(L2:L68)</totalsRowFormula>
    </tableColumn>
    <tableColumn id="15" xr3:uid="{61997657-A859-4200-ABD5-23E3912711D0}" name="Total Payment  Less MNK" totalsRowFunction="custom" dataDxfId="70" totalsRowDxfId="69">
      <calculatedColumnFormula>+Table1137[[#This Row],[Total Payment 4]]-Table1137[[#This Row],[MNK Litigating Payment]]-Table1137[[#This Row],[MNK County Payment]]</calculatedColumnFormula>
      <totalsRowFormula>SUM(M2:M68)</totalsRowFormula>
    </tableColumn>
    <tableColumn id="16" xr3:uid="{D73B7589-4211-46ED-83B9-D0BE3BB89E95}" name="Percentage of Total" totalsRowFunction="custom" dataDxfId="68" totalsRowDxfId="67" dataCellStyle="Percent" totalsRowCellStyle="Percent">
      <calculatedColumnFormula>+Table1137[[#This Row],[Total Payment  Less MNK]]/86374268.64</calculatedColumnFormula>
      <totalsRowFormula>SUM(N2:N68)</totalsRowFormula>
    </tableColumn>
    <tableColumn id="13" xr3:uid="{A58DC08C-B71B-4780-8F36-6892D80A7970}" name="Interest" totalsRowFunction="custom" dataDxfId="66" totalsRowDxfId="65">
      <calculatedColumnFormula>+Table1137[[#This Row],[Percentage of Total]]*4660</calculatedColumnFormula>
      <totalsRowFormula>SUM(O2:O68)</totalsRowFormula>
    </tableColumn>
    <tableColumn id="14" xr3:uid="{C5ED19E4-3D6D-482A-9DA2-2C01FD9919E6}" name="Payment with Interest" totalsRowFunction="custom" dataDxfId="64" totalsRowDxfId="63">
      <calculatedColumnFormula>+Table1137[[#This Row],[Total Payment 4]]+Table1137[[#This Row],[Interest]]</calculatedColumnFormula>
      <totalsRowFormula>SUM(P2:P68)</totalsRow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F9CDECA-1E80-4FA0-B044-D9CC5910892F}" name="Table2158" displayName="Table2158" ref="A72:M83" totalsRowCount="1">
  <autoFilter ref="A72:M82" xr:uid="{00000000-0009-0000-0100-000002000000}"/>
  <sortState ref="A73:I82">
    <sortCondition ref="B72:B82"/>
  </sortState>
  <tableColumns count="13">
    <tableColumn id="1" xr3:uid="{1C970798-5F71-4A60-994E-56411AAA0551}" name="Payee (DAs)" totalsRowLabel="Totals"/>
    <tableColumn id="7" xr3:uid="{448397E2-DAC4-4882-B879-DC89C6DAE90E}" name="Unique ID"/>
    <tableColumn id="3" xr3:uid="{8DBA2BE5-9A4A-4971-883B-10EFEE7A56D7}" name="Dist Litigating" totalsRowFunction="custom" dataDxfId="62" totalsRowDxfId="61">
      <totalsRowFormula>SUM(C73:C82)</totalsRowFormula>
    </tableColumn>
    <tableColumn id="4" xr3:uid="{AE0EB38F-4FDA-40FA-AB85-3ADD0854713B}" name="JJ Litigating" totalsRowFunction="custom" dataDxfId="60" totalsRowDxfId="59">
      <totalsRowFormula>SUM(D73:D82)</totalsRowFormula>
    </tableColumn>
    <tableColumn id="5" xr3:uid="{67092B53-B309-46CA-942D-3E08D8522E48}" name="Dist Bellweather" dataDxfId="58" totalsRowDxfId="57"/>
    <tableColumn id="6" xr3:uid="{7A547E16-8479-48B5-AAF4-5516B4AED0CE}" name="JJ Bellwether" dataDxfId="56" totalsRowDxfId="55"/>
    <tableColumn id="9" xr3:uid="{02EC43BF-5754-475F-8EE8-1564AEC0E5A7}" name="MNK Litigating" totalsRowFunction="custom" dataDxfId="54" totalsRowDxfId="53">
      <totalsRowFormula>SUM(G73:G82)</totalsRowFormula>
    </tableColumn>
    <tableColumn id="10" xr3:uid="{4D7020C5-4AB3-4C70-8FE8-9575998E5953}" name="MNK Bellwether" totalsRowFunction="custom" dataDxfId="52" totalsRowDxfId="51">
      <totalsRowFormula>SUM(H73:H82)</totalsRowFormula>
    </tableColumn>
    <tableColumn id="8" xr3:uid="{C1A77177-8930-4E01-8F2E-4A51080A271E}" name="Total Payment 4" totalsRowFunction="custom" dataDxfId="50" totalsRowDxfId="49">
      <calculatedColumnFormula>SUM(Table2158[[#This Row],[Dist Litigating]:[MNK Bellwether]])</calculatedColumnFormula>
      <totalsRowFormula>SUM(I73:I82)</totalsRowFormula>
    </tableColumn>
    <tableColumn id="2" xr3:uid="{349EA0A9-9CA4-4337-99FB-E5B59EAFD52A}" name="Total Payment less MNK" totalsRowFunction="custom" dataDxfId="48" totalsRowDxfId="47">
      <calculatedColumnFormula>+Table2158[[#This Row],[Total Payment 4]]-Table2158[[#This Row],[MNK Litigating]]-Table2158[[#This Row],[MNK Bellwether]]</calculatedColumnFormula>
      <totalsRowFormula>SUM(J73:J82)</totalsRowFormula>
    </tableColumn>
    <tableColumn id="11" xr3:uid="{EDFE0D0B-26AA-4F2E-9F02-2892D77E5A8E}" name="Percentage of Total" totalsRowFunction="custom" dataDxfId="46" totalsRowDxfId="45" dataCellStyle="Percent">
      <calculatedColumnFormula>+Table2158[[#This Row],[Total Payment less MNK]]/86374268.64</calculatedColumnFormula>
      <totalsRowFormula>SUM(K73:K82)</totalsRowFormula>
    </tableColumn>
    <tableColumn id="12" xr3:uid="{FA5F16E3-8732-4FA2-BD14-05F8B15432B4}" name="Interest" totalsRowFunction="custom" dataDxfId="44" totalsRowDxfId="43">
      <calculatedColumnFormula>+Table2158[[#This Row],[Percentage of Total]]*4660</calculatedColumnFormula>
      <totalsRowFormula>SUM(L73:L82)</totalsRowFormula>
    </tableColumn>
    <tableColumn id="13" xr3:uid="{4E93C89F-750A-4350-B4DD-6711BDF757B6}" name="Payment with Interest" totalsRowFunction="custom" dataDxfId="42" totalsRowDxfId="41">
      <calculatedColumnFormula>+Table2158[[#This Row],[Total Payment 4]]+Table2158[[#This Row],[Interest]]</calculatedColumnFormula>
      <totalsRowFormula>SUM(M73:M82)</totalsRowFormula>
    </tableColumn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89583CF-10DC-4F09-9B18-A15E75643CCB}" name="Table3179" displayName="Table3179" ref="A84:J121" totalsRowCount="1">
  <autoFilter ref="A84:J120" xr:uid="{00000000-0009-0000-0100-000003000000}"/>
  <tableColumns count="10">
    <tableColumn id="1" xr3:uid="{B1BF55C6-DA13-4599-8DF9-F5A51C2C9B90}" name="Payee (Subdivisions)"/>
    <tableColumn id="6" xr3:uid="{483EA24C-2350-41CC-A04F-DDDD2C8CAAAE}" name="Unique ID" dataCellStyle="Normal"/>
    <tableColumn id="3" xr3:uid="{AB751513-7097-422D-98DC-B7899872CA5D}" name="Dist Litigating" totalsRowFunction="custom" dataDxfId="40" totalsRowDxfId="39">
      <totalsRowFormula>SUM(C85:C120)</totalsRowFormula>
    </tableColumn>
    <tableColumn id="4" xr3:uid="{76F52767-43F7-48AC-AB3E-3B235F838290}" name="JJ Litigating" totalsRowFunction="custom" dataDxfId="38" totalsRowDxfId="37">
      <totalsRowFormula>SUM(D85:D120)</totalsRowFormula>
    </tableColumn>
    <tableColumn id="5" xr3:uid="{78A31B16-421C-4F1B-B940-95A8A77B64BF}" name="MNK Litigating" totalsRowFunction="custom" dataDxfId="36" totalsRowDxfId="35">
      <totalsRowFormula>SUM(E85:E120)</totalsRowFormula>
    </tableColumn>
    <tableColumn id="8" xr3:uid="{4380DCC2-90B2-4FB0-B151-19E8D186A483}" name="Total Payment 4" totalsRowFunction="custom" dataDxfId="34" totalsRowDxfId="33">
      <calculatedColumnFormula>SUM(Table3179[[#This Row],[Dist Litigating]:[MNK Litigating]])</calculatedColumnFormula>
      <totalsRowFormula>SUM(F85:F120)</totalsRowFormula>
    </tableColumn>
    <tableColumn id="2" xr3:uid="{65E09A76-7DA3-47B2-A553-F34C4457529C}" name="Total Payment less MNK" totalsRowFunction="custom" dataDxfId="32" totalsRowDxfId="31">
      <calculatedColumnFormula>+Table3179[[#This Row],[Total Payment 4]]-Table3179[[#This Row],[MNK Litigating]]</calculatedColumnFormula>
      <totalsRowFormula>SUM(G85:G120)</totalsRowFormula>
    </tableColumn>
    <tableColumn id="7" xr3:uid="{1250F04B-049D-496B-84A8-2A9B88E77B0A}" name="Percentage of Total" totalsRowFunction="custom" dataDxfId="30" totalsRowDxfId="29" dataCellStyle="Percent">
      <calculatedColumnFormula>+Table3179[[#This Row],[Total Payment less MNK]]/86374268.64</calculatedColumnFormula>
      <totalsRowFormula>SUM(H85:H120)</totalsRowFormula>
    </tableColumn>
    <tableColumn id="9" xr3:uid="{4CB5443A-1E9F-4D76-88E1-805F0BA581D3}" name="Interest" totalsRowFunction="custom" dataDxfId="28" totalsRowDxfId="27">
      <calculatedColumnFormula>4660*Table3179[[#This Row],[Percentage of Total]]</calculatedColumnFormula>
      <totalsRowFormula>SUM(I85:I120)</totalsRowFormula>
    </tableColumn>
    <tableColumn id="10" xr3:uid="{DA0260F8-7852-48D5-B6D0-389D829A5C8D}" name="Payment with Interest" totalsRowFunction="custom" dataDxfId="26" totalsRowDxfId="25">
      <calculatedColumnFormula>+Table3179[[#This Row],[Total Payment 4]]+Table3179[[#This Row],[Interest]]</calculatedColumnFormula>
      <totalsRowFormula>SUM(J85:J120)</totalsRowFormula>
    </tableColumn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8B906E2-6B2A-4A9A-BB63-C2779F0F8BB3}" name="Table71810" displayName="Table71810" ref="A122:K124" totalsRowCount="1">
  <autoFilter ref="A122:K123" xr:uid="{00000000-0009-0000-0100-000007000000}"/>
  <tableColumns count="11">
    <tableColumn id="1" xr3:uid="{2B4C1714-5E8E-4037-9587-28D3545AC4F1}" name="Payee (COPA)"/>
    <tableColumn id="2" xr3:uid="{8673E123-D647-4F18-93DA-725A4768069B}" name="Unique ID"/>
    <tableColumn id="3" xr3:uid="{5ED64640-F07A-4280-9732-C26E301B3AF3}" name="Dist Payment" dataDxfId="24" totalsRowDxfId="23"/>
    <tableColumn id="4" xr3:uid="{B6D439BE-B164-4A74-84F4-69DE9A9D3C71}" name="JJ Payment" dataDxfId="22" totalsRowDxfId="21"/>
    <tableColumn id="5" xr3:uid="{C89E62A9-B1C2-4A47-A634-2F6E8FAC314A}" name="MNK Payment" dataDxfId="20" totalsRowDxfId="19" dataCellStyle="Currency"/>
    <tableColumn id="6" xr3:uid="{72B8293D-B391-4B47-A620-4C670039659A}" name=" " dataDxfId="18" totalsRowDxfId="17"/>
    <tableColumn id="7" xr3:uid="{E5E610AD-05A6-4CA5-B2FA-C9A71771B4A1}" name="Total Payment 4" dataDxfId="16" totalsRowDxfId="15">
      <calculatedColumnFormula>SUM(Table71810[[Dist Payment]:[MNK Payment]])</calculatedColumnFormula>
    </tableColumn>
    <tableColumn id="8" xr3:uid="{67F19E35-A344-4CEC-A2EC-5AD621666CAD}" name="Total Payment less MNK" dataDxfId="14" totalsRowDxfId="13">
      <calculatedColumnFormula>+Table71810[[#This Row],[Total Payment 4]]-Table71810[[#This Row],[MNK Payment]]</calculatedColumnFormula>
    </tableColumn>
    <tableColumn id="9" xr3:uid="{AB060D79-E42F-4229-9092-B654736D8F1D}" name="Percentage of Total" dataDxfId="12" totalsRowDxfId="11" dataCellStyle="Percent">
      <calculatedColumnFormula>+Table71810[[#This Row],[Total Payment less MNK]]/86374268.64</calculatedColumnFormula>
    </tableColumn>
    <tableColumn id="10" xr3:uid="{2177AC29-D6A2-4AF5-B0AF-C2432F01D922}" name="Interest" dataDxfId="10" totalsRowDxfId="9">
      <calculatedColumnFormula>4660*Table71810[[#This Row],[Percentage of Total]]+0.26</calculatedColumnFormula>
    </tableColumn>
    <tableColumn id="11" xr3:uid="{DB7924AB-6472-4B13-AB6A-FA838C2FFAA3}" name="Payment with Interest" totalsRowDxfId="8" dataCellStyle="Currency" totalsRowCellStyle="Currency">
      <calculatedColumnFormula>+Table71810[[#This Row],[Total Payment 4]]+Table71810[[#This Row],[Interest]]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vmlDrawing" Target="../drawings/vmlDrawing3.vml"/><Relationship Id="rId7" Type="http://schemas.openxmlformats.org/officeDocument/2006/relationships/table" Target="../tables/table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Relationship Id="rId9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C9CF-3C5C-4213-B10F-8859A8BB8B46}">
  <sheetPr>
    <tabColor rgb="FFFFFF00"/>
  </sheetPr>
  <dimension ref="A1:L139"/>
  <sheetViews>
    <sheetView tabSelected="1" topLeftCell="C1" workbookViewId="0">
      <selection activeCell="H137" sqref="H137"/>
    </sheetView>
  </sheetViews>
  <sheetFormatPr defaultRowHeight="14.25"/>
  <cols>
    <col min="1" max="1" width="45.75" customWidth="1"/>
    <col min="2" max="2" width="13" customWidth="1"/>
    <col min="3" max="3" width="22.875" customWidth="1"/>
    <col min="4" max="4" width="18.375" customWidth="1"/>
    <col min="5" max="5" width="16" customWidth="1"/>
    <col min="6" max="6" width="22" customWidth="1"/>
    <col min="7" max="7" width="24.625" customWidth="1"/>
    <col min="8" max="8" width="22" customWidth="1"/>
    <col min="9" max="9" width="21.625" customWidth="1"/>
    <col min="10" max="10" width="24.375" customWidth="1"/>
    <col min="11" max="11" width="24.25" customWidth="1"/>
    <col min="12" max="12" width="22.125" customWidth="1"/>
    <col min="13" max="13" width="20.75" customWidth="1"/>
    <col min="14" max="14" width="21.625" customWidth="1"/>
  </cols>
  <sheetData>
    <row r="1" spans="1:12">
      <c r="A1" t="s">
        <v>139</v>
      </c>
      <c r="B1" t="s">
        <v>140</v>
      </c>
      <c r="C1" s="45" t="s">
        <v>141</v>
      </c>
      <c r="D1" s="45" t="s">
        <v>142</v>
      </c>
      <c r="E1" s="45" t="s">
        <v>143</v>
      </c>
      <c r="F1" s="45" t="s">
        <v>144</v>
      </c>
      <c r="G1" s="45" t="s">
        <v>145</v>
      </c>
      <c r="H1" s="45" t="s">
        <v>146</v>
      </c>
      <c r="I1" s="45" t="s">
        <v>147</v>
      </c>
      <c r="J1" s="45" t="s">
        <v>148</v>
      </c>
      <c r="K1" s="66" t="s">
        <v>281</v>
      </c>
      <c r="L1" t="s">
        <v>149</v>
      </c>
    </row>
    <row r="2" spans="1:12">
      <c r="A2" t="s">
        <v>150</v>
      </c>
      <c r="B2">
        <v>1</v>
      </c>
      <c r="C2" s="46">
        <v>179137.48344551932</v>
      </c>
      <c r="D2" s="46">
        <v>19763.49772772516</v>
      </c>
      <c r="E2" s="46">
        <v>39145.846666666672</v>
      </c>
      <c r="F2" s="46">
        <v>35712.714000000007</v>
      </c>
      <c r="G2" s="46"/>
      <c r="H2" s="46"/>
      <c r="I2" s="46">
        <v>9827.2589811014404</v>
      </c>
      <c r="J2" s="46"/>
      <c r="K2" s="46"/>
      <c r="L2" s="46">
        <f>SUM(Table113[[#This Row],[County Payment]:[Reductions/ COPA Bonus]])</f>
        <v>283586.80082101258</v>
      </c>
    </row>
    <row r="3" spans="1:12">
      <c r="A3" t="s">
        <v>151</v>
      </c>
      <c r="B3">
        <v>2</v>
      </c>
      <c r="C3" s="46">
        <v>6001106.1071520848</v>
      </c>
      <c r="D3" s="46">
        <f>662077.219302951+0.01</f>
        <v>662077.22930295102</v>
      </c>
      <c r="E3" s="46">
        <v>398296.81228561688</v>
      </c>
      <c r="F3" s="46">
        <v>334701.71851222572</v>
      </c>
      <c r="G3" s="46"/>
      <c r="H3" s="46"/>
      <c r="I3" s="46">
        <v>118339.11606967493</v>
      </c>
      <c r="J3" s="46"/>
      <c r="K3" s="47"/>
      <c r="L3" s="46">
        <f>SUM(Table113[[#This Row],[County Payment]:[Reductions/ COPA Bonus]])</f>
        <v>7514520.9833225533</v>
      </c>
    </row>
    <row r="4" spans="1:12">
      <c r="A4" t="s">
        <v>152</v>
      </c>
      <c r="B4">
        <v>3</v>
      </c>
      <c r="C4" s="46">
        <v>315573.61744267523</v>
      </c>
      <c r="D4" s="46">
        <v>34815.932161708166</v>
      </c>
      <c r="E4" s="46">
        <v>20879.579218425773</v>
      </c>
      <c r="F4" s="46">
        <v>17856.357000000004</v>
      </c>
      <c r="G4" s="46"/>
      <c r="H4" s="46"/>
      <c r="I4" s="46"/>
      <c r="J4" s="46"/>
      <c r="K4" s="46"/>
      <c r="L4" s="46">
        <f>SUM(Table113[[#This Row],[County Payment]:[Reductions/ COPA Bonus]])</f>
        <v>389125.48582280922</v>
      </c>
    </row>
    <row r="5" spans="1:12">
      <c r="A5" t="s">
        <v>153</v>
      </c>
      <c r="B5">
        <v>4</v>
      </c>
      <c r="C5" s="46">
        <v>663433.60827273701</v>
      </c>
      <c r="D5" s="46">
        <v>73193.886379353964</v>
      </c>
      <c r="E5" s="46">
        <v>53574.825623531717</v>
      </c>
      <c r="F5" s="46">
        <v>45020.662109467819</v>
      </c>
      <c r="G5" s="46"/>
      <c r="H5" s="46"/>
      <c r="I5" s="46"/>
      <c r="J5" s="46"/>
      <c r="K5" s="46"/>
      <c r="L5" s="46">
        <f>SUM(Table113[[#This Row],[County Payment]:[Reductions/ COPA Bonus]])</f>
        <v>835222.98238509044</v>
      </c>
    </row>
    <row r="6" spans="1:12">
      <c r="A6" t="s">
        <v>154</v>
      </c>
      <c r="B6">
        <v>5</v>
      </c>
      <c r="C6" s="46">
        <v>99983.755213480865</v>
      </c>
      <c r="D6" s="46">
        <v>11030.794231136015</v>
      </c>
      <c r="E6" s="46">
        <v>15152.807292398233</v>
      </c>
      <c r="F6" s="46">
        <v>12733.395007473475</v>
      </c>
      <c r="G6" s="46"/>
      <c r="H6" s="46"/>
      <c r="I6" s="46">
        <v>4502.0943317785241</v>
      </c>
      <c r="J6" s="46"/>
      <c r="K6" s="46"/>
      <c r="L6" s="46">
        <f>SUM(Table113[[#This Row],[County Payment]:[Reductions/ COPA Bonus]])</f>
        <v>143402.8460762671</v>
      </c>
    </row>
    <row r="7" spans="1:12">
      <c r="A7" t="s">
        <v>155</v>
      </c>
      <c r="B7">
        <v>6</v>
      </c>
      <c r="C7" s="46">
        <v>984735.47377787286</v>
      </c>
      <c r="D7" s="46">
        <v>108641.79246069529</v>
      </c>
      <c r="E7" s="46"/>
      <c r="F7" s="46"/>
      <c r="G7" s="46"/>
      <c r="H7" s="46"/>
      <c r="I7" s="46">
        <v>40580.924650332898</v>
      </c>
      <c r="J7" s="46"/>
      <c r="K7" s="46"/>
      <c r="L7" s="46">
        <f>SUM(Table113[[#This Row],[County Payment]:[Reductions/ COPA Bonus]])</f>
        <v>1133958.190888901</v>
      </c>
    </row>
    <row r="8" spans="1:12">
      <c r="A8" t="s">
        <v>156</v>
      </c>
      <c r="B8">
        <v>7</v>
      </c>
      <c r="C8" s="46">
        <v>420244.10065467242</v>
      </c>
      <c r="D8" s="46">
        <v>46363.793711015562</v>
      </c>
      <c r="E8" s="46"/>
      <c r="F8" s="46"/>
      <c r="G8" s="46"/>
      <c r="H8" s="46"/>
      <c r="I8" s="46"/>
      <c r="J8" s="46"/>
      <c r="K8" s="46"/>
      <c r="L8" s="46">
        <f>SUM(Table113[[#This Row],[County Payment]:[Reductions/ COPA Bonus]])</f>
        <v>466607.89436568797</v>
      </c>
    </row>
    <row r="9" spans="1:12">
      <c r="A9" t="s">
        <v>157</v>
      </c>
      <c r="B9">
        <v>8</v>
      </c>
      <c r="C9" s="46">
        <v>117168.42454137413</v>
      </c>
      <c r="D9" s="46">
        <v>12926.70773109772</v>
      </c>
      <c r="E9" s="46">
        <v>19572.923333333336</v>
      </c>
      <c r="F9" s="46">
        <v>8928.1785000000018</v>
      </c>
      <c r="G9" s="46"/>
      <c r="H9" s="46"/>
      <c r="I9" s="46"/>
      <c r="J9" s="46"/>
      <c r="K9" s="46"/>
      <c r="L9" s="46">
        <f>SUM(Table113[[#This Row],[County Payment]:[Reductions/ COPA Bonus]])</f>
        <v>158596.2341058052</v>
      </c>
    </row>
    <row r="10" spans="1:12">
      <c r="A10" t="s">
        <v>158</v>
      </c>
      <c r="B10">
        <v>9</v>
      </c>
      <c r="C10" s="46">
        <f>3021903.72830022+0.01</f>
        <v>3021903.7383002196</v>
      </c>
      <c r="D10" s="46">
        <v>333394.14129834645</v>
      </c>
      <c r="E10" s="46">
        <v>205916.0039769756</v>
      </c>
      <c r="F10" s="46">
        <v>173037.89102595553</v>
      </c>
      <c r="G10" s="46"/>
      <c r="H10" s="46"/>
      <c r="I10" s="46">
        <v>61180.298570305473</v>
      </c>
      <c r="J10" s="46"/>
      <c r="K10" s="46"/>
      <c r="L10" s="46">
        <f>SUM(Table113[[#This Row],[County Payment]:[Reductions/ COPA Bonus]])</f>
        <v>3795432.0731718028</v>
      </c>
    </row>
    <row r="11" spans="1:12">
      <c r="A11" t="s">
        <v>159</v>
      </c>
      <c r="B11">
        <v>10</v>
      </c>
      <c r="C11" s="46">
        <v>712904.72584750527</v>
      </c>
      <c r="D11" s="46">
        <v>78651.830194191061</v>
      </c>
      <c r="E11" s="46"/>
      <c r="F11" s="46"/>
      <c r="G11" s="46"/>
      <c r="H11" s="46"/>
      <c r="I11" s="46"/>
      <c r="J11" s="46"/>
      <c r="K11" s="46"/>
      <c r="L11" s="46">
        <f>SUM(Table113[[#This Row],[County Payment]:[Reductions/ COPA Bonus]])</f>
        <v>791556.55604169634</v>
      </c>
    </row>
    <row r="12" spans="1:12">
      <c r="A12" t="s">
        <v>160</v>
      </c>
      <c r="B12">
        <v>11</v>
      </c>
      <c r="C12" s="46">
        <v>826427.94245430746</v>
      </c>
      <c r="D12" s="46">
        <v>91176.377208579215</v>
      </c>
      <c r="E12" s="46">
        <v>42509.521300859175</v>
      </c>
      <c r="F12" s="46">
        <v>35712.714000000007</v>
      </c>
      <c r="G12" s="46"/>
      <c r="H12" s="46"/>
      <c r="I12" s="46"/>
      <c r="J12" s="46"/>
      <c r="K12" s="46"/>
      <c r="L12" s="46">
        <f>SUM(Table113[[#This Row],[County Payment]:[Reductions/ COPA Bonus]])</f>
        <v>995826.55496374588</v>
      </c>
    </row>
    <row r="13" spans="1:12">
      <c r="A13" t="s">
        <v>161</v>
      </c>
      <c r="B13">
        <v>12</v>
      </c>
      <c r="C13" s="46">
        <v>74859.488531894865</v>
      </c>
      <c r="D13" s="46">
        <v>8258.9377892467946</v>
      </c>
      <c r="E13" s="46"/>
      <c r="F13" s="46"/>
      <c r="G13" s="46"/>
      <c r="H13" s="46"/>
      <c r="I13" s="46"/>
      <c r="J13" s="46"/>
      <c r="K13" s="46"/>
      <c r="L13" s="46">
        <f>SUM(Table113[[#This Row],[County Payment]:[Reductions/ COPA Bonus]])</f>
        <v>83118.426321141655</v>
      </c>
    </row>
    <row r="14" spans="1:12">
      <c r="A14" t="s">
        <v>7</v>
      </c>
      <c r="B14">
        <v>13</v>
      </c>
      <c r="C14" s="46">
        <v>335362.04950068484</v>
      </c>
      <c r="D14" s="46">
        <v>36999.108035855454</v>
      </c>
      <c r="E14" s="46">
        <v>20621.920662830635</v>
      </c>
      <c r="F14" s="46">
        <v>17856.357000000004</v>
      </c>
      <c r="G14" s="46">
        <v>73398.460000000006</v>
      </c>
      <c r="H14" s="46">
        <v>66961.34</v>
      </c>
      <c r="I14" s="46">
        <v>6127.0383985608096</v>
      </c>
      <c r="J14" s="46"/>
      <c r="K14" s="46"/>
      <c r="L14" s="46">
        <f>SUM(Table113[[#This Row],[County Payment]:[Reductions/ COPA Bonus]])</f>
        <v>557326.27359793184</v>
      </c>
    </row>
    <row r="15" spans="1:12">
      <c r="A15" t="s">
        <v>162</v>
      </c>
      <c r="B15">
        <v>14</v>
      </c>
      <c r="C15" s="46">
        <v>130187.16333246742</v>
      </c>
      <c r="D15" s="46">
        <v>14363.011343087839</v>
      </c>
      <c r="E15" s="46"/>
      <c r="F15" s="46"/>
      <c r="G15" s="46"/>
      <c r="H15" s="46"/>
      <c r="I15" s="46"/>
      <c r="J15" s="46"/>
      <c r="K15" s="46"/>
      <c r="L15" s="46">
        <f>SUM(Table113[[#This Row],[County Payment]:[Reductions/ COPA Bonus]])</f>
        <v>144550.17467555526</v>
      </c>
    </row>
    <row r="16" spans="1:12">
      <c r="A16" t="s">
        <v>163</v>
      </c>
      <c r="B16">
        <v>15</v>
      </c>
      <c r="C16" s="46">
        <f>1161269.19449328+0.01</f>
        <v>1161269.20449328</v>
      </c>
      <c r="D16" s="46">
        <v>128118.02781423487</v>
      </c>
      <c r="E16" s="46">
        <v>170205.29254792054</v>
      </c>
      <c r="F16" s="46">
        <v>143029.02297599518</v>
      </c>
      <c r="G16" s="46"/>
      <c r="H16" s="46"/>
      <c r="I16" s="46">
        <v>50570.185974919739</v>
      </c>
      <c r="J16" s="46"/>
      <c r="K16" s="46"/>
      <c r="L16" s="46">
        <f>SUM(Table113[[#This Row],[County Payment]:[Reductions/ COPA Bonus]])</f>
        <v>1653191.7338063503</v>
      </c>
    </row>
    <row r="17" spans="1:12">
      <c r="A17" t="s">
        <v>164</v>
      </c>
      <c r="B17">
        <v>16</v>
      </c>
      <c r="C17" s="46">
        <v>76550.040361410633</v>
      </c>
      <c r="D17" s="46">
        <v>8445.4493813413555</v>
      </c>
      <c r="E17" s="46">
        <v>11860.892792235798</v>
      </c>
      <c r="F17" s="46">
        <v>9967.0925756840443</v>
      </c>
      <c r="G17" s="46"/>
      <c r="H17" s="46"/>
      <c r="I17" s="46"/>
      <c r="J17" s="46"/>
      <c r="K17" s="46"/>
      <c r="L17" s="46">
        <f>SUM(Table113[[#This Row],[County Payment]:[Reductions/ COPA Bonus]])</f>
        <v>106823.47511067183</v>
      </c>
    </row>
    <row r="18" spans="1:12">
      <c r="A18" t="s">
        <v>165</v>
      </c>
      <c r="B18">
        <v>17</v>
      </c>
      <c r="C18" s="46">
        <v>155703.84345293764</v>
      </c>
      <c r="D18" s="46">
        <v>17178.16113686829</v>
      </c>
      <c r="E18" s="46">
        <v>25658.205878684788</v>
      </c>
      <c r="F18" s="46">
        <v>21561.421875950105</v>
      </c>
      <c r="G18" s="46"/>
      <c r="H18" s="46"/>
      <c r="I18" s="46"/>
      <c r="J18" s="46"/>
      <c r="K18" s="46"/>
      <c r="L18" s="46">
        <f>SUM(Table113[[#This Row],[County Payment]:[Reductions/ COPA Bonus]])</f>
        <v>220101.63234444082</v>
      </c>
    </row>
    <row r="19" spans="1:12">
      <c r="A19" t="s">
        <v>166</v>
      </c>
      <c r="B19">
        <v>18</v>
      </c>
      <c r="C19" s="46">
        <v>74859.488531894851</v>
      </c>
      <c r="D19" s="46">
        <v>8258.9377892467946</v>
      </c>
      <c r="E19" s="46">
        <v>11927.457239849376</v>
      </c>
      <c r="F19" s="46">
        <v>10023.028838091548</v>
      </c>
      <c r="G19" s="46"/>
      <c r="H19" s="46"/>
      <c r="I19" s="46">
        <v>3543.8012637431052</v>
      </c>
      <c r="J19" s="46"/>
      <c r="K19" s="46"/>
      <c r="L19" s="46">
        <f>SUM(Table113[[#This Row],[County Payment]:[Reductions/ COPA Bonus]])</f>
        <v>108612.71366282567</v>
      </c>
    </row>
    <row r="20" spans="1:12">
      <c r="A20" t="s">
        <v>167</v>
      </c>
      <c r="B20">
        <v>19</v>
      </c>
      <c r="C20" s="46">
        <v>170805.5475124309</v>
      </c>
      <c r="D20" s="46">
        <v>18844.269692844206</v>
      </c>
      <c r="E20" s="46">
        <v>20614.91387887131</v>
      </c>
      <c r="F20" s="46">
        <v>17856.357000000004</v>
      </c>
      <c r="G20" s="46"/>
      <c r="H20" s="46"/>
      <c r="I20" s="46">
        <v>6124.9565927449921</v>
      </c>
      <c r="J20" s="46"/>
      <c r="K20" s="46"/>
      <c r="L20" s="46">
        <f>SUM(Table113[[#This Row],[County Payment]:[Reductions/ COPA Bonus]])</f>
        <v>234246.04467689144</v>
      </c>
    </row>
    <row r="21" spans="1:12">
      <c r="A21" t="s">
        <v>168</v>
      </c>
      <c r="B21">
        <v>20</v>
      </c>
      <c r="C21" s="46">
        <v>349422.23349623388</v>
      </c>
      <c r="D21" s="46">
        <v>38550.309990369577</v>
      </c>
      <c r="E21" s="46"/>
      <c r="F21" s="46"/>
      <c r="G21" s="46"/>
      <c r="H21" s="46"/>
      <c r="I21" s="46"/>
      <c r="J21" s="46"/>
      <c r="K21" s="46"/>
      <c r="L21" s="46">
        <f>SUM(Table113[[#This Row],[County Payment]:[Reductions/ COPA Bonus]])</f>
        <v>387972.54348660348</v>
      </c>
    </row>
    <row r="22" spans="1:12">
      <c r="A22" t="s">
        <v>169</v>
      </c>
      <c r="B22">
        <v>21</v>
      </c>
      <c r="C22" s="46">
        <v>545744.46112913499</v>
      </c>
      <c r="D22" s="46">
        <v>60209.729476994238</v>
      </c>
      <c r="E22" s="46">
        <v>82638.328506448001</v>
      </c>
      <c r="F22" s="46">
        <v>69443.665409633541</v>
      </c>
      <c r="G22" s="46"/>
      <c r="H22" s="46"/>
      <c r="I22" s="46"/>
      <c r="J22" s="46"/>
      <c r="K22" s="46"/>
      <c r="L22" s="46">
        <f>SUM(Table113[[#This Row],[County Payment]:[Reductions/ COPA Bonus]])</f>
        <v>758036.18452221074</v>
      </c>
    </row>
    <row r="23" spans="1:12">
      <c r="A23" t="s">
        <v>170</v>
      </c>
      <c r="B23">
        <v>22</v>
      </c>
      <c r="C23" s="46">
        <v>838925.88378368434</v>
      </c>
      <c r="D23" s="46">
        <v>92555.223390369545</v>
      </c>
      <c r="E23" s="46"/>
      <c r="F23" s="46">
        <v>76651.681769245872</v>
      </c>
      <c r="G23" s="46"/>
      <c r="H23" s="46"/>
      <c r="I23" s="46"/>
      <c r="J23" s="46"/>
      <c r="K23" s="46"/>
      <c r="L23" s="46">
        <f>SUM(Table113[[#This Row],[County Payment]:[Reductions/ COPA Bonus]])</f>
        <v>1008132.7889432998</v>
      </c>
    </row>
    <row r="24" spans="1:12">
      <c r="A24" t="s">
        <v>6</v>
      </c>
      <c r="B24">
        <v>23</v>
      </c>
      <c r="C24" s="46">
        <f>3368201.5513236+0.01</f>
        <v>3368201.5613235999</v>
      </c>
      <c r="D24" s="46">
        <v>371599.74800220627</v>
      </c>
      <c r="E24" s="46">
        <v>183714.6905116773</v>
      </c>
      <c r="F24" s="46">
        <v>154381.40786852731</v>
      </c>
      <c r="G24" s="46">
        <v>366992.31</v>
      </c>
      <c r="H24" s="46">
        <v>334806.69</v>
      </c>
      <c r="I24" s="46">
        <v>54584.002215352084</v>
      </c>
      <c r="J24" s="46"/>
      <c r="K24" s="46"/>
      <c r="L24" s="46">
        <f>SUM(Table113[[#This Row],[County Payment]:[Reductions/ COPA Bonus]])</f>
        <v>4834280.409921363</v>
      </c>
    </row>
    <row r="25" spans="1:12">
      <c r="A25" t="s">
        <v>171</v>
      </c>
      <c r="B25">
        <v>24</v>
      </c>
      <c r="C25" s="46">
        <v>87485.739024615439</v>
      </c>
      <c r="D25" s="46">
        <v>9651.9397904078942</v>
      </c>
      <c r="E25" s="46"/>
      <c r="F25" s="46"/>
      <c r="G25" s="46"/>
      <c r="H25" s="46"/>
      <c r="I25" s="46"/>
      <c r="J25" s="46"/>
      <c r="K25" s="46"/>
      <c r="L25" s="46">
        <f>SUM(Table113[[#This Row],[County Payment]:[Reductions/ COPA Bonus]])</f>
        <v>97137.678815023333</v>
      </c>
    </row>
    <row r="26" spans="1:12">
      <c r="A26" t="s">
        <v>172</v>
      </c>
      <c r="B26">
        <v>25</v>
      </c>
      <c r="C26" s="46">
        <f>1068055.2074062+0.01</f>
        <v>1068055.2174062</v>
      </c>
      <c r="D26" s="46">
        <v>117834.11410419381</v>
      </c>
      <c r="E26" s="46">
        <v>86271.345989357535</v>
      </c>
      <c r="F26" s="46">
        <v>72496.607731559052</v>
      </c>
      <c r="G26" s="46"/>
      <c r="H26" s="46"/>
      <c r="I26" s="46">
        <v>25632.328734784442</v>
      </c>
      <c r="J26" s="46"/>
      <c r="K26" s="46"/>
      <c r="L26" s="46">
        <f>SUM(Table113[[#This Row],[County Payment]:[Reductions/ COPA Bonus]])</f>
        <v>1370289.6139660948</v>
      </c>
    </row>
    <row r="27" spans="1:12">
      <c r="A27" t="s">
        <v>173</v>
      </c>
      <c r="B27">
        <v>26</v>
      </c>
      <c r="C27" s="46">
        <v>701969.02718430047</v>
      </c>
      <c r="D27" s="46">
        <v>77445.339785124524</v>
      </c>
      <c r="E27" s="46">
        <v>41022.809140762583</v>
      </c>
      <c r="F27" s="46">
        <v>35712.714000000007</v>
      </c>
      <c r="G27" s="46"/>
      <c r="H27" s="46"/>
      <c r="I27" s="46"/>
      <c r="J27" s="46"/>
      <c r="K27" s="46"/>
      <c r="L27" s="46">
        <f>SUM(Table113[[#This Row],[County Payment]:[Reductions/ COPA Bonus]])</f>
        <v>856149.89011018758</v>
      </c>
    </row>
    <row r="28" spans="1:12">
      <c r="A28" t="s">
        <v>174</v>
      </c>
      <c r="B28">
        <v>27</v>
      </c>
      <c r="C28" s="46">
        <v>74859.488531894851</v>
      </c>
      <c r="D28" s="46">
        <v>8258.9377892467946</v>
      </c>
      <c r="E28" s="46"/>
      <c r="F28" s="46"/>
      <c r="G28" s="46"/>
      <c r="H28" s="46"/>
      <c r="I28" s="46"/>
      <c r="J28" s="46"/>
      <c r="K28" s="46"/>
      <c r="L28" s="46">
        <f>SUM(Table113[[#This Row],[County Payment]:[Reductions/ COPA Bonus]])</f>
        <v>83118.42632114164</v>
      </c>
    </row>
    <row r="29" spans="1:12">
      <c r="A29" t="s">
        <v>175</v>
      </c>
      <c r="B29">
        <v>28</v>
      </c>
      <c r="C29" s="46">
        <v>267664.74253407901</v>
      </c>
      <c r="D29" s="46">
        <v>29530.344119594847</v>
      </c>
      <c r="E29" s="46">
        <v>49662.810742969101</v>
      </c>
      <c r="F29" s="46">
        <v>41733.2692331453</v>
      </c>
      <c r="G29" s="46"/>
      <c r="H29" s="46"/>
      <c r="I29" s="46"/>
      <c r="J29" s="46"/>
      <c r="K29" s="46"/>
      <c r="L29" s="46">
        <f>SUM(Table113[[#This Row],[County Payment]:[Reductions/ COPA Bonus]])</f>
        <v>388591.16662978823</v>
      </c>
    </row>
    <row r="30" spans="1:12">
      <c r="A30" t="s">
        <v>176</v>
      </c>
      <c r="B30">
        <v>29</v>
      </c>
      <c r="C30" s="46">
        <v>74859.488531894851</v>
      </c>
      <c r="D30" s="46">
        <v>8258.9377892467946</v>
      </c>
      <c r="E30" s="46"/>
      <c r="F30" s="46"/>
      <c r="G30" s="46"/>
      <c r="H30" s="46"/>
      <c r="I30" s="46"/>
      <c r="J30" s="46"/>
      <c r="K30" s="46"/>
      <c r="L30" s="46">
        <f>SUM(Table113[[#This Row],[County Payment]:[Reductions/ COPA Bonus]])</f>
        <v>83118.42632114164</v>
      </c>
    </row>
    <row r="31" spans="1:12">
      <c r="A31" t="s">
        <v>177</v>
      </c>
      <c r="B31">
        <v>30</v>
      </c>
      <c r="C31" s="46">
        <v>106753.44848039719</v>
      </c>
      <c r="D31" s="46">
        <v>11777.66649329318</v>
      </c>
      <c r="E31" s="46">
        <v>11450.99593061534</v>
      </c>
      <c r="F31" s="46">
        <v>9622.6429598062387</v>
      </c>
      <c r="G31" s="46"/>
      <c r="H31" s="46"/>
      <c r="I31" s="46"/>
      <c r="J31" s="46"/>
      <c r="K31" s="46"/>
      <c r="L31" s="46">
        <f>SUM(Table113[[#This Row],[County Payment]:[Reductions/ COPA Bonus]])</f>
        <v>139604.75386411196</v>
      </c>
    </row>
    <row r="32" spans="1:12">
      <c r="A32" t="s">
        <v>178</v>
      </c>
      <c r="B32">
        <v>31</v>
      </c>
      <c r="C32" s="46">
        <v>93213.987087076021</v>
      </c>
      <c r="D32" s="46">
        <v>10283.913710041059</v>
      </c>
      <c r="E32" s="46">
        <v>14042.869015205304</v>
      </c>
      <c r="F32" s="46">
        <v>11800.677904649736</v>
      </c>
      <c r="G32" s="46"/>
      <c r="H32" s="46"/>
      <c r="I32" s="46"/>
      <c r="J32" s="46"/>
      <c r="K32" s="46"/>
      <c r="L32" s="46">
        <f>SUM(Table113[[#This Row],[County Payment]:[Reductions/ COPA Bonus]])</f>
        <v>129341.44771697212</v>
      </c>
    </row>
    <row r="33" spans="1:12">
      <c r="A33" t="s">
        <v>179</v>
      </c>
      <c r="B33">
        <v>32</v>
      </c>
      <c r="C33" s="46">
        <v>355671.27902041085</v>
      </c>
      <c r="D33" s="46">
        <v>39239.741340202534</v>
      </c>
      <c r="E33" s="46">
        <v>26513.033521722322</v>
      </c>
      <c r="F33" s="46">
        <v>22279.761245814927</v>
      </c>
      <c r="G33" s="46"/>
      <c r="H33" s="46"/>
      <c r="I33" s="46">
        <v>7877.3639519775315</v>
      </c>
      <c r="J33" s="46"/>
      <c r="K33" s="46"/>
      <c r="L33" s="46">
        <f>SUM(Table113[[#This Row],[County Payment]:[Reductions/ COPA Bonus]])</f>
        <v>451581.17908012809</v>
      </c>
    </row>
    <row r="34" spans="1:12">
      <c r="A34" t="s">
        <v>180</v>
      </c>
      <c r="B34">
        <v>33</v>
      </c>
      <c r="C34" s="46">
        <v>98421.437687820231</v>
      </c>
      <c r="D34" s="46">
        <v>10858.430199474435</v>
      </c>
      <c r="E34" s="46"/>
      <c r="F34" s="46"/>
      <c r="G34" s="46"/>
      <c r="H34" s="46"/>
      <c r="I34" s="46"/>
      <c r="J34" s="46"/>
      <c r="K34" s="46"/>
      <c r="L34" s="46">
        <f>SUM(Table113[[#This Row],[County Payment]:[Reductions/ COPA Bonus]])</f>
        <v>109279.86788729466</v>
      </c>
    </row>
    <row r="35" spans="1:12">
      <c r="A35" t="s">
        <v>181</v>
      </c>
      <c r="B35">
        <v>34</v>
      </c>
      <c r="C35" s="46">
        <v>74859.488531894851</v>
      </c>
      <c r="D35" s="46">
        <v>8258.9377892467946</v>
      </c>
      <c r="E35" s="46"/>
      <c r="F35" s="46"/>
      <c r="G35" s="46"/>
      <c r="H35" s="46"/>
      <c r="I35" s="46"/>
      <c r="J35" s="46"/>
      <c r="K35" s="46"/>
      <c r="L35" s="46">
        <f>SUM(Table113[[#This Row],[County Payment]:[Reductions/ COPA Bonus]])</f>
        <v>83118.42632114164</v>
      </c>
    </row>
    <row r="36" spans="1:12">
      <c r="A36" t="s">
        <v>182</v>
      </c>
      <c r="B36">
        <v>35</v>
      </c>
      <c r="C36" s="46">
        <v>725402.74203637068</v>
      </c>
      <c r="D36" s="46">
        <v>80030.684634919176</v>
      </c>
      <c r="E36" s="46">
        <v>68760.755894646747</v>
      </c>
      <c r="F36" s="46">
        <v>57781.891429335468</v>
      </c>
      <c r="G36" s="46"/>
      <c r="H36" s="46"/>
      <c r="I36" s="46"/>
      <c r="J36" s="46"/>
      <c r="K36" s="46"/>
      <c r="L36" s="46">
        <f>SUM(Table113[[#This Row],[County Payment]:[Reductions/ COPA Bonus]])</f>
        <v>931976.07399527205</v>
      </c>
    </row>
    <row r="37" spans="1:12">
      <c r="A37" t="s">
        <v>183</v>
      </c>
      <c r="B37">
        <v>36</v>
      </c>
      <c r="C37" s="46">
        <f>1180016.18134683+0.01</f>
        <v>1180016.19134683</v>
      </c>
      <c r="D37" s="46">
        <v>130186.30534585814</v>
      </c>
      <c r="E37" s="46"/>
      <c r="F37" s="46"/>
      <c r="G37" s="46"/>
      <c r="H37" s="46"/>
      <c r="I37" s="46"/>
      <c r="J37" s="46"/>
      <c r="K37" s="46"/>
      <c r="L37" s="46">
        <f>SUM(Table113[[#This Row],[County Payment]:[Reductions/ COPA Bonus]])</f>
        <v>1310202.4966926882</v>
      </c>
    </row>
    <row r="38" spans="1:12">
      <c r="A38" t="s">
        <v>184</v>
      </c>
      <c r="B38">
        <v>37</v>
      </c>
      <c r="C38" s="46">
        <v>515020.33040792053</v>
      </c>
      <c r="D38" s="46">
        <v>56820.063193780406</v>
      </c>
      <c r="E38" s="46">
        <v>27412.449789955561</v>
      </c>
      <c r="F38" s="46">
        <v>23035.569882364209</v>
      </c>
      <c r="G38" s="46"/>
      <c r="H38" s="46"/>
      <c r="I38" s="46"/>
      <c r="J38" s="46"/>
      <c r="K38" s="46"/>
      <c r="L38" s="46">
        <f>SUM(Table113[[#This Row],[County Payment]:[Reductions/ COPA Bonus]])</f>
        <v>622288.41327402066</v>
      </c>
    </row>
    <row r="39" spans="1:12">
      <c r="A39" t="s">
        <v>185</v>
      </c>
      <c r="B39">
        <v>38</v>
      </c>
      <c r="C39" s="46">
        <v>314011.37477650313</v>
      </c>
      <c r="D39" s="46">
        <v>34643.57638898438</v>
      </c>
      <c r="E39" s="46"/>
      <c r="F39" s="46"/>
      <c r="G39" s="46"/>
      <c r="H39" s="46"/>
      <c r="I39" s="46"/>
      <c r="J39" s="46"/>
      <c r="K39" s="46"/>
      <c r="L39" s="46">
        <f>SUM(Table113[[#This Row],[County Payment]:[Reductions/ COPA Bonus]])</f>
        <v>348654.95116548752</v>
      </c>
    </row>
    <row r="40" spans="1:12">
      <c r="A40" t="s">
        <v>186</v>
      </c>
      <c r="B40">
        <v>39</v>
      </c>
      <c r="C40" s="46">
        <v>1097217.1703207307</v>
      </c>
      <c r="D40" s="46">
        <v>121051.43287362164</v>
      </c>
      <c r="E40" s="46">
        <v>119292.72633875201</v>
      </c>
      <c r="F40" s="46">
        <v>100245.54372520845</v>
      </c>
      <c r="G40" s="46"/>
      <c r="H40" s="46"/>
      <c r="I40" s="46">
        <v>35443.406407044764</v>
      </c>
      <c r="J40" s="46">
        <v>206470.89</v>
      </c>
      <c r="K40" s="46"/>
      <c r="L40" s="46">
        <f>SUM(Table113[[#This Row],[County Payment]:[Reductions/ COPA Bonus]])</f>
        <v>1679721.1696653576</v>
      </c>
    </row>
    <row r="41" spans="1:12">
      <c r="A41" t="s">
        <v>187</v>
      </c>
      <c r="B41">
        <v>40</v>
      </c>
      <c r="C41" s="46">
        <v>1709096.6957502994</v>
      </c>
      <c r="D41" s="46">
        <v>188557.57049415269</v>
      </c>
      <c r="E41" s="46">
        <v>103698.49165691638</v>
      </c>
      <c r="F41" s="46">
        <v>87141.202977558874</v>
      </c>
      <c r="G41" s="46"/>
      <c r="H41" s="46"/>
      <c r="I41" s="46">
        <v>30810.158308869766</v>
      </c>
      <c r="J41" s="46"/>
      <c r="K41" s="46"/>
      <c r="L41" s="46">
        <f>SUM(Table113[[#This Row],[County Payment]:[Reductions/ COPA Bonus]])</f>
        <v>2119304.119187797</v>
      </c>
    </row>
    <row r="42" spans="1:12">
      <c r="A42" t="s">
        <v>188</v>
      </c>
      <c r="B42">
        <v>41</v>
      </c>
      <c r="C42" s="46">
        <v>334320.52943674056</v>
      </c>
      <c r="D42" s="46">
        <v>36884.201434393661</v>
      </c>
      <c r="E42" s="46">
        <v>39145.846666666672</v>
      </c>
      <c r="F42" s="46">
        <v>35712.714000000007</v>
      </c>
      <c r="G42" s="46"/>
      <c r="H42" s="46"/>
      <c r="I42" s="46">
        <v>10805.329204387122</v>
      </c>
      <c r="J42" s="46"/>
      <c r="K42" s="46"/>
      <c r="L42" s="46">
        <f>SUM(Table113[[#This Row],[County Payment]:[Reductions/ COPA Bonus]])</f>
        <v>456868.62074218807</v>
      </c>
    </row>
    <row r="43" spans="1:12">
      <c r="A43" t="s">
        <v>189</v>
      </c>
      <c r="B43">
        <v>42</v>
      </c>
      <c r="C43" s="46">
        <v>93734.709689303883</v>
      </c>
      <c r="D43" s="46">
        <v>10341.362881303059</v>
      </c>
      <c r="E43" s="46"/>
      <c r="F43" s="46"/>
      <c r="G43" s="46"/>
      <c r="H43" s="46"/>
      <c r="I43" s="46"/>
      <c r="J43" s="46"/>
      <c r="K43" s="46"/>
      <c r="L43" s="46">
        <f>SUM(Table113[[#This Row],[County Payment]:[Reductions/ COPA Bonus]])</f>
        <v>104076.07257060695</v>
      </c>
    </row>
    <row r="44" spans="1:12">
      <c r="A44" t="s">
        <v>190</v>
      </c>
      <c r="B44">
        <v>43</v>
      </c>
      <c r="C44" s="46">
        <v>484816.922288934</v>
      </c>
      <c r="D44" s="46">
        <v>53487.846081828582</v>
      </c>
      <c r="E44" s="46">
        <v>39145.846666666672</v>
      </c>
      <c r="F44" s="46">
        <v>35712.714000000007</v>
      </c>
      <c r="G44" s="46"/>
      <c r="H44" s="46"/>
      <c r="I44" s="46">
        <v>10470.726233263074</v>
      </c>
      <c r="J44" s="46"/>
      <c r="K44" s="46"/>
      <c r="L44" s="46">
        <f>SUM(Table113[[#This Row],[County Payment]:[Reductions/ COPA Bonus]])</f>
        <v>623634.05527069233</v>
      </c>
    </row>
    <row r="45" spans="1:12">
      <c r="A45" t="s">
        <v>191</v>
      </c>
      <c r="B45">
        <v>44</v>
      </c>
      <c r="C45" s="46">
        <v>90089.501754731798</v>
      </c>
      <c r="D45" s="46">
        <v>9939.2021645934765</v>
      </c>
      <c r="E45" s="46"/>
      <c r="F45" s="46"/>
      <c r="G45" s="46"/>
      <c r="H45" s="46"/>
      <c r="I45" s="46"/>
      <c r="J45" s="46"/>
      <c r="K45" s="46"/>
      <c r="L45" s="46">
        <f>SUM(Table113[[#This Row],[County Payment]:[Reductions/ COPA Bonus]])</f>
        <v>100028.70391932527</v>
      </c>
    </row>
    <row r="46" spans="1:12">
      <c r="A46" t="s">
        <v>192</v>
      </c>
      <c r="B46">
        <v>45</v>
      </c>
      <c r="C46" s="46">
        <v>430659.00185616082</v>
      </c>
      <c r="D46" s="46">
        <v>47512.826689882306</v>
      </c>
      <c r="E46" s="46">
        <v>53610.496523688278</v>
      </c>
      <c r="F46" s="46">
        <v>45050.637522815392</v>
      </c>
      <c r="G46" s="46"/>
      <c r="H46" s="46"/>
      <c r="I46" s="46"/>
      <c r="J46" s="46"/>
      <c r="K46" s="46"/>
      <c r="L46" s="46">
        <f>SUM(Table113[[#This Row],[County Payment]:[Reductions/ COPA Bonus]])</f>
        <v>576832.96259254683</v>
      </c>
    </row>
    <row r="47" spans="1:12">
      <c r="A47" t="s">
        <v>193</v>
      </c>
      <c r="B47">
        <v>46</v>
      </c>
      <c r="C47" s="46">
        <v>2628217.8278299663</v>
      </c>
      <c r="D47" s="46">
        <v>289960.40398257319</v>
      </c>
      <c r="E47" s="46"/>
      <c r="F47" s="46"/>
      <c r="G47" s="46"/>
      <c r="H47" s="46"/>
      <c r="I47" s="46"/>
      <c r="J47" s="46"/>
      <c r="K47" s="46"/>
      <c r="L47" s="46">
        <f>SUM(Table113[[#This Row],[County Payment]:[Reductions/ COPA Bonus]])</f>
        <v>2918178.2318125395</v>
      </c>
    </row>
    <row r="48" spans="1:12">
      <c r="A48" t="s">
        <v>194</v>
      </c>
      <c r="B48">
        <v>47</v>
      </c>
      <c r="C48" s="46">
        <v>74859.488531894851</v>
      </c>
      <c r="D48" s="46">
        <v>8258.9377892467946</v>
      </c>
      <c r="E48" s="46"/>
      <c r="F48" s="46"/>
      <c r="G48" s="46"/>
      <c r="H48" s="46"/>
      <c r="I48" s="46"/>
      <c r="J48" s="46"/>
      <c r="K48" s="46"/>
      <c r="L48" s="46">
        <f>SUM(Table113[[#This Row],[County Payment]:[Reductions/ COPA Bonus]])</f>
        <v>83118.42632114164</v>
      </c>
    </row>
    <row r="49" spans="1:12">
      <c r="A49" t="s">
        <v>195</v>
      </c>
      <c r="B49">
        <v>48</v>
      </c>
      <c r="C49" s="46">
        <v>877982.02529747563</v>
      </c>
      <c r="D49" s="46">
        <v>96864.125967402098</v>
      </c>
      <c r="E49" s="46"/>
      <c r="F49" s="46">
        <v>83757.460558333478</v>
      </c>
      <c r="G49" s="46"/>
      <c r="H49" s="46"/>
      <c r="I49" s="46">
        <v>29613.782357534546</v>
      </c>
      <c r="J49" s="46"/>
      <c r="K49" s="46"/>
      <c r="L49" s="46">
        <f>SUM(Table113[[#This Row],[County Payment]:[Reductions/ COPA Bonus]])</f>
        <v>1088217.3941807458</v>
      </c>
    </row>
    <row r="50" spans="1:12">
      <c r="A50" t="s">
        <v>196</v>
      </c>
      <c r="B50">
        <v>49</v>
      </c>
      <c r="C50" s="46">
        <v>300992.63598540978</v>
      </c>
      <c r="D50" s="46">
        <v>33207.272776994258</v>
      </c>
      <c r="E50" s="46">
        <v>29188.66952364421</v>
      </c>
      <c r="F50" s="46">
        <v>24528.18488450137</v>
      </c>
      <c r="G50" s="46"/>
      <c r="H50" s="46"/>
      <c r="I50" s="46">
        <v>8672.3298910083959</v>
      </c>
      <c r="J50" s="46"/>
      <c r="K50" s="46"/>
      <c r="L50" s="46">
        <f>SUM(Table113[[#This Row],[County Payment]:[Reductions/ COPA Bonus]])</f>
        <v>396589.09306155803</v>
      </c>
    </row>
    <row r="51" spans="1:12">
      <c r="A51" t="s">
        <v>197</v>
      </c>
      <c r="B51">
        <v>50</v>
      </c>
      <c r="C51" s="46">
        <v>120292.90987371835</v>
      </c>
      <c r="D51" s="46">
        <v>13271.419276545303</v>
      </c>
      <c r="E51" s="46"/>
      <c r="F51" s="46"/>
      <c r="G51" s="46"/>
      <c r="H51" s="46"/>
      <c r="I51" s="46"/>
      <c r="J51" s="46"/>
      <c r="K51" s="46"/>
      <c r="L51" s="46">
        <f>SUM(Table113[[#This Row],[County Payment]:[Reductions/ COPA Bonus]])</f>
        <v>133564.32915026366</v>
      </c>
    </row>
    <row r="52" spans="1:12">
      <c r="A52" t="s">
        <v>5</v>
      </c>
      <c r="B52">
        <v>51</v>
      </c>
      <c r="C52" s="46">
        <f>12053245.5745451+0.02</f>
        <v>12053245.5945451</v>
      </c>
      <c r="D52" s="46">
        <f>1329784.73819346+0.01</f>
        <v>1329784.7481934601</v>
      </c>
      <c r="E52" s="46">
        <v>510793.59516418452</v>
      </c>
      <c r="F52" s="46">
        <v>429236.41071948502</v>
      </c>
      <c r="G52" s="46">
        <v>1027578.48</v>
      </c>
      <c r="H52" s="46">
        <v>937458.74</v>
      </c>
      <c r="I52" s="46">
        <v>149896.07490120048</v>
      </c>
      <c r="J52" s="46"/>
      <c r="K52" s="46"/>
      <c r="L52" s="46">
        <f>SUM(Table113[[#This Row],[County Payment]:[Reductions/ COPA Bonus]])</f>
        <v>16437993.64352343</v>
      </c>
    </row>
    <row r="53" spans="1:12">
      <c r="A53" t="s">
        <v>198</v>
      </c>
      <c r="B53">
        <v>52</v>
      </c>
      <c r="C53" s="46">
        <v>147371.83266036067</v>
      </c>
      <c r="D53" s="46">
        <v>16258.924843049545</v>
      </c>
      <c r="E53" s="46">
        <v>19572.923333333336</v>
      </c>
      <c r="F53" s="46">
        <v>17856.357000000004</v>
      </c>
      <c r="G53" s="46"/>
      <c r="H53" s="46"/>
      <c r="I53" s="46"/>
      <c r="J53" s="46"/>
      <c r="K53" s="46"/>
      <c r="L53" s="46">
        <f>SUM(Table113[[#This Row],[County Payment]:[Reductions/ COPA Bonus]])</f>
        <v>201060.03783674358</v>
      </c>
    </row>
    <row r="54" spans="1:12">
      <c r="A54" t="s">
        <v>199</v>
      </c>
      <c r="B54">
        <v>53</v>
      </c>
      <c r="C54" s="46">
        <v>74859.488531894851</v>
      </c>
      <c r="D54" s="46">
        <v>8258.9377892467946</v>
      </c>
      <c r="E54" s="46"/>
      <c r="F54" s="46"/>
      <c r="G54" s="46"/>
      <c r="H54" s="46"/>
      <c r="I54" s="46"/>
      <c r="J54" s="46"/>
      <c r="K54" s="46"/>
      <c r="L54" s="46">
        <f>SUM(Table113[[#This Row],[County Payment]:[Reductions/ COPA Bonus]])</f>
        <v>83118.42632114164</v>
      </c>
    </row>
    <row r="55" spans="1:12">
      <c r="A55" t="s">
        <v>200</v>
      </c>
      <c r="B55">
        <v>54</v>
      </c>
      <c r="C55" s="46">
        <f>513458.087741748+0.01</f>
        <v>513458.09774174803</v>
      </c>
      <c r="D55" s="46">
        <v>56647.707421056621</v>
      </c>
      <c r="E55" s="46">
        <v>45559.701754424917</v>
      </c>
      <c r="F55" s="46">
        <v>38285.293785317968</v>
      </c>
      <c r="G55" s="46"/>
      <c r="H55" s="46"/>
      <c r="I55" s="46"/>
      <c r="J55" s="46"/>
      <c r="K55" s="46"/>
      <c r="L55" s="46">
        <f>SUM(Table113[[#This Row],[County Payment]:[Reductions/ COPA Bonus]])</f>
        <v>653950.80070254754</v>
      </c>
    </row>
    <row r="56" spans="1:12">
      <c r="A56" t="s">
        <v>201</v>
      </c>
      <c r="B56">
        <v>55</v>
      </c>
      <c r="C56" s="46">
        <v>74859.488531894851</v>
      </c>
      <c r="D56" s="46">
        <v>8258.9377892467946</v>
      </c>
      <c r="E56" s="46"/>
      <c r="F56" s="46"/>
      <c r="G56" s="46"/>
      <c r="H56" s="46"/>
      <c r="I56" s="46"/>
      <c r="J56" s="46"/>
      <c r="K56" s="46"/>
      <c r="L56" s="46">
        <f>SUM(Table113[[#This Row],[County Payment]:[Reductions/ COPA Bonus]])</f>
        <v>83118.42632114164</v>
      </c>
    </row>
    <row r="57" spans="1:12">
      <c r="A57" t="s">
        <v>202</v>
      </c>
      <c r="B57">
        <v>56</v>
      </c>
      <c r="C57" s="46">
        <v>221318.11029165494</v>
      </c>
      <c r="D57" s="46">
        <v>24417.111850205318</v>
      </c>
      <c r="E57" s="46"/>
      <c r="F57" s="46"/>
      <c r="G57" s="46"/>
      <c r="H57" s="46"/>
      <c r="I57" s="46"/>
      <c r="J57" s="46"/>
      <c r="K57" s="46"/>
      <c r="L57" s="46">
        <f>SUM(Table113[[#This Row],[County Payment]:[Reductions/ COPA Bonus]])</f>
        <v>245735.22214186026</v>
      </c>
    </row>
    <row r="58" spans="1:12">
      <c r="A58" t="s">
        <v>203</v>
      </c>
      <c r="B58">
        <v>57</v>
      </c>
      <c r="C58" s="46">
        <v>74859.488531894851</v>
      </c>
      <c r="D58" s="46">
        <v>8258.9377892467946</v>
      </c>
      <c r="E58" s="46"/>
      <c r="F58" s="46"/>
      <c r="G58" s="46"/>
      <c r="H58" s="46"/>
      <c r="I58" s="46"/>
      <c r="J58" s="46"/>
      <c r="K58" s="46"/>
      <c r="L58" s="46">
        <f>SUM(Table113[[#This Row],[County Payment]:[Reductions/ COPA Bonus]])</f>
        <v>83118.42632114164</v>
      </c>
    </row>
    <row r="59" spans="1:12">
      <c r="A59" t="s">
        <v>204</v>
      </c>
      <c r="B59">
        <v>58</v>
      </c>
      <c r="C59" s="46">
        <v>86444.293820159699</v>
      </c>
      <c r="D59" s="46">
        <v>9537.041447883892</v>
      </c>
      <c r="E59" s="46"/>
      <c r="F59" s="46"/>
      <c r="G59" s="46"/>
      <c r="H59" s="46"/>
      <c r="I59" s="46"/>
      <c r="J59" s="46"/>
      <c r="K59" s="46"/>
      <c r="L59" s="46">
        <f>SUM(Table113[[#This Row],[County Payment]:[Reductions/ COPA Bonus]])</f>
        <v>95981.335268043593</v>
      </c>
    </row>
    <row r="60" spans="1:12">
      <c r="A60" t="s">
        <v>205</v>
      </c>
      <c r="B60">
        <v>59</v>
      </c>
      <c r="C60" s="46">
        <v>77591.560425354895</v>
      </c>
      <c r="D60" s="46">
        <v>8560.3559828031466</v>
      </c>
      <c r="E60" s="46">
        <v>13072.429436838922</v>
      </c>
      <c r="F60" s="46">
        <v>10985.186079024503</v>
      </c>
      <c r="G60" s="46"/>
      <c r="H60" s="46"/>
      <c r="I60" s="46"/>
      <c r="J60" s="46"/>
      <c r="K60" s="46"/>
      <c r="L60" s="46">
        <f>SUM(Table113[[#This Row],[County Payment]:[Reductions/ COPA Bonus]])</f>
        <v>110209.53192402146</v>
      </c>
    </row>
    <row r="61" spans="1:12">
      <c r="A61" t="s">
        <v>206</v>
      </c>
      <c r="B61">
        <v>60</v>
      </c>
      <c r="C61" s="46">
        <v>74859.488531894851</v>
      </c>
      <c r="D61" s="46">
        <v>8258.9377892467946</v>
      </c>
      <c r="E61" s="46"/>
      <c r="F61" s="46"/>
      <c r="G61" s="46"/>
      <c r="H61" s="46"/>
      <c r="I61" s="46"/>
      <c r="J61" s="46"/>
      <c r="K61" s="46"/>
      <c r="L61" s="46">
        <f>SUM(Table113[[#This Row],[County Payment]:[Reductions/ COPA Bonus]])</f>
        <v>83118.42632114164</v>
      </c>
    </row>
    <row r="62" spans="1:12">
      <c r="A62" t="s">
        <v>207</v>
      </c>
      <c r="B62">
        <v>61</v>
      </c>
      <c r="C62" s="46">
        <v>174971.47804923088</v>
      </c>
      <c r="D62" s="46">
        <v>19303.879580815788</v>
      </c>
      <c r="E62" s="46"/>
      <c r="F62" s="46"/>
      <c r="G62" s="46"/>
      <c r="H62" s="46"/>
      <c r="I62" s="46"/>
      <c r="J62" s="46"/>
      <c r="K62" s="46"/>
      <c r="L62" s="46">
        <f>SUM(Table113[[#This Row],[County Payment]:[Reductions/ COPA Bonus]])</f>
        <v>194275.35763004667</v>
      </c>
    </row>
    <row r="63" spans="1:12">
      <c r="A63" t="s">
        <v>208</v>
      </c>
      <c r="B63">
        <v>62</v>
      </c>
      <c r="C63" s="46">
        <v>74859.488531894851</v>
      </c>
      <c r="D63" s="46">
        <v>8258.9377892467946</v>
      </c>
      <c r="E63" s="46"/>
      <c r="F63" s="46"/>
      <c r="G63" s="46"/>
      <c r="H63" s="46"/>
      <c r="I63" s="46"/>
      <c r="J63" s="46"/>
      <c r="K63" s="46"/>
      <c r="L63" s="46">
        <f>SUM(Table113[[#This Row],[County Payment]:[Reductions/ COPA Bonus]])</f>
        <v>83118.42632114164</v>
      </c>
    </row>
    <row r="64" spans="1:12">
      <c r="A64" t="s">
        <v>209</v>
      </c>
      <c r="B64">
        <v>63</v>
      </c>
      <c r="C64" s="46">
        <v>857672.87063723814</v>
      </c>
      <c r="D64" s="46">
        <v>94623.500921992832</v>
      </c>
      <c r="E64" s="46">
        <v>66675.600686387901</v>
      </c>
      <c r="F64" s="46">
        <v>56029.667936598868</v>
      </c>
      <c r="G64" s="46"/>
      <c r="H64" s="46"/>
      <c r="I64" s="46"/>
      <c r="J64" s="46"/>
      <c r="K64" s="46"/>
      <c r="L64" s="46">
        <f>SUM(Table113[[#This Row],[County Payment]:[Reductions/ COPA Bonus]])</f>
        <v>1075001.6401822176</v>
      </c>
    </row>
    <row r="65" spans="1:12">
      <c r="A65" t="s">
        <v>210</v>
      </c>
      <c r="B65">
        <v>64</v>
      </c>
      <c r="C65" s="46">
        <v>164035.77938602606</v>
      </c>
      <c r="D65" s="46">
        <v>18097.389171749248</v>
      </c>
      <c r="E65" s="46"/>
      <c r="F65" s="46"/>
      <c r="G65" s="46"/>
      <c r="H65" s="46"/>
      <c r="I65" s="46"/>
      <c r="J65" s="46"/>
      <c r="K65" s="46"/>
      <c r="L65" s="46">
        <f>SUM(Table113[[#This Row],[County Payment]:[Reductions/ COPA Bonus]])</f>
        <v>182133.16855777529</v>
      </c>
    </row>
    <row r="66" spans="1:12">
      <c r="A66" t="s">
        <v>211</v>
      </c>
      <c r="B66">
        <v>65</v>
      </c>
      <c r="C66" s="46">
        <f>1680455.53029748+0.01</f>
        <v>1680455.5402974801</v>
      </c>
      <c r="D66" s="46">
        <v>185397.70915492467</v>
      </c>
      <c r="E66" s="46">
        <v>112956.68269844326</v>
      </c>
      <c r="F66" s="46">
        <v>94921.16092934749</v>
      </c>
      <c r="G66" s="46"/>
      <c r="H66" s="46"/>
      <c r="I66" s="46"/>
      <c r="J66" s="46"/>
      <c r="K66" s="46"/>
      <c r="L66" s="46">
        <f>SUM(Table113[[#This Row],[County Payment]:[Reductions/ COPA Bonus]])</f>
        <v>2073731.0930801954</v>
      </c>
    </row>
    <row r="67" spans="1:12">
      <c r="A67" t="s">
        <v>212</v>
      </c>
      <c r="B67">
        <v>66</v>
      </c>
      <c r="C67" s="46">
        <v>106232.72587816931</v>
      </c>
      <c r="D67" s="46">
        <v>11720.21732203118</v>
      </c>
      <c r="E67" s="46">
        <v>9786.461666666668</v>
      </c>
      <c r="F67" s="46">
        <v>8928.1785000000018</v>
      </c>
      <c r="G67" s="46"/>
      <c r="H67" s="46"/>
      <c r="I67" s="46">
        <v>2466.8452642061156</v>
      </c>
      <c r="J67" s="46"/>
      <c r="K67" s="46"/>
      <c r="L67" s="46">
        <f>SUM(Table113[[#This Row],[County Payment]:[Reductions/ COPA Bonus]])</f>
        <v>139134.42863107327</v>
      </c>
    </row>
    <row r="68" spans="1:12">
      <c r="A68" t="s">
        <v>213</v>
      </c>
      <c r="B68">
        <v>67</v>
      </c>
      <c r="C68" s="46">
        <f>1338844.51013211+0.01</f>
        <v>1338844.52013211</v>
      </c>
      <c r="D68" s="46">
        <v>147709.17802817404</v>
      </c>
      <c r="E68" s="46">
        <v>145371.02076481629</v>
      </c>
      <c r="F68" s="46">
        <v>122159.97962084996</v>
      </c>
      <c r="G68" s="46"/>
      <c r="H68" s="46"/>
      <c r="I68" s="46"/>
      <c r="J68" s="46"/>
      <c r="K68" s="46"/>
      <c r="L68" s="46">
        <f>SUM(Table113[[#This Row],[County Payment]:[Reductions/ COPA Bonus]])</f>
        <v>1754084.6985459502</v>
      </c>
    </row>
    <row r="69" spans="1:12">
      <c r="A69" t="s">
        <v>269</v>
      </c>
      <c r="C69" s="46">
        <f>SUM(Table113[County Payment])</f>
        <v>52400993.190279797</v>
      </c>
      <c r="D69" s="46">
        <f>SUM(Table113[MNK County Payment])</f>
        <v>5781184.883999994</v>
      </c>
      <c r="E69" s="46">
        <f t="shared" ref="E69:J69" si="0">SUM(E2:E68)</f>
        <v>2955297.5846229889</v>
      </c>
      <c r="F69" s="46">
        <f t="shared" si="0"/>
        <v>2649487.4920939654</v>
      </c>
      <c r="G69" s="46">
        <f t="shared" si="0"/>
        <v>1467969.25</v>
      </c>
      <c r="H69" s="46">
        <f t="shared" si="0"/>
        <v>1339226.77</v>
      </c>
      <c r="I69" s="46">
        <f t="shared" si="0"/>
        <v>667068.0223027902</v>
      </c>
      <c r="J69" s="46">
        <f t="shared" si="0"/>
        <v>206470.89</v>
      </c>
      <c r="K69" s="46"/>
      <c r="L69" s="46">
        <f>SUM(L2:L68)</f>
        <v>67467698.083299547</v>
      </c>
    </row>
    <row r="70" spans="1:12" ht="15">
      <c r="E70" s="52">
        <f>Table113[[#Totals],[Dist Litigating]]/C133</f>
        <v>3.5555704204425921E-2</v>
      </c>
      <c r="F70" s="55" t="s">
        <v>214</v>
      </c>
    </row>
    <row r="72" spans="1:12">
      <c r="A72" t="s">
        <v>215</v>
      </c>
      <c r="B72" t="s">
        <v>140</v>
      </c>
      <c r="C72" t="s">
        <v>143</v>
      </c>
      <c r="D72" t="s">
        <v>144</v>
      </c>
      <c r="E72" t="s">
        <v>216</v>
      </c>
      <c r="F72" t="s">
        <v>146</v>
      </c>
      <c r="G72" t="s">
        <v>217</v>
      </c>
      <c r="H72" t="s">
        <v>218</v>
      </c>
      <c r="I72" t="s">
        <v>149</v>
      </c>
    </row>
    <row r="73" spans="1:12">
      <c r="A73" t="s">
        <v>46</v>
      </c>
      <c r="B73">
        <v>68</v>
      </c>
      <c r="C73" s="46">
        <v>178962.07629058108</v>
      </c>
      <c r="D73" s="46">
        <v>150387.63212601433</v>
      </c>
      <c r="E73" s="46"/>
      <c r="F73" s="46"/>
      <c r="G73" s="46">
        <v>29725.821361440336</v>
      </c>
      <c r="H73" s="46"/>
      <c r="I73" s="46">
        <f>SUM(Table215[[#This Row],[Dist Litigating]:[MNK Bellwether]])</f>
        <v>359075.52977803577</v>
      </c>
    </row>
    <row r="74" spans="1:12">
      <c r="A74" t="s">
        <v>47</v>
      </c>
      <c r="B74">
        <v>69</v>
      </c>
      <c r="C74" s="46">
        <v>159666.86330377465</v>
      </c>
      <c r="D74" s="46">
        <v>134173.23937533272</v>
      </c>
      <c r="E74" s="46"/>
      <c r="F74" s="46"/>
      <c r="G74" s="46">
        <v>27292.001107676042</v>
      </c>
      <c r="H74" s="46"/>
      <c r="I74" s="46">
        <f>SUM(Table215[[#This Row],[Dist Litigating]:[MNK Bellwether]])</f>
        <v>321132.10378678341</v>
      </c>
    </row>
    <row r="75" spans="1:12">
      <c r="A75" t="s">
        <v>48</v>
      </c>
      <c r="B75">
        <v>70</v>
      </c>
      <c r="C75" s="46">
        <v>103677.86173627451</v>
      </c>
      <c r="D75" s="46">
        <v>87123.866986713358</v>
      </c>
      <c r="E75" s="46"/>
      <c r="F75" s="46"/>
      <c r="G75" s="46">
        <v>17721.703203522382</v>
      </c>
      <c r="H75" s="46">
        <v>103235.44</v>
      </c>
      <c r="I75" s="46">
        <f>SUM(Table215[[#This Row],[Dist Litigating]:[MNK Bellwether]])</f>
        <v>311758.87192651024</v>
      </c>
    </row>
    <row r="76" spans="1:12">
      <c r="A76" t="s">
        <v>49</v>
      </c>
      <c r="B76">
        <v>71</v>
      </c>
      <c r="C76" s="46">
        <v>98171.191523967078</v>
      </c>
      <c r="D76" s="46">
        <v>82496.433558956691</v>
      </c>
      <c r="E76" s="46"/>
      <c r="F76" s="46"/>
      <c r="G76" s="46">
        <v>16507.726530289798</v>
      </c>
      <c r="H76" s="46"/>
      <c r="I76" s="46">
        <f>SUM(Table215[[#This Row],[Dist Litigating]:[MNK Bellwether]])</f>
        <v>197175.35161321357</v>
      </c>
    </row>
    <row r="77" spans="1:12">
      <c r="A77" t="s">
        <v>50</v>
      </c>
      <c r="B77">
        <v>72</v>
      </c>
      <c r="C77" s="46">
        <v>74978.62674318823</v>
      </c>
      <c r="D77" s="46">
        <v>63006.969798784085</v>
      </c>
      <c r="E77" s="46"/>
      <c r="F77" s="46"/>
      <c r="G77" s="46">
        <v>12761.848161106815</v>
      </c>
      <c r="H77" s="46"/>
      <c r="I77" s="46">
        <f>SUM(Table215[[#This Row],[Dist Litigating]:[MNK Bellwether]])</f>
        <v>150747.44470307912</v>
      </c>
    </row>
    <row r="78" spans="1:12">
      <c r="A78" t="s">
        <v>51</v>
      </c>
      <c r="B78">
        <v>73</v>
      </c>
      <c r="C78" s="46">
        <v>147926.09102443259</v>
      </c>
      <c r="D78" s="46">
        <v>124307.08795924112</v>
      </c>
      <c r="E78" s="46"/>
      <c r="F78" s="46"/>
      <c r="G78" s="46">
        <v>24839.208032726689</v>
      </c>
      <c r="H78" s="46"/>
      <c r="I78" s="46">
        <f>SUM(Table215[[#This Row],[Dist Litigating]:[MNK Bellwether]])</f>
        <v>297072.38701640035</v>
      </c>
    </row>
    <row r="79" spans="1:12">
      <c r="A79" t="s">
        <v>52</v>
      </c>
      <c r="B79">
        <v>74</v>
      </c>
      <c r="C79" s="46">
        <v>86625.286834323633</v>
      </c>
      <c r="D79" s="46">
        <v>72794.035693339669</v>
      </c>
      <c r="E79" s="46"/>
      <c r="F79" s="46"/>
      <c r="G79" s="46">
        <v>14444.183829129694</v>
      </c>
      <c r="H79" s="46"/>
      <c r="I79" s="46">
        <f>SUM(Table215[[#This Row],[Dist Litigating]:[MNK Bellwether]])</f>
        <v>173863.50635679302</v>
      </c>
    </row>
    <row r="80" spans="1:12">
      <c r="A80" t="s">
        <v>53</v>
      </c>
      <c r="B80">
        <v>75</v>
      </c>
      <c r="C80" s="46">
        <v>79276.23213759283</v>
      </c>
      <c r="D80" s="46">
        <v>66618.386879278187</v>
      </c>
      <c r="E80" s="46"/>
      <c r="F80" s="46"/>
      <c r="G80" s="46">
        <v>13167.374471274266</v>
      </c>
      <c r="H80" s="46"/>
      <c r="I80" s="46">
        <f>SUM(Table215[[#This Row],[Dist Litigating]:[MNK Bellwether]])</f>
        <v>159061.99348814529</v>
      </c>
    </row>
    <row r="81" spans="1:10">
      <c r="A81" t="s">
        <v>54</v>
      </c>
      <c r="B81">
        <v>76</v>
      </c>
      <c r="C81" s="46">
        <v>118705.91738956672</v>
      </c>
      <c r="D81" s="46">
        <v>99752.429149162534</v>
      </c>
      <c r="E81" s="46"/>
      <c r="F81" s="46"/>
      <c r="G81" s="46">
        <v>20290.462325166449</v>
      </c>
      <c r="H81" s="46"/>
      <c r="I81" s="46">
        <f>SUM(Table215[[#This Row],[Dist Litigating]:[MNK Bellwether]])</f>
        <v>238748.80886389571</v>
      </c>
    </row>
    <row r="82" spans="1:10">
      <c r="A82" t="s">
        <v>55</v>
      </c>
      <c r="B82">
        <v>77</v>
      </c>
      <c r="C82" s="46">
        <v>22299.606195029206</v>
      </c>
      <c r="D82" s="46">
        <v>18739.081723481013</v>
      </c>
      <c r="E82" s="46"/>
      <c r="F82" s="46"/>
      <c r="G82" s="46">
        <v>3811.6918212239257</v>
      </c>
      <c r="H82" s="46"/>
      <c r="I82" s="46">
        <f>SUM(Table215[[#This Row],[Dist Litigating]:[MNK Bellwether]])</f>
        <v>44850.37973973414</v>
      </c>
    </row>
    <row r="83" spans="1:10">
      <c r="A83" t="s">
        <v>269</v>
      </c>
      <c r="C83" s="46">
        <f>SUM(C73:C82)</f>
        <v>1070289.7531787304</v>
      </c>
      <c r="D83" s="46">
        <f>SUM(D73:D82)</f>
        <v>899399.16325030371</v>
      </c>
      <c r="E83" s="46"/>
      <c r="F83" s="46"/>
      <c r="G83" s="46">
        <f>SUM(G73:G82)</f>
        <v>180562.02084355641</v>
      </c>
      <c r="H83" s="46">
        <f>SUM(H73:H82)</f>
        <v>103235.44</v>
      </c>
      <c r="I83" s="46">
        <f>SUM(I73:I82)</f>
        <v>2253486.3772725905</v>
      </c>
    </row>
    <row r="84" spans="1:10">
      <c r="C84" s="46"/>
      <c r="D84" s="46"/>
      <c r="E84" s="46"/>
      <c r="F84" s="46"/>
      <c r="G84" s="46"/>
      <c r="H84" s="46"/>
      <c r="I84" s="46"/>
      <c r="J84" s="46"/>
    </row>
    <row r="85" spans="1:10">
      <c r="A85" t="s">
        <v>219</v>
      </c>
      <c r="B85" t="s">
        <v>140</v>
      </c>
      <c r="C85" t="s">
        <v>143</v>
      </c>
      <c r="D85" t="s">
        <v>144</v>
      </c>
      <c r="E85" t="s">
        <v>217</v>
      </c>
      <c r="F85" t="s">
        <v>149</v>
      </c>
    </row>
    <row r="86" spans="1:10">
      <c r="A86" t="s">
        <v>220</v>
      </c>
      <c r="B86">
        <v>78</v>
      </c>
      <c r="C86" s="46"/>
      <c r="D86" s="46">
        <v>3571.2714000000005</v>
      </c>
      <c r="E86" s="46"/>
      <c r="F86" s="46">
        <f>SUM(Table317[[#This Row],[Dist Litigating]:[MNK Litigating]])</f>
        <v>3571.2714000000005</v>
      </c>
      <c r="I86" s="46"/>
    </row>
    <row r="87" spans="1:10">
      <c r="A87" t="s">
        <v>221</v>
      </c>
      <c r="B87">
        <v>79</v>
      </c>
      <c r="C87" s="46">
        <v>40080.396698233497</v>
      </c>
      <c r="D87" s="46">
        <v>35712.714000000007</v>
      </c>
      <c r="E87" s="46">
        <v>11908.4</v>
      </c>
      <c r="F87" s="46">
        <f>SUM(Table317[[#This Row],[Dist Litigating]:[MNK Litigating]])</f>
        <v>87701.510698233498</v>
      </c>
    </row>
    <row r="88" spans="1:10">
      <c r="A88" t="s">
        <v>222</v>
      </c>
      <c r="B88">
        <v>80</v>
      </c>
      <c r="C88" s="46">
        <v>19812.318625348737</v>
      </c>
      <c r="D88" s="46">
        <v>17856.357000000004</v>
      </c>
      <c r="E88" s="46"/>
      <c r="F88" s="46">
        <f>SUM(Table317[[#This Row],[Dist Litigating]:[MNK Litigating]])</f>
        <v>37668.67562534874</v>
      </c>
      <c r="I88" s="46"/>
    </row>
    <row r="89" spans="1:10">
      <c r="A89" t="s">
        <v>223</v>
      </c>
      <c r="B89">
        <v>81</v>
      </c>
      <c r="C89" s="46">
        <v>19572.923333333336</v>
      </c>
      <c r="D89" s="46">
        <v>17856.357000000004</v>
      </c>
      <c r="E89" s="46">
        <v>5137.4236157510531</v>
      </c>
      <c r="F89" s="46">
        <f>SUM(Table317[[#This Row],[Dist Litigating]:[MNK Litigating]])</f>
        <v>42566.703949084396</v>
      </c>
    </row>
    <row r="90" spans="1:10">
      <c r="A90" t="s">
        <v>224</v>
      </c>
      <c r="B90">
        <v>82</v>
      </c>
      <c r="C90" s="46">
        <v>3914.5846666666675</v>
      </c>
      <c r="D90" s="46">
        <v>3571.2714000000005</v>
      </c>
      <c r="E90" s="46"/>
      <c r="F90" s="46">
        <f>SUM(Table317[[#This Row],[Dist Litigating]:[MNK Litigating]])</f>
        <v>7485.8560666666681</v>
      </c>
    </row>
    <row r="91" spans="1:10">
      <c r="A91" t="s">
        <v>225</v>
      </c>
      <c r="B91">
        <v>83</v>
      </c>
      <c r="C91" s="46">
        <v>9786.461666666668</v>
      </c>
      <c r="D91" s="46">
        <v>8928.1785000000018</v>
      </c>
      <c r="E91" s="46">
        <v>2072.8238937974165</v>
      </c>
      <c r="F91" s="46">
        <f>SUM(Table317[[#This Row],[Dist Litigating]:[MNK Litigating]])</f>
        <v>20787.464060464088</v>
      </c>
    </row>
    <row r="92" spans="1:10">
      <c r="A92" t="s">
        <v>226</v>
      </c>
      <c r="B92">
        <v>84</v>
      </c>
      <c r="C92" s="46">
        <v>3914.5846666666675</v>
      </c>
      <c r="D92" s="46">
        <v>3571.2714000000005</v>
      </c>
      <c r="E92" s="46">
        <v>829.12955751896652</v>
      </c>
      <c r="F92" s="46">
        <f>SUM(Table317[[#This Row],[Dist Litigating]:[MNK Litigating]])</f>
        <v>8314.9856241856342</v>
      </c>
    </row>
    <row r="93" spans="1:10">
      <c r="A93" t="s">
        <v>227</v>
      </c>
      <c r="B93">
        <v>85</v>
      </c>
      <c r="C93" s="46">
        <v>3914.5846666666675</v>
      </c>
      <c r="D93" s="46">
        <v>3571.2714000000005</v>
      </c>
      <c r="E93" s="46">
        <v>829.12955751896652</v>
      </c>
      <c r="F93" s="46">
        <f>SUM(Table317[[#This Row],[Dist Litigating]:[MNK Litigating]])</f>
        <v>8314.9856241856342</v>
      </c>
    </row>
    <row r="94" spans="1:10">
      <c r="A94" t="s">
        <v>228</v>
      </c>
      <c r="B94">
        <v>86</v>
      </c>
      <c r="C94" s="46">
        <v>9786.461666666668</v>
      </c>
      <c r="D94" s="46">
        <v>8928.1785000000018</v>
      </c>
      <c r="E94" s="46">
        <v>2072.8238937974165</v>
      </c>
      <c r="F94" s="46">
        <f>SUM(Table317[[#This Row],[Dist Litigating]:[MNK Litigating]])</f>
        <v>20787.464060464088</v>
      </c>
    </row>
    <row r="95" spans="1:10">
      <c r="A95" t="s">
        <v>229</v>
      </c>
      <c r="B95">
        <v>87</v>
      </c>
      <c r="C95" s="46">
        <v>3914.5846666666675</v>
      </c>
      <c r="D95" s="46">
        <v>3571.2714000000005</v>
      </c>
      <c r="E95" s="46">
        <v>829.12955751896652</v>
      </c>
      <c r="F95" s="46">
        <f>SUM(Table317[[#This Row],[Dist Litigating]:[MNK Litigating]])</f>
        <v>8314.9856241856342</v>
      </c>
    </row>
    <row r="96" spans="1:10">
      <c r="A96" t="s">
        <v>230</v>
      </c>
      <c r="B96">
        <v>88</v>
      </c>
      <c r="C96" s="46">
        <v>9786.461666666668</v>
      </c>
      <c r="D96" s="46">
        <v>8928.1785000000018</v>
      </c>
      <c r="E96" s="46">
        <v>2072.8238937974165</v>
      </c>
      <c r="F96" s="46">
        <f>SUM(Table317[[#This Row],[Dist Litigating]:[MNK Litigating]])</f>
        <v>20787.464060464088</v>
      </c>
    </row>
    <row r="97" spans="1:6">
      <c r="A97" t="s">
        <v>231</v>
      </c>
      <c r="B97">
        <v>89</v>
      </c>
      <c r="C97" s="46">
        <v>9786.461666666668</v>
      </c>
      <c r="D97" s="46">
        <v>8928.1785000000018</v>
      </c>
      <c r="E97" s="46">
        <v>2835.3248936057321</v>
      </c>
      <c r="F97" s="46">
        <f>SUM(Table317[[#This Row],[Dist Litigating]:[MNK Litigating]])</f>
        <v>21549.965060272403</v>
      </c>
    </row>
    <row r="98" spans="1:6">
      <c r="A98" t="s">
        <v>232</v>
      </c>
      <c r="B98">
        <v>90</v>
      </c>
      <c r="C98" s="46">
        <v>9786.461666666668</v>
      </c>
      <c r="D98" s="46">
        <v>8928.1785000000018</v>
      </c>
      <c r="E98" s="46">
        <v>2072.8238937974165</v>
      </c>
      <c r="F98" s="46">
        <f>SUM(Table317[[#This Row],[Dist Litigating]:[MNK Litigating]])</f>
        <v>20787.464060464088</v>
      </c>
    </row>
    <row r="99" spans="1:6">
      <c r="A99" t="s">
        <v>233</v>
      </c>
      <c r="B99">
        <v>91</v>
      </c>
      <c r="C99" s="46">
        <v>10567.504171380569</v>
      </c>
      <c r="D99" s="46">
        <v>8928.1785000000018</v>
      </c>
      <c r="E99" s="46">
        <v>3139.7416804004338</v>
      </c>
      <c r="F99" s="46">
        <f>SUM(Table317[[#This Row],[Dist Litigating]:[MNK Litigating]])</f>
        <v>22635.424351781006</v>
      </c>
    </row>
    <row r="100" spans="1:6">
      <c r="A100" t="s">
        <v>234</v>
      </c>
      <c r="B100">
        <v>92</v>
      </c>
      <c r="C100" s="46">
        <v>9786.461666666668</v>
      </c>
      <c r="D100" s="46">
        <v>8928.1785000000018</v>
      </c>
      <c r="E100" s="46">
        <v>2072.8238937974165</v>
      </c>
      <c r="F100" s="46">
        <f>SUM(Table317[[#This Row],[Dist Litigating]:[MNK Litigating]])</f>
        <v>20787.464060464088</v>
      </c>
    </row>
    <row r="101" spans="1:6">
      <c r="A101" t="s">
        <v>235</v>
      </c>
      <c r="B101">
        <v>93</v>
      </c>
      <c r="C101" s="46"/>
      <c r="D101" s="46">
        <v>3571.2714000000005</v>
      </c>
      <c r="E101" s="46"/>
      <c r="F101" s="46">
        <f>SUM(Table317[[#This Row],[Dist Litigating]:[MNK Litigating]])</f>
        <v>3571.2714000000005</v>
      </c>
    </row>
    <row r="102" spans="1:6">
      <c r="A102" t="s">
        <v>236</v>
      </c>
      <c r="B102">
        <v>94</v>
      </c>
      <c r="C102" s="46">
        <v>14663.287885785454</v>
      </c>
      <c r="D102" s="46">
        <v>12322.035986802002</v>
      </c>
      <c r="E102" s="46"/>
      <c r="F102" s="46">
        <f>SUM(Table317[[#This Row],[Dist Litigating]:[MNK Litigating]])</f>
        <v>26985.323872587454</v>
      </c>
    </row>
    <row r="103" spans="1:6">
      <c r="A103" t="s">
        <v>237</v>
      </c>
      <c r="B103">
        <v>95</v>
      </c>
      <c r="C103" s="46">
        <v>3914.5846666666675</v>
      </c>
      <c r="D103" s="46">
        <v>3571.2714000000005</v>
      </c>
      <c r="E103" s="46"/>
      <c r="F103" s="46">
        <f>SUM(Table317[[#This Row],[Dist Litigating]:[MNK Litigating]])</f>
        <v>7485.8560666666681</v>
      </c>
    </row>
    <row r="104" spans="1:6">
      <c r="A104" t="s">
        <v>238</v>
      </c>
      <c r="B104">
        <v>96</v>
      </c>
      <c r="C104" s="46">
        <v>9786.461666666668</v>
      </c>
      <c r="D104" s="46">
        <v>8928.1785000000018</v>
      </c>
      <c r="E104" s="46">
        <v>2072.8238937974165</v>
      </c>
      <c r="F104" s="46">
        <f>SUM(Table317[[#This Row],[Dist Litigating]:[MNK Litigating]])</f>
        <v>20787.464060464088</v>
      </c>
    </row>
    <row r="105" spans="1:6">
      <c r="A105" t="s">
        <v>239</v>
      </c>
      <c r="B105">
        <v>97</v>
      </c>
      <c r="C105" s="46"/>
      <c r="D105" s="46">
        <v>8928.1785000000018</v>
      </c>
      <c r="E105" s="46"/>
      <c r="F105" s="46">
        <f>SUM(Table317[[#This Row],[Dist Litigating]:[MNK Litigating]])</f>
        <v>8928.1785000000018</v>
      </c>
    </row>
    <row r="106" spans="1:6">
      <c r="A106" t="s">
        <v>240</v>
      </c>
      <c r="B106">
        <v>98</v>
      </c>
      <c r="C106" s="46">
        <v>9786.461666666668</v>
      </c>
      <c r="D106" s="46">
        <v>8928.1785000000018</v>
      </c>
      <c r="E106" s="46"/>
      <c r="F106" s="46">
        <f>SUM(Table317[[#This Row],[Dist Litigating]:[MNK Litigating]])</f>
        <v>18714.640166666672</v>
      </c>
    </row>
    <row r="107" spans="1:6">
      <c r="A107" t="s">
        <v>241</v>
      </c>
      <c r="B107">
        <v>99</v>
      </c>
      <c r="C107" s="46">
        <v>11385.386953541667</v>
      </c>
      <c r="D107" s="46">
        <v>9567.5096102562547</v>
      </c>
      <c r="E107" s="46"/>
      <c r="F107" s="46">
        <f>SUM(Table317[[#This Row],[Dist Litigating]:[MNK Litigating]])</f>
        <v>20952.89656379792</v>
      </c>
    </row>
    <row r="108" spans="1:6">
      <c r="A108" t="s">
        <v>242</v>
      </c>
      <c r="B108">
        <v>100</v>
      </c>
      <c r="C108" s="46">
        <v>96493.288315471422</v>
      </c>
      <c r="D108" s="46">
        <v>81086.437118970236</v>
      </c>
      <c r="E108" s="46">
        <v>28669.399537450267</v>
      </c>
      <c r="F108" s="46">
        <f>SUM(Table317[[#This Row],[Dist Litigating]:[MNK Litigating]])</f>
        <v>206249.1249718919</v>
      </c>
    </row>
    <row r="109" spans="1:6">
      <c r="A109" t="s">
        <v>243</v>
      </c>
      <c r="B109">
        <v>101</v>
      </c>
      <c r="C109" s="46">
        <v>3914.5846666666675</v>
      </c>
      <c r="D109" s="46">
        <v>3571.2714000000005</v>
      </c>
      <c r="E109" s="46">
        <v>928.10688370607147</v>
      </c>
      <c r="F109" s="46">
        <f>SUM(Table317[[#This Row],[Dist Litigating]:[MNK Litigating]])</f>
        <v>8413.9629503727392</v>
      </c>
    </row>
    <row r="110" spans="1:6">
      <c r="A110" t="s">
        <v>89</v>
      </c>
      <c r="B110">
        <v>102</v>
      </c>
      <c r="C110" s="46"/>
      <c r="D110" s="46">
        <v>112893.02705692685</v>
      </c>
      <c r="E110" s="46"/>
      <c r="F110" s="46">
        <f>SUM(Table317[[#This Row],[Dist Litigating]:[MNK Litigating]])</f>
        <v>112893.02705692685</v>
      </c>
    </row>
    <row r="111" spans="1:6">
      <c r="A111" t="s">
        <v>244</v>
      </c>
      <c r="B111">
        <v>103</v>
      </c>
      <c r="C111" s="46">
        <v>3914.5846666666675</v>
      </c>
      <c r="D111" s="46">
        <v>3571.2714000000005</v>
      </c>
      <c r="E111" s="46">
        <v>829.12955751896652</v>
      </c>
      <c r="F111" s="46">
        <f>SUM(Table317[[#This Row],[Dist Litigating]:[MNK Litigating]])</f>
        <v>8314.9856241856342</v>
      </c>
    </row>
    <row r="112" spans="1:6">
      <c r="A112" t="s">
        <v>245</v>
      </c>
      <c r="B112">
        <v>104</v>
      </c>
      <c r="C112" s="46"/>
      <c r="D112" s="46">
        <v>3571.2714000000005</v>
      </c>
      <c r="E112" s="46"/>
      <c r="F112" s="46">
        <f>SUM(Table317[[#This Row],[Dist Litigating]:[MNK Litigating]])</f>
        <v>3571.2714000000005</v>
      </c>
    </row>
    <row r="113" spans="1:8">
      <c r="A113" t="s">
        <v>246</v>
      </c>
      <c r="B113">
        <v>105</v>
      </c>
      <c r="C113" s="46"/>
      <c r="D113" s="46">
        <v>3571.2714000000005</v>
      </c>
      <c r="E113" s="46"/>
      <c r="F113" s="46">
        <f>SUM(Table317[[#This Row],[Dist Litigating]:[MNK Litigating]])</f>
        <v>3571.2714000000005</v>
      </c>
    </row>
    <row r="114" spans="1:8">
      <c r="A114" t="s">
        <v>247</v>
      </c>
      <c r="B114">
        <v>106</v>
      </c>
      <c r="C114" s="46">
        <v>10702.225517507572</v>
      </c>
      <c r="D114" s="46">
        <v>8928.1785000000018</v>
      </c>
      <c r="E114" s="46">
        <v>3179.7691285863707</v>
      </c>
      <c r="F114" s="46">
        <f>SUM(Table317[[#This Row],[Dist Litigating]:[MNK Litigating]])</f>
        <v>22810.173146093941</v>
      </c>
    </row>
    <row r="115" spans="1:8">
      <c r="A115" t="s">
        <v>248</v>
      </c>
      <c r="B115">
        <v>107</v>
      </c>
      <c r="C115" s="46">
        <v>9786.461666666668</v>
      </c>
      <c r="D115" s="46">
        <v>8928.1785000000018</v>
      </c>
      <c r="E115" s="46">
        <v>2426.1554232605999</v>
      </c>
      <c r="F115" s="46">
        <f>SUM(Table317[[#This Row],[Dist Litigating]:[MNK Litigating]])</f>
        <v>21140.795589927271</v>
      </c>
    </row>
    <row r="116" spans="1:8">
      <c r="A116" t="s">
        <v>249</v>
      </c>
      <c r="B116">
        <v>108</v>
      </c>
      <c r="C116" s="46">
        <v>9786.461666666668</v>
      </c>
      <c r="D116" s="46">
        <v>8928.1785000000018</v>
      </c>
      <c r="E116" s="46"/>
      <c r="F116" s="46">
        <f>SUM(Table317[[#This Row],[Dist Litigating]:[MNK Litigating]])</f>
        <v>18714.640166666672</v>
      </c>
    </row>
    <row r="117" spans="1:8">
      <c r="A117" t="s">
        <v>250</v>
      </c>
      <c r="B117">
        <v>109</v>
      </c>
      <c r="C117" s="46">
        <v>3914.5846666666675</v>
      </c>
      <c r="D117" s="46">
        <v>3571.2714000000005</v>
      </c>
      <c r="E117" s="46">
        <v>829.12955751896652</v>
      </c>
      <c r="F117" s="46">
        <f>SUM(Table317[[#This Row],[Dist Litigating]:[MNK Litigating]])</f>
        <v>8314.9856241856342</v>
      </c>
    </row>
    <row r="118" spans="1:8">
      <c r="A118" t="s">
        <v>251</v>
      </c>
      <c r="B118">
        <v>110</v>
      </c>
      <c r="C118" s="46">
        <v>14118.032697678056</v>
      </c>
      <c r="D118" s="46">
        <v>11863.840382774959</v>
      </c>
      <c r="E118" s="46">
        <v>4194.64946379718</v>
      </c>
      <c r="F118" s="46">
        <f>SUM(Table317[[#This Row],[Dist Litigating]:[MNK Litigating]])</f>
        <v>30176.522544250194</v>
      </c>
    </row>
    <row r="119" spans="1:8">
      <c r="A119" t="s">
        <v>252</v>
      </c>
      <c r="B119">
        <v>111</v>
      </c>
      <c r="C119" s="46">
        <v>3914.5846666666675</v>
      </c>
      <c r="D119" s="46">
        <v>3571.2714000000005</v>
      </c>
      <c r="E119" s="46">
        <v>829.12955751896652</v>
      </c>
      <c r="F119" s="46">
        <f>SUM(Table317[[#This Row],[Dist Litigating]:[MNK Litigating]])</f>
        <v>8314.9856241856342</v>
      </c>
    </row>
    <row r="120" spans="1:8">
      <c r="A120" t="s">
        <v>253</v>
      </c>
      <c r="B120">
        <v>112</v>
      </c>
      <c r="C120" s="46">
        <v>3914.5846666666675</v>
      </c>
      <c r="D120" s="46">
        <v>3571.2714000000005</v>
      </c>
      <c r="E120" s="46">
        <v>829.12955751896652</v>
      </c>
      <c r="F120" s="46">
        <f>SUM(Table317[[#This Row],[Dist Litigating]:[MNK Litigating]])</f>
        <v>8314.9856241856342</v>
      </c>
    </row>
    <row r="121" spans="1:8">
      <c r="A121" t="s">
        <v>254</v>
      </c>
      <c r="B121">
        <v>113</v>
      </c>
      <c r="C121" s="46">
        <v>3914.5846666666675</v>
      </c>
      <c r="D121" s="46">
        <v>3571.2714000000005</v>
      </c>
      <c r="E121" s="46">
        <v>829.12955751896652</v>
      </c>
      <c r="F121" s="46">
        <f>SUM(Table317[[#This Row],[Dist Litigating]:[MNK Litigating]])</f>
        <v>8314.9856241856342</v>
      </c>
    </row>
    <row r="122" spans="1:8">
      <c r="C122" s="46">
        <f>SUM(C86:C121)</f>
        <v>378320.41219828051</v>
      </c>
      <c r="D122" s="46">
        <f>SUM(D86:D121)</f>
        <v>468793.66965573054</v>
      </c>
      <c r="E122" s="56">
        <f>SUM(E86:E121)</f>
        <v>81488.950449493961</v>
      </c>
      <c r="F122" s="46">
        <f>SUM(F86:F121)</f>
        <v>928603.03230350465</v>
      </c>
    </row>
    <row r="123" spans="1:8">
      <c r="C123" s="46"/>
      <c r="D123" s="46"/>
      <c r="E123" s="56"/>
      <c r="F123" s="46"/>
    </row>
    <row r="124" spans="1:8">
      <c r="A124" t="s">
        <v>255</v>
      </c>
      <c r="B124" t="s">
        <v>140</v>
      </c>
      <c r="C124" t="s">
        <v>256</v>
      </c>
      <c r="D124" t="s">
        <v>257</v>
      </c>
      <c r="E124" t="s">
        <v>258</v>
      </c>
      <c r="F124" t="s">
        <v>272</v>
      </c>
      <c r="G124" t="s">
        <v>149</v>
      </c>
    </row>
    <row r="125" spans="1:8">
      <c r="A125" t="s">
        <v>259</v>
      </c>
      <c r="B125">
        <v>114</v>
      </c>
      <c r="C125" s="46">
        <f>5772983.2062805+0.01</f>
        <v>5772983.2162804995</v>
      </c>
      <c r="D125" s="46">
        <f>5455801.02735089+0.01</f>
        <v>5455801.0373508902</v>
      </c>
      <c r="E125" s="51">
        <v>1238825.328</v>
      </c>
      <c r="F125" s="46"/>
      <c r="G125" s="46">
        <f>SUM(Table718[[Dist Payment]:[MNK Payment]])</f>
        <v>12467609.58163139</v>
      </c>
    </row>
    <row r="126" spans="1:8">
      <c r="C126" s="46"/>
      <c r="D126" s="46"/>
      <c r="E126" s="57"/>
      <c r="F126" s="46"/>
      <c r="G126" s="46"/>
    </row>
    <row r="127" spans="1:8">
      <c r="A127" t="s">
        <v>260</v>
      </c>
      <c r="B127" t="s">
        <v>140</v>
      </c>
      <c r="C127" t="s">
        <v>261</v>
      </c>
      <c r="D127" s="46" t="s">
        <v>262</v>
      </c>
      <c r="E127" s="46" t="s">
        <v>263</v>
      </c>
      <c r="F127" s="46" t="s">
        <v>149</v>
      </c>
      <c r="G127" s="46"/>
      <c r="H127" s="46"/>
    </row>
    <row r="128" spans="1:8">
      <c r="A128" t="s">
        <v>264</v>
      </c>
      <c r="B128">
        <v>115</v>
      </c>
      <c r="D128" s="46">
        <v>9348591.0730233546</v>
      </c>
      <c r="E128" s="46">
        <v>2167116.1509940801</v>
      </c>
      <c r="F128" s="58">
        <f>SUM(D128:E128)</f>
        <v>11515707.224017434</v>
      </c>
    </row>
    <row r="129" spans="1:7">
      <c r="A129" t="s">
        <v>265</v>
      </c>
      <c r="F129" s="46">
        <v>0</v>
      </c>
    </row>
    <row r="131" spans="1:7" ht="15">
      <c r="A131" s="32" t="s">
        <v>267</v>
      </c>
      <c r="C131" s="59" t="s">
        <v>135</v>
      </c>
      <c r="D131" s="59" t="s">
        <v>270</v>
      </c>
      <c r="E131" s="59" t="s">
        <v>3</v>
      </c>
    </row>
    <row r="132" spans="1:7" ht="15">
      <c r="A132" s="32" t="s">
        <v>266</v>
      </c>
      <c r="C132" s="46">
        <f>SUM(F128:F129)</f>
        <v>11515707.224017434</v>
      </c>
      <c r="D132" s="51">
        <f>+'Payment 4 Interest Allocation'!H126</f>
        <v>621.28683123887856</v>
      </c>
      <c r="E132" s="46">
        <f>SUM(C132:D132)</f>
        <v>11516328.510848673</v>
      </c>
    </row>
    <row r="133" spans="1:7" ht="15">
      <c r="A133" s="32" t="s">
        <v>268</v>
      </c>
      <c r="C133" s="63">
        <f>SUM(G125,F86:F121,I73:I82,L2:L68)</f>
        <v>83117397.074507043</v>
      </c>
      <c r="D133" s="62" cm="1">
        <f t="array" ref="D133">+Table1137[[#Totals],[Interest]]+Table2158[[#Totals],[Interest]]+Table3179[[#Totals],[Interest]]+Table71810[Interest]</f>
        <v>4050.1125320946335</v>
      </c>
      <c r="E133" s="63">
        <f>SUM(C133:D133)</f>
        <v>83121447.187039137</v>
      </c>
    </row>
    <row r="134" spans="1:7">
      <c r="C134" s="46">
        <f>SUM(C132:C133)</f>
        <v>94633104.298524469</v>
      </c>
      <c r="D134" s="51">
        <f>SUM(D132:D133)</f>
        <v>4671.3993633335122</v>
      </c>
      <c r="E134" s="46">
        <f>SUM(C134:D134)</f>
        <v>94637775.697887808</v>
      </c>
    </row>
    <row r="136" spans="1:7" ht="15">
      <c r="A136" s="32"/>
    </row>
    <row r="137" spans="1:7" ht="15">
      <c r="A137" s="32"/>
      <c r="B137" s="50"/>
      <c r="F137" s="46"/>
    </row>
    <row r="138" spans="1:7">
      <c r="E138" s="46"/>
      <c r="F138" s="46"/>
      <c r="G138" s="64"/>
    </row>
    <row r="139" spans="1:7">
      <c r="A139" t="s">
        <v>282</v>
      </c>
      <c r="F139" s="46"/>
    </row>
  </sheetData>
  <pageMargins left="0.7" right="0.7" top="0.75" bottom="0.75" header="0.3" footer="0.3"/>
  <pageSetup orientation="portrait" horizontalDpi="200" verticalDpi="200" r:id="rId1"/>
  <customProperties>
    <customPr name="OrphanNamesChecked" r:id="rId2"/>
  </customProperties>
  <drawing r:id="rId3"/>
  <tableParts count="5"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1DEC-AC68-44FB-BBCB-2B07C909735E}">
  <dimension ref="A1:G143"/>
  <sheetViews>
    <sheetView workbookViewId="0">
      <pane ySplit="1" topLeftCell="A109" activePane="bottomLeft" state="frozen"/>
      <selection pane="bottomLeft" activeCell="C135" sqref="C135"/>
    </sheetView>
  </sheetViews>
  <sheetFormatPr defaultRowHeight="14.25"/>
  <cols>
    <col min="1" max="1" width="40.25" bestFit="1" customWidth="1"/>
    <col min="2" max="5" width="13.75" customWidth="1"/>
    <col min="7" max="7" width="18.375" customWidth="1"/>
  </cols>
  <sheetData>
    <row r="1" spans="1:7" ht="31.15" customHeight="1">
      <c r="A1" s="2" t="s">
        <v>4</v>
      </c>
      <c r="B1" s="2" t="s">
        <v>0</v>
      </c>
      <c r="C1" s="2" t="s">
        <v>1</v>
      </c>
      <c r="D1" s="2" t="s">
        <v>2</v>
      </c>
      <c r="E1" s="2" t="s">
        <v>3</v>
      </c>
      <c r="G1" s="35" t="s">
        <v>133</v>
      </c>
    </row>
    <row r="2" spans="1:7">
      <c r="A2" t="s">
        <v>5</v>
      </c>
      <c r="B2" s="4">
        <v>1027578.475</v>
      </c>
      <c r="C2" s="3">
        <v>937458.74249999982</v>
      </c>
      <c r="D2" s="3"/>
      <c r="E2" s="3">
        <f>SUM(B2:D2)</f>
        <v>1965037.2174999998</v>
      </c>
    </row>
    <row r="3" spans="1:7">
      <c r="A3" t="s">
        <v>6</v>
      </c>
      <c r="B3" s="3">
        <v>366992.3125</v>
      </c>
      <c r="C3" s="3">
        <v>334806.69374999998</v>
      </c>
      <c r="D3" s="3"/>
      <c r="E3" s="3">
        <f>SUM(B3:D3)</f>
        <v>701799.00624999998</v>
      </c>
    </row>
    <row r="4" spans="1:7">
      <c r="A4" s="1" t="s">
        <v>7</v>
      </c>
      <c r="B4" s="6">
        <v>73398.462500000009</v>
      </c>
      <c r="C4" s="6">
        <v>66961.338749999995</v>
      </c>
      <c r="D4" s="6"/>
      <c r="E4" s="6">
        <f>SUM(B4:D4)</f>
        <v>140359.80125000002</v>
      </c>
    </row>
    <row r="5" spans="1:7">
      <c r="A5" s="40" t="s">
        <v>135</v>
      </c>
      <c r="B5" s="3">
        <f>SUM(B2:B4)</f>
        <v>1467969.25</v>
      </c>
      <c r="C5" s="3">
        <f>SUM(C2:C4)</f>
        <v>1339226.7749999999</v>
      </c>
      <c r="D5" s="3"/>
      <c r="E5" s="3">
        <f>SUM(E2:E4)</f>
        <v>2807196.0249999999</v>
      </c>
    </row>
    <row r="6" spans="1:7" ht="15">
      <c r="A6" s="32" t="s">
        <v>130</v>
      </c>
      <c r="B6" s="3"/>
      <c r="C6" s="3"/>
      <c r="D6" s="3"/>
      <c r="E6" s="3"/>
    </row>
    <row r="7" spans="1:7">
      <c r="A7" t="s">
        <v>8</v>
      </c>
      <c r="B7" s="3">
        <v>39145.846666666672</v>
      </c>
      <c r="C7" s="3">
        <v>35712.714000000007</v>
      </c>
      <c r="D7" s="3">
        <v>19763.49772772516</v>
      </c>
      <c r="E7" s="3">
        <f>SUM(B7:D7)</f>
        <v>94622.058394391846</v>
      </c>
      <c r="G7" s="3">
        <v>179137.48344551932</v>
      </c>
    </row>
    <row r="8" spans="1:7">
      <c r="A8" t="s">
        <v>9</v>
      </c>
      <c r="B8" s="3">
        <v>398296.81228561688</v>
      </c>
      <c r="C8" s="3">
        <v>334701.71851222572</v>
      </c>
      <c r="D8" s="3">
        <v>662077.21930295078</v>
      </c>
      <c r="E8" s="3">
        <f t="shared" ref="E8:E71" si="0">SUM(B8:D8)</f>
        <v>1395075.7501007933</v>
      </c>
      <c r="G8" s="3">
        <v>6001106.1071520848</v>
      </c>
    </row>
    <row r="9" spans="1:7">
      <c r="A9" t="s">
        <v>10</v>
      </c>
      <c r="B9" s="3">
        <v>20879.579218425773</v>
      </c>
      <c r="C9" s="3">
        <v>17856.357000000004</v>
      </c>
      <c r="D9" s="3">
        <v>34815.932161708166</v>
      </c>
      <c r="E9" s="3">
        <f t="shared" si="0"/>
        <v>73551.868380133936</v>
      </c>
      <c r="G9" s="3">
        <v>315573.61744267523</v>
      </c>
    </row>
    <row r="10" spans="1:7">
      <c r="A10" t="s">
        <v>11</v>
      </c>
      <c r="B10" s="3">
        <v>53574.825623531717</v>
      </c>
      <c r="C10" s="3">
        <v>45020.662109467819</v>
      </c>
      <c r="D10" s="3">
        <v>73193.886379353964</v>
      </c>
      <c r="E10" s="3">
        <f t="shared" si="0"/>
        <v>171789.37411235349</v>
      </c>
      <c r="G10" s="3">
        <v>663433.60827273701</v>
      </c>
    </row>
    <row r="11" spans="1:7">
      <c r="A11" t="s">
        <v>12</v>
      </c>
      <c r="B11" s="3">
        <v>15152.807292398233</v>
      </c>
      <c r="C11" s="3">
        <v>12733.395007473475</v>
      </c>
      <c r="D11" s="3">
        <v>11030.794231136015</v>
      </c>
      <c r="E11" s="3">
        <f t="shared" si="0"/>
        <v>38916.996531007724</v>
      </c>
      <c r="G11" s="3">
        <v>99983.755213480865</v>
      </c>
    </row>
    <row r="12" spans="1:7">
      <c r="A12" t="s">
        <v>94</v>
      </c>
      <c r="B12" s="3"/>
      <c r="C12" s="3"/>
      <c r="D12" s="3">
        <v>108641.79246069529</v>
      </c>
      <c r="E12" s="3">
        <f t="shared" si="0"/>
        <v>108641.79246069529</v>
      </c>
      <c r="G12" s="3">
        <v>984735.47377787286</v>
      </c>
    </row>
    <row r="13" spans="1:7">
      <c r="A13" t="s">
        <v>95</v>
      </c>
      <c r="B13" s="3"/>
      <c r="C13" s="3"/>
      <c r="D13" s="3">
        <v>46363.793711015562</v>
      </c>
      <c r="E13" s="3">
        <f t="shared" si="0"/>
        <v>46363.793711015562</v>
      </c>
      <c r="G13" s="3">
        <v>420244.10065467242</v>
      </c>
    </row>
    <row r="14" spans="1:7">
      <c r="A14" t="s">
        <v>13</v>
      </c>
      <c r="B14" s="3">
        <v>19572.923333333336</v>
      </c>
      <c r="C14" s="3">
        <v>8928.1785000000018</v>
      </c>
      <c r="D14" s="3">
        <v>12926.70773109772</v>
      </c>
      <c r="E14" s="3">
        <f t="shared" si="0"/>
        <v>41427.80956443106</v>
      </c>
      <c r="G14" s="3">
        <v>117168.42454137413</v>
      </c>
    </row>
    <row r="15" spans="1:7">
      <c r="A15" t="s">
        <v>14</v>
      </c>
      <c r="B15" s="3">
        <v>205916.0039769756</v>
      </c>
      <c r="C15" s="3">
        <v>173037.89102595553</v>
      </c>
      <c r="D15" s="3">
        <v>333394.14129834645</v>
      </c>
      <c r="E15" s="3">
        <f t="shared" si="0"/>
        <v>712348.03630127758</v>
      </c>
      <c r="G15" s="3">
        <v>3021903.7283002241</v>
      </c>
    </row>
    <row r="16" spans="1:7">
      <c r="A16" t="s">
        <v>96</v>
      </c>
      <c r="B16" s="3"/>
      <c r="C16" s="3"/>
      <c r="D16" s="3">
        <v>78651.830194191061</v>
      </c>
      <c r="E16" s="3">
        <f t="shared" si="0"/>
        <v>78651.830194191061</v>
      </c>
      <c r="G16" s="3">
        <v>712904.72584750527</v>
      </c>
    </row>
    <row r="17" spans="1:7">
      <c r="A17" t="s">
        <v>15</v>
      </c>
      <c r="B17" s="3">
        <v>42509.521300859175</v>
      </c>
      <c r="C17" s="3">
        <v>35712.714000000007</v>
      </c>
      <c r="D17" s="3">
        <v>91176.377208579215</v>
      </c>
      <c r="E17" s="3">
        <f t="shared" si="0"/>
        <v>169398.61250943839</v>
      </c>
      <c r="G17" s="3">
        <v>826427.94245430746</v>
      </c>
    </row>
    <row r="18" spans="1:7">
      <c r="A18" t="s">
        <v>97</v>
      </c>
      <c r="B18" s="3"/>
      <c r="C18" s="3"/>
      <c r="D18" s="3">
        <v>8258.9377892467946</v>
      </c>
      <c r="E18" s="3">
        <f t="shared" si="0"/>
        <v>8258.9377892467946</v>
      </c>
      <c r="G18" s="3">
        <v>74859.488531894865</v>
      </c>
    </row>
    <row r="19" spans="1:7">
      <c r="A19" t="s">
        <v>16</v>
      </c>
      <c r="B19" s="3">
        <v>20621.920662830635</v>
      </c>
      <c r="C19" s="3">
        <v>17856.357000000004</v>
      </c>
      <c r="D19" s="3">
        <v>36999.108035855454</v>
      </c>
      <c r="E19" s="3">
        <f t="shared" si="0"/>
        <v>75477.385698686092</v>
      </c>
      <c r="G19" s="3">
        <v>335362.04950068484</v>
      </c>
    </row>
    <row r="20" spans="1:7">
      <c r="A20" t="s">
        <v>98</v>
      </c>
      <c r="B20" s="3"/>
      <c r="C20" s="3"/>
      <c r="D20" s="3">
        <v>14363.011343087839</v>
      </c>
      <c r="E20" s="3">
        <f t="shared" si="0"/>
        <v>14363.011343087839</v>
      </c>
      <c r="G20" s="3">
        <v>130187.16333246742</v>
      </c>
    </row>
    <row r="21" spans="1:7">
      <c r="A21" t="s">
        <v>17</v>
      </c>
      <c r="B21" s="3">
        <v>170205.29254792054</v>
      </c>
      <c r="C21" s="3">
        <v>143029.02297599518</v>
      </c>
      <c r="D21" s="3">
        <v>128118.02781423487</v>
      </c>
      <c r="E21" s="3">
        <f t="shared" si="0"/>
        <v>441352.34333815053</v>
      </c>
      <c r="G21" s="3">
        <v>1161269.1944932756</v>
      </c>
    </row>
    <row r="22" spans="1:7">
      <c r="A22" t="s">
        <v>18</v>
      </c>
      <c r="B22" s="3">
        <v>11860.892792235798</v>
      </c>
      <c r="C22" s="3">
        <v>9967.0925756840443</v>
      </c>
      <c r="D22" s="3">
        <v>8445.4493813413555</v>
      </c>
      <c r="E22" s="3">
        <f t="shared" si="0"/>
        <v>30273.4347492612</v>
      </c>
      <c r="G22" s="3">
        <v>76550.040361410633</v>
      </c>
    </row>
    <row r="23" spans="1:7">
      <c r="A23" t="s">
        <v>19</v>
      </c>
      <c r="B23" s="3">
        <v>25658.205878684788</v>
      </c>
      <c r="C23" s="3">
        <v>21561.421875950105</v>
      </c>
      <c r="D23" s="3">
        <v>17178.16113686829</v>
      </c>
      <c r="E23" s="3">
        <f t="shared" si="0"/>
        <v>64397.78889150318</v>
      </c>
      <c r="G23" s="3">
        <v>155703.84345293764</v>
      </c>
    </row>
    <row r="24" spans="1:7">
      <c r="A24" t="s">
        <v>20</v>
      </c>
      <c r="B24" s="3">
        <v>11927.457239849376</v>
      </c>
      <c r="C24" s="3">
        <v>10023.028838091548</v>
      </c>
      <c r="D24" s="3">
        <v>8258.9377892467946</v>
      </c>
      <c r="E24" s="3">
        <f t="shared" si="0"/>
        <v>30209.423867187717</v>
      </c>
      <c r="G24" s="3">
        <v>74859.488531894851</v>
      </c>
    </row>
    <row r="25" spans="1:7">
      <c r="A25" t="s">
        <v>21</v>
      </c>
      <c r="B25" s="3">
        <v>20614.91387887131</v>
      </c>
      <c r="C25" s="3">
        <v>17856.357000000004</v>
      </c>
      <c r="D25" s="3">
        <v>18844.269692844206</v>
      </c>
      <c r="E25" s="3">
        <f t="shared" si="0"/>
        <v>57315.540571715523</v>
      </c>
      <c r="G25" s="3">
        <v>170805.5475124309</v>
      </c>
    </row>
    <row r="26" spans="1:7">
      <c r="A26" t="s">
        <v>99</v>
      </c>
      <c r="B26" s="3"/>
      <c r="C26" s="3"/>
      <c r="D26" s="3">
        <v>38550.309990369577</v>
      </c>
      <c r="E26" s="3">
        <f t="shared" si="0"/>
        <v>38550.309990369577</v>
      </c>
      <c r="G26" s="3">
        <v>349422.23349623388</v>
      </c>
    </row>
    <row r="27" spans="1:7">
      <c r="A27" t="s">
        <v>22</v>
      </c>
      <c r="B27" s="3">
        <v>82638.328506448001</v>
      </c>
      <c r="C27" s="3">
        <v>69443.665409633541</v>
      </c>
      <c r="D27" s="3">
        <v>60209.729476994238</v>
      </c>
      <c r="E27" s="3">
        <f t="shared" si="0"/>
        <v>212291.72339307581</v>
      </c>
      <c r="G27" s="3">
        <v>545744.46112913499</v>
      </c>
    </row>
    <row r="28" spans="1:7">
      <c r="A28" t="s">
        <v>92</v>
      </c>
      <c r="B28" s="3"/>
      <c r="C28" s="3">
        <v>76651.681769245872</v>
      </c>
      <c r="D28" s="3">
        <v>92555.223390369545</v>
      </c>
      <c r="E28" s="3">
        <f t="shared" si="0"/>
        <v>169206.90515961542</v>
      </c>
      <c r="G28" s="3">
        <v>838925.88378368434</v>
      </c>
    </row>
    <row r="29" spans="1:7">
      <c r="A29" t="s">
        <v>23</v>
      </c>
      <c r="B29" s="3">
        <v>183714.6905116773</v>
      </c>
      <c r="C29" s="3">
        <v>154381.40786852731</v>
      </c>
      <c r="D29" s="3">
        <v>371599.74800220627</v>
      </c>
      <c r="E29" s="3">
        <f t="shared" si="0"/>
        <v>709695.84638241096</v>
      </c>
      <c r="G29" s="3">
        <v>3368201.5513236024</v>
      </c>
    </row>
    <row r="30" spans="1:7">
      <c r="A30" t="s">
        <v>100</v>
      </c>
      <c r="B30" s="3"/>
      <c r="C30" s="3"/>
      <c r="D30" s="3">
        <v>9651.9397904078942</v>
      </c>
      <c r="E30" s="3">
        <f t="shared" si="0"/>
        <v>9651.9397904078942</v>
      </c>
      <c r="G30" s="3">
        <v>87485.739024615439</v>
      </c>
    </row>
    <row r="31" spans="1:7">
      <c r="A31" t="s">
        <v>24</v>
      </c>
      <c r="B31" s="3">
        <v>86271.345989357535</v>
      </c>
      <c r="C31" s="3">
        <v>72496.607731559052</v>
      </c>
      <c r="D31" s="3">
        <v>117834.11410419381</v>
      </c>
      <c r="E31" s="3">
        <f t="shared" si="0"/>
        <v>276602.0678251104</v>
      </c>
      <c r="G31" s="3">
        <v>1068055.2074061998</v>
      </c>
    </row>
    <row r="32" spans="1:7">
      <c r="A32" t="s">
        <v>25</v>
      </c>
      <c r="B32" s="3">
        <v>41022.809140762583</v>
      </c>
      <c r="C32" s="3">
        <v>35712.714000000007</v>
      </c>
      <c r="D32" s="3">
        <v>77445.339785124524</v>
      </c>
      <c r="E32" s="3">
        <f t="shared" si="0"/>
        <v>154180.86292588711</v>
      </c>
      <c r="G32" s="3">
        <v>701969.02718430047</v>
      </c>
    </row>
    <row r="33" spans="1:7">
      <c r="A33" t="s">
        <v>101</v>
      </c>
      <c r="B33" s="3"/>
      <c r="C33" s="3"/>
      <c r="D33" s="3">
        <v>8258.9377892467946</v>
      </c>
      <c r="E33" s="3">
        <f t="shared" si="0"/>
        <v>8258.9377892467946</v>
      </c>
      <c r="G33" s="3">
        <v>74859.488531894851</v>
      </c>
    </row>
    <row r="34" spans="1:7">
      <c r="A34" t="s">
        <v>26</v>
      </c>
      <c r="B34" s="3">
        <v>49662.810742969101</v>
      </c>
      <c r="C34" s="3">
        <v>41733.2692331453</v>
      </c>
      <c r="D34" s="3">
        <v>29530.344119594847</v>
      </c>
      <c r="E34" s="3">
        <f t="shared" si="0"/>
        <v>120926.42409570926</v>
      </c>
      <c r="G34" s="3">
        <v>267664.74253407901</v>
      </c>
    </row>
    <row r="35" spans="1:7">
      <c r="A35" t="s">
        <v>102</v>
      </c>
      <c r="B35" s="3"/>
      <c r="C35" s="3"/>
      <c r="D35" s="3">
        <v>8258.9377892467946</v>
      </c>
      <c r="E35" s="3">
        <f t="shared" si="0"/>
        <v>8258.9377892467946</v>
      </c>
      <c r="G35" s="3">
        <v>74859.488531894851</v>
      </c>
    </row>
    <row r="36" spans="1:7">
      <c r="A36" t="s">
        <v>27</v>
      </c>
      <c r="B36" s="3">
        <v>11450.99593061534</v>
      </c>
      <c r="C36" s="3">
        <v>9622.6429598062387</v>
      </c>
      <c r="D36" s="3">
        <v>11777.66649329318</v>
      </c>
      <c r="E36" s="3">
        <f t="shared" si="0"/>
        <v>32851.30538371476</v>
      </c>
      <c r="G36" s="3">
        <v>106753.44848039719</v>
      </c>
    </row>
    <row r="37" spans="1:7">
      <c r="A37" t="s">
        <v>28</v>
      </c>
      <c r="B37" s="3">
        <v>14042.869015205304</v>
      </c>
      <c r="C37" s="3">
        <v>11800.677904649736</v>
      </c>
      <c r="D37" s="3">
        <v>10283.913710041059</v>
      </c>
      <c r="E37" s="3">
        <f t="shared" si="0"/>
        <v>36127.460629896101</v>
      </c>
      <c r="G37" s="3">
        <v>93213.987087076021</v>
      </c>
    </row>
    <row r="38" spans="1:7">
      <c r="A38" t="s">
        <v>29</v>
      </c>
      <c r="B38" s="3">
        <v>26513.033521722322</v>
      </c>
      <c r="C38" s="3">
        <v>22279.761245814927</v>
      </c>
      <c r="D38" s="3">
        <v>39239.741340202534</v>
      </c>
      <c r="E38" s="3">
        <f t="shared" si="0"/>
        <v>88032.536107739783</v>
      </c>
      <c r="G38" s="3">
        <v>355671.27902041085</v>
      </c>
    </row>
    <row r="39" spans="1:7">
      <c r="A39" t="s">
        <v>103</v>
      </c>
      <c r="B39" s="3"/>
      <c r="C39" s="3"/>
      <c r="D39" s="3">
        <v>10858.430199474435</v>
      </c>
      <c r="E39" s="3">
        <f t="shared" si="0"/>
        <v>10858.430199474435</v>
      </c>
      <c r="G39" s="3">
        <v>98421.437687820231</v>
      </c>
    </row>
    <row r="40" spans="1:7">
      <c r="A40" t="s">
        <v>104</v>
      </c>
      <c r="B40" s="3"/>
      <c r="C40" s="3"/>
      <c r="D40" s="3">
        <v>8258.9377892467946</v>
      </c>
      <c r="E40" s="3">
        <f t="shared" si="0"/>
        <v>8258.9377892467946</v>
      </c>
      <c r="G40" s="3">
        <v>74859.488531894851</v>
      </c>
    </row>
    <row r="41" spans="1:7">
      <c r="A41" t="s">
        <v>30</v>
      </c>
      <c r="B41" s="3">
        <v>68760.755894646747</v>
      </c>
      <c r="C41" s="3">
        <v>57781.891429335468</v>
      </c>
      <c r="D41" s="3">
        <v>80030.684634919176</v>
      </c>
      <c r="E41" s="3">
        <f t="shared" si="0"/>
        <v>206573.33195890137</v>
      </c>
      <c r="G41" s="3">
        <v>725402.74203637068</v>
      </c>
    </row>
    <row r="42" spans="1:7">
      <c r="A42" t="s">
        <v>105</v>
      </c>
      <c r="B42" s="3"/>
      <c r="C42" s="3"/>
      <c r="D42" s="3">
        <v>130186.30534585814</v>
      </c>
      <c r="E42" s="3">
        <f t="shared" si="0"/>
        <v>130186.30534585814</v>
      </c>
      <c r="G42" s="3">
        <v>1180016.1813468295</v>
      </c>
    </row>
    <row r="43" spans="1:7">
      <c r="A43" t="s">
        <v>31</v>
      </c>
      <c r="B43" s="3">
        <v>27412.449789955561</v>
      </c>
      <c r="C43" s="3">
        <v>23035.569882364209</v>
      </c>
      <c r="D43" s="3">
        <v>56820.063193780406</v>
      </c>
      <c r="E43" s="3">
        <f t="shared" si="0"/>
        <v>107268.08286610019</v>
      </c>
      <c r="G43" s="3">
        <v>515020.33040792053</v>
      </c>
    </row>
    <row r="44" spans="1:7">
      <c r="A44" t="s">
        <v>106</v>
      </c>
      <c r="B44" s="3"/>
      <c r="C44" s="3"/>
      <c r="D44" s="3">
        <v>34643.57638898438</v>
      </c>
      <c r="E44" s="3">
        <f t="shared" si="0"/>
        <v>34643.57638898438</v>
      </c>
      <c r="G44" s="3">
        <v>314011.37477650313</v>
      </c>
    </row>
    <row r="45" spans="1:7">
      <c r="A45" t="s">
        <v>32</v>
      </c>
      <c r="B45" s="3">
        <v>119292.72633875201</v>
      </c>
      <c r="C45" s="3">
        <v>100245.54372520845</v>
      </c>
      <c r="D45" s="3">
        <v>121051.43287362164</v>
      </c>
      <c r="E45" s="3">
        <f t="shared" si="0"/>
        <v>340589.7029375821</v>
      </c>
      <c r="G45" s="3">
        <v>1097217.1703207307</v>
      </c>
    </row>
    <row r="46" spans="1:7">
      <c r="A46" t="s">
        <v>33</v>
      </c>
      <c r="B46" s="3">
        <v>103698.49165691638</v>
      </c>
      <c r="C46" s="3">
        <v>87141.202977558874</v>
      </c>
      <c r="D46" s="3">
        <v>188557.57049415269</v>
      </c>
      <c r="E46" s="3">
        <f t="shared" si="0"/>
        <v>379397.26512862794</v>
      </c>
      <c r="G46" s="3">
        <v>1709096.6957502994</v>
      </c>
    </row>
    <row r="47" spans="1:7">
      <c r="A47" t="s">
        <v>34</v>
      </c>
      <c r="B47" s="3">
        <v>39145.846666666672</v>
      </c>
      <c r="C47" s="3">
        <v>35712.714000000007</v>
      </c>
      <c r="D47" s="3">
        <v>36884.201434393661</v>
      </c>
      <c r="E47" s="3">
        <f t="shared" si="0"/>
        <v>111742.76210106035</v>
      </c>
      <c r="G47" s="3">
        <v>334320.52943674056</v>
      </c>
    </row>
    <row r="48" spans="1:7">
      <c r="A48" t="s">
        <v>107</v>
      </c>
      <c r="B48" s="3"/>
      <c r="C48" s="3"/>
      <c r="D48" s="3">
        <v>10341.362881303059</v>
      </c>
      <c r="E48" s="3">
        <f t="shared" si="0"/>
        <v>10341.362881303059</v>
      </c>
      <c r="G48" s="3">
        <v>93734.709689303883</v>
      </c>
    </row>
    <row r="49" spans="1:7">
      <c r="A49" t="s">
        <v>35</v>
      </c>
      <c r="B49" s="3">
        <v>39145.846666666672</v>
      </c>
      <c r="C49" s="3">
        <v>35712.714000000007</v>
      </c>
      <c r="D49" s="3">
        <v>53487.846081828582</v>
      </c>
      <c r="E49" s="3">
        <f t="shared" si="0"/>
        <v>128346.40674849527</v>
      </c>
      <c r="G49" s="3">
        <v>484816.922288934</v>
      </c>
    </row>
    <row r="50" spans="1:7">
      <c r="A50" t="s">
        <v>108</v>
      </c>
      <c r="B50" s="3"/>
      <c r="C50" s="3"/>
      <c r="D50" s="3">
        <v>9939.2021645934765</v>
      </c>
      <c r="E50" s="3">
        <f t="shared" si="0"/>
        <v>9939.2021645934765</v>
      </c>
      <c r="G50" s="3">
        <v>90089.501754731798</v>
      </c>
    </row>
    <row r="51" spans="1:7">
      <c r="A51" t="s">
        <v>36</v>
      </c>
      <c r="B51" s="3">
        <v>53610.496523688278</v>
      </c>
      <c r="C51" s="3">
        <v>45050.637522815392</v>
      </c>
      <c r="D51" s="3">
        <v>47512.826689882306</v>
      </c>
      <c r="E51" s="3">
        <f t="shared" si="0"/>
        <v>146173.96073638595</v>
      </c>
      <c r="G51" s="3">
        <v>430659.00185616082</v>
      </c>
    </row>
    <row r="52" spans="1:7">
      <c r="A52" t="s">
        <v>109</v>
      </c>
      <c r="B52" s="3"/>
      <c r="C52" s="3"/>
      <c r="D52" s="3">
        <v>289960.40398257319</v>
      </c>
      <c r="E52" s="3">
        <f t="shared" si="0"/>
        <v>289960.40398257319</v>
      </c>
      <c r="G52" s="3">
        <v>2628217.8278299663</v>
      </c>
    </row>
    <row r="53" spans="1:7">
      <c r="A53" t="s">
        <v>110</v>
      </c>
      <c r="B53" s="3"/>
      <c r="C53" s="3"/>
      <c r="D53" s="3">
        <v>8258.9377892467946</v>
      </c>
      <c r="E53" s="3">
        <f t="shared" si="0"/>
        <v>8258.9377892467946</v>
      </c>
      <c r="G53" s="3">
        <v>74859.488531894851</v>
      </c>
    </row>
    <row r="54" spans="1:7">
      <c r="A54" t="s">
        <v>93</v>
      </c>
      <c r="B54" s="3"/>
      <c r="C54" s="3">
        <v>83757.460558333478</v>
      </c>
      <c r="D54" s="3">
        <v>96864.125967402098</v>
      </c>
      <c r="E54" s="3">
        <f t="shared" si="0"/>
        <v>180621.58652573556</v>
      </c>
      <c r="G54" s="3">
        <v>877982.02529747563</v>
      </c>
    </row>
    <row r="55" spans="1:7">
      <c r="A55" t="s">
        <v>37</v>
      </c>
      <c r="B55" s="3">
        <v>29188.66952364421</v>
      </c>
      <c r="C55" s="3">
        <v>24528.18488450137</v>
      </c>
      <c r="D55" s="3">
        <v>33207.272776994258</v>
      </c>
      <c r="E55" s="3">
        <f t="shared" si="0"/>
        <v>86924.127185139834</v>
      </c>
      <c r="G55" s="3">
        <v>300992.63598540978</v>
      </c>
    </row>
    <row r="56" spans="1:7">
      <c r="A56" t="s">
        <v>111</v>
      </c>
      <c r="B56" s="3"/>
      <c r="C56" s="3"/>
      <c r="D56" s="3">
        <v>13271.419276545303</v>
      </c>
      <c r="E56" s="3">
        <f t="shared" si="0"/>
        <v>13271.419276545303</v>
      </c>
      <c r="G56" s="3">
        <v>120292.90987371835</v>
      </c>
    </row>
    <row r="57" spans="1:7">
      <c r="A57" t="s">
        <v>38</v>
      </c>
      <c r="B57" s="3">
        <v>510793.59516418452</v>
      </c>
      <c r="C57" s="3">
        <v>429236.41071948502</v>
      </c>
      <c r="D57" s="3">
        <v>1329784.7381934626</v>
      </c>
      <c r="E57" s="3">
        <f t="shared" si="0"/>
        <v>2269814.7440771321</v>
      </c>
      <c r="G57" s="3">
        <v>12053245.57454511</v>
      </c>
    </row>
    <row r="58" spans="1:7">
      <c r="A58" t="s">
        <v>39</v>
      </c>
      <c r="B58" s="3">
        <v>19572.923333333336</v>
      </c>
      <c r="C58" s="3">
        <v>17856.357000000004</v>
      </c>
      <c r="D58" s="3">
        <v>16258.924843049545</v>
      </c>
      <c r="E58" s="3">
        <f t="shared" si="0"/>
        <v>53688.205176382886</v>
      </c>
      <c r="G58" s="3">
        <v>147371.83266036067</v>
      </c>
    </row>
    <row r="59" spans="1:7">
      <c r="A59" t="s">
        <v>112</v>
      </c>
      <c r="B59" s="3"/>
      <c r="C59" s="3"/>
      <c r="D59" s="3">
        <v>8258.9377892467946</v>
      </c>
      <c r="E59" s="3">
        <f t="shared" si="0"/>
        <v>8258.9377892467946</v>
      </c>
      <c r="G59" s="3">
        <v>74859.488531894851</v>
      </c>
    </row>
    <row r="60" spans="1:7">
      <c r="A60" t="s">
        <v>40</v>
      </c>
      <c r="B60" s="3">
        <v>45559.701754424917</v>
      </c>
      <c r="C60" s="3">
        <v>38285.293785317968</v>
      </c>
      <c r="D60" s="3">
        <v>56647.707421056621</v>
      </c>
      <c r="E60" s="3">
        <f t="shared" si="0"/>
        <v>140492.70296079951</v>
      </c>
      <c r="G60" s="3">
        <v>513458.08774174849</v>
      </c>
    </row>
    <row r="61" spans="1:7">
      <c r="A61" t="s">
        <v>113</v>
      </c>
      <c r="B61" s="3"/>
      <c r="C61" s="3"/>
      <c r="D61" s="3">
        <v>8258.9377892467946</v>
      </c>
      <c r="E61" s="3">
        <f t="shared" si="0"/>
        <v>8258.9377892467946</v>
      </c>
      <c r="G61" s="3">
        <v>74859.488531894851</v>
      </c>
    </row>
    <row r="62" spans="1:7">
      <c r="A62" t="s">
        <v>114</v>
      </c>
      <c r="B62" s="3"/>
      <c r="C62" s="3"/>
      <c r="D62" s="3">
        <v>24417.111850205318</v>
      </c>
      <c r="E62" s="3">
        <f t="shared" si="0"/>
        <v>24417.111850205318</v>
      </c>
      <c r="G62" s="3">
        <v>221318.11029165494</v>
      </c>
    </row>
    <row r="63" spans="1:7">
      <c r="A63" t="s">
        <v>115</v>
      </c>
      <c r="B63" s="3"/>
      <c r="C63" s="3"/>
      <c r="D63" s="3">
        <v>8258.9377892467946</v>
      </c>
      <c r="E63" s="3">
        <f t="shared" si="0"/>
        <v>8258.9377892467946</v>
      </c>
      <c r="G63" s="3">
        <v>74859.488531894851</v>
      </c>
    </row>
    <row r="64" spans="1:7">
      <c r="A64" t="s">
        <v>116</v>
      </c>
      <c r="B64" s="3"/>
      <c r="C64" s="3"/>
      <c r="D64" s="3">
        <v>9537.041447883892</v>
      </c>
      <c r="E64" s="3">
        <f t="shared" si="0"/>
        <v>9537.041447883892</v>
      </c>
      <c r="G64" s="3">
        <v>86444.293820159699</v>
      </c>
    </row>
    <row r="65" spans="1:7">
      <c r="A65" t="s">
        <v>41</v>
      </c>
      <c r="B65" s="3">
        <v>13072.429436838922</v>
      </c>
      <c r="C65" s="3">
        <v>10985.186079024503</v>
      </c>
      <c r="D65" s="3">
        <v>8560.3559828031466</v>
      </c>
      <c r="E65" s="3">
        <f t="shared" si="0"/>
        <v>32617.971498666571</v>
      </c>
      <c r="G65" s="3">
        <v>77591.560425354895</v>
      </c>
    </row>
    <row r="66" spans="1:7">
      <c r="A66" t="s">
        <v>117</v>
      </c>
      <c r="B66" s="3"/>
      <c r="C66" s="3"/>
      <c r="D66" s="3">
        <v>8258.9377892467946</v>
      </c>
      <c r="E66" s="3">
        <f t="shared" si="0"/>
        <v>8258.9377892467946</v>
      </c>
      <c r="G66" s="3">
        <v>74859.488531894851</v>
      </c>
    </row>
    <row r="67" spans="1:7">
      <c r="A67" t="s">
        <v>118</v>
      </c>
      <c r="B67" s="3"/>
      <c r="C67" s="3"/>
      <c r="D67" s="3">
        <v>19303.879580815788</v>
      </c>
      <c r="E67" s="3">
        <f t="shared" si="0"/>
        <v>19303.879580815788</v>
      </c>
      <c r="G67" s="3">
        <v>174971.47804923088</v>
      </c>
    </row>
    <row r="68" spans="1:7">
      <c r="A68" t="s">
        <v>119</v>
      </c>
      <c r="B68" s="3"/>
      <c r="C68" s="3"/>
      <c r="D68" s="3">
        <v>8258.9377892467946</v>
      </c>
      <c r="E68" s="3">
        <f t="shared" si="0"/>
        <v>8258.9377892467946</v>
      </c>
      <c r="G68" s="3">
        <v>74859.488531894851</v>
      </c>
    </row>
    <row r="69" spans="1:7">
      <c r="A69" t="s">
        <v>42</v>
      </c>
      <c r="B69" s="3">
        <v>66675.600686387901</v>
      </c>
      <c r="C69" s="3">
        <v>56029.667936598868</v>
      </c>
      <c r="D69" s="3">
        <v>94623.500921992832</v>
      </c>
      <c r="E69" s="3">
        <f t="shared" si="0"/>
        <v>217328.76954497962</v>
      </c>
      <c r="G69" s="3">
        <v>857672.87063723814</v>
      </c>
    </row>
    <row r="70" spans="1:7">
      <c r="A70" t="s">
        <v>120</v>
      </c>
      <c r="B70" s="3"/>
      <c r="C70" s="3"/>
      <c r="D70" s="3">
        <v>18097.389171749248</v>
      </c>
      <c r="E70" s="3">
        <f t="shared" si="0"/>
        <v>18097.389171749248</v>
      </c>
      <c r="G70" s="3">
        <v>164035.77938602606</v>
      </c>
    </row>
    <row r="71" spans="1:7">
      <c r="A71" t="s">
        <v>43</v>
      </c>
      <c r="B71" s="3">
        <v>112956.68269844326</v>
      </c>
      <c r="C71" s="3">
        <v>94921.16092934749</v>
      </c>
      <c r="D71" s="3">
        <v>185397.70915492467</v>
      </c>
      <c r="E71" s="3">
        <f t="shared" si="0"/>
        <v>393275.55278271541</v>
      </c>
      <c r="G71" s="3">
        <v>1680455.5302974849</v>
      </c>
    </row>
    <row r="72" spans="1:7">
      <c r="A72" t="s">
        <v>44</v>
      </c>
      <c r="B72" s="3">
        <v>9786.461666666668</v>
      </c>
      <c r="C72" s="3">
        <v>8928.1785000000018</v>
      </c>
      <c r="D72" s="3">
        <v>11720.21732203118</v>
      </c>
      <c r="E72" s="3">
        <f t="shared" ref="E72:E123" si="1">SUM(B72:D72)</f>
        <v>30434.857488697853</v>
      </c>
      <c r="G72" s="3">
        <v>106232.72587816931</v>
      </c>
    </row>
    <row r="73" spans="1:7">
      <c r="A73" s="1" t="s">
        <v>45</v>
      </c>
      <c r="B73" s="6">
        <v>145371.02076481629</v>
      </c>
      <c r="C73" s="6">
        <v>122159.97962084996</v>
      </c>
      <c r="D73" s="6">
        <v>147709.17802817404</v>
      </c>
      <c r="E73" s="6">
        <f t="shared" si="1"/>
        <v>415240.1784138403</v>
      </c>
      <c r="G73" s="6">
        <v>1338844.5101321116</v>
      </c>
    </row>
    <row r="74" spans="1:7">
      <c r="A74" s="40" t="s">
        <v>136</v>
      </c>
      <c r="B74" s="3">
        <f>SUM(B7:B73)</f>
        <v>2955297.5846229889</v>
      </c>
      <c r="C74" s="3">
        <f>SUM(C7:C73)</f>
        <v>2649487.4920939654</v>
      </c>
      <c r="D74" s="3">
        <f>SUM(D7:D73)</f>
        <v>5781184.8639999963</v>
      </c>
      <c r="E74" s="3">
        <f>SUM(E7:E73)</f>
        <v>11385969.940716954</v>
      </c>
      <c r="G74" s="3">
        <f>SUM(G7:G73)</f>
        <v>52400993.090279818</v>
      </c>
    </row>
    <row r="75" spans="1:7" ht="15">
      <c r="A75" s="32" t="s">
        <v>131</v>
      </c>
      <c r="B75" s="3"/>
      <c r="C75" s="3"/>
      <c r="D75" s="3"/>
      <c r="E75" s="3"/>
    </row>
    <row r="76" spans="1:7">
      <c r="A76" t="s">
        <v>46</v>
      </c>
      <c r="B76" s="3">
        <v>178962.07629058108</v>
      </c>
      <c r="C76" s="3">
        <v>150387.63212601433</v>
      </c>
      <c r="D76" s="3"/>
      <c r="E76" s="3">
        <f t="shared" si="1"/>
        <v>329349.70841659541</v>
      </c>
    </row>
    <row r="77" spans="1:7">
      <c r="A77" t="s">
        <v>47</v>
      </c>
      <c r="B77" s="3">
        <v>159666.86330377465</v>
      </c>
      <c r="C77" s="3">
        <v>134173.23937533272</v>
      </c>
      <c r="D77" s="3"/>
      <c r="E77" s="3">
        <f t="shared" si="1"/>
        <v>293840.10267910734</v>
      </c>
    </row>
    <row r="78" spans="1:7">
      <c r="A78" t="s">
        <v>48</v>
      </c>
      <c r="B78" s="3">
        <v>103677.86173627451</v>
      </c>
      <c r="C78" s="3">
        <v>87123.866986713358</v>
      </c>
      <c r="D78" s="3"/>
      <c r="E78" s="3">
        <f t="shared" si="1"/>
        <v>190801.72872298787</v>
      </c>
    </row>
    <row r="79" spans="1:7">
      <c r="A79" t="s">
        <v>49</v>
      </c>
      <c r="B79" s="3">
        <v>98171.191523967078</v>
      </c>
      <c r="C79" s="3">
        <v>82496.433558956691</v>
      </c>
      <c r="D79" s="3"/>
      <c r="E79" s="3">
        <f t="shared" si="1"/>
        <v>180667.62508292377</v>
      </c>
    </row>
    <row r="80" spans="1:7">
      <c r="A80" t="s">
        <v>50</v>
      </c>
      <c r="B80" s="3">
        <v>74978.62674318823</v>
      </c>
      <c r="C80" s="3">
        <v>63006.969798784085</v>
      </c>
      <c r="D80" s="3"/>
      <c r="E80" s="3">
        <f t="shared" si="1"/>
        <v>137985.59654197231</v>
      </c>
    </row>
    <row r="81" spans="1:5">
      <c r="A81" t="s">
        <v>51</v>
      </c>
      <c r="B81" s="3">
        <v>147926.09102443259</v>
      </c>
      <c r="C81" s="3">
        <v>124307.08795924112</v>
      </c>
      <c r="D81" s="3"/>
      <c r="E81" s="3">
        <f t="shared" si="1"/>
        <v>272233.17898367369</v>
      </c>
    </row>
    <row r="82" spans="1:5">
      <c r="A82" t="s">
        <v>52</v>
      </c>
      <c r="B82" s="3">
        <v>86625.286834323633</v>
      </c>
      <c r="C82" s="3">
        <v>72794.035693339669</v>
      </c>
      <c r="D82" s="3"/>
      <c r="E82" s="3">
        <f t="shared" si="1"/>
        <v>159419.32252766332</v>
      </c>
    </row>
    <row r="83" spans="1:5">
      <c r="A83" t="s">
        <v>53</v>
      </c>
      <c r="B83" s="3">
        <v>79276.23213759283</v>
      </c>
      <c r="C83" s="3">
        <v>66618.386879278187</v>
      </c>
      <c r="D83" s="3"/>
      <c r="E83" s="3">
        <f t="shared" si="1"/>
        <v>145894.61901687103</v>
      </c>
    </row>
    <row r="84" spans="1:5">
      <c r="A84" t="s">
        <v>54</v>
      </c>
      <c r="B84" s="3">
        <v>118705.91738956672</v>
      </c>
      <c r="C84" s="3">
        <v>99752.429149162534</v>
      </c>
      <c r="D84" s="3"/>
      <c r="E84" s="3">
        <f t="shared" si="1"/>
        <v>218458.34653872927</v>
      </c>
    </row>
    <row r="85" spans="1:5">
      <c r="A85" s="1" t="s">
        <v>55</v>
      </c>
      <c r="B85" s="6">
        <v>22299.606195029206</v>
      </c>
      <c r="C85" s="6">
        <v>18739.081723481013</v>
      </c>
      <c r="D85" s="6"/>
      <c r="E85" s="6">
        <f t="shared" si="1"/>
        <v>41038.687918510215</v>
      </c>
    </row>
    <row r="86" spans="1:5">
      <c r="A86" s="40" t="s">
        <v>137</v>
      </c>
      <c r="B86" s="3">
        <f>SUM(B76:B85)</f>
        <v>1070289.7531787304</v>
      </c>
      <c r="C86" s="3">
        <f>SUM(C76:C85)</f>
        <v>899399.16325030371</v>
      </c>
      <c r="D86" s="3"/>
      <c r="E86" s="3">
        <f>SUM(E76:E85)</f>
        <v>1969688.9164290344</v>
      </c>
    </row>
    <row r="87" spans="1:5" ht="15">
      <c r="A87" s="32" t="s">
        <v>132</v>
      </c>
      <c r="B87" s="3"/>
      <c r="C87" s="3"/>
      <c r="D87" s="3"/>
      <c r="E87" s="3"/>
    </row>
    <row r="88" spans="1:5">
      <c r="A88" t="s">
        <v>86</v>
      </c>
      <c r="B88" s="3"/>
      <c r="C88" s="3">
        <v>3571.2714000000005</v>
      </c>
      <c r="D88" s="3"/>
      <c r="E88" s="3">
        <f t="shared" si="1"/>
        <v>3571.2714000000005</v>
      </c>
    </row>
    <row r="89" spans="1:5">
      <c r="A89" t="s">
        <v>56</v>
      </c>
      <c r="B89" s="3">
        <v>40080.396698233497</v>
      </c>
      <c r="C89" s="3">
        <v>35712.714000000007</v>
      </c>
      <c r="D89" s="3"/>
      <c r="E89" s="3">
        <f t="shared" si="1"/>
        <v>75793.110698233504</v>
      </c>
    </row>
    <row r="90" spans="1:5">
      <c r="A90" t="s">
        <v>57</v>
      </c>
      <c r="B90" s="3">
        <v>19812.318625348737</v>
      </c>
      <c r="C90" s="3">
        <v>17856.357000000004</v>
      </c>
      <c r="D90" s="3"/>
      <c r="E90" s="3">
        <f t="shared" si="1"/>
        <v>37668.67562534874</v>
      </c>
    </row>
    <row r="91" spans="1:5">
      <c r="A91" t="s">
        <v>58</v>
      </c>
      <c r="B91" s="3">
        <v>19572.923333333336</v>
      </c>
      <c r="C91" s="3">
        <v>17856.357000000004</v>
      </c>
      <c r="D91" s="3"/>
      <c r="E91" s="3">
        <f t="shared" si="1"/>
        <v>37429.280333333343</v>
      </c>
    </row>
    <row r="92" spans="1:5">
      <c r="A92" t="s">
        <v>59</v>
      </c>
      <c r="B92" s="3">
        <v>3914.5846666666675</v>
      </c>
      <c r="C92" s="3">
        <v>3571.2714000000005</v>
      </c>
      <c r="D92" s="3"/>
      <c r="E92" s="3">
        <f t="shared" si="1"/>
        <v>7485.8560666666681</v>
      </c>
    </row>
    <row r="93" spans="1:5">
      <c r="A93" t="s">
        <v>60</v>
      </c>
      <c r="B93" s="3">
        <v>9786.461666666668</v>
      </c>
      <c r="C93" s="3">
        <v>8928.1785000000018</v>
      </c>
      <c r="D93" s="3"/>
      <c r="E93" s="3">
        <f t="shared" si="1"/>
        <v>18714.640166666672</v>
      </c>
    </row>
    <row r="94" spans="1:5">
      <c r="A94" t="s">
        <v>61</v>
      </c>
      <c r="B94" s="3">
        <v>3914.5846666666675</v>
      </c>
      <c r="C94" s="3">
        <v>3571.2714000000005</v>
      </c>
      <c r="D94" s="3"/>
      <c r="E94" s="3">
        <f t="shared" si="1"/>
        <v>7485.8560666666681</v>
      </c>
    </row>
    <row r="95" spans="1:5">
      <c r="A95" t="s">
        <v>62</v>
      </c>
      <c r="B95" s="3">
        <v>3914.5846666666675</v>
      </c>
      <c r="C95" s="3">
        <v>3571.2714000000005</v>
      </c>
      <c r="D95" s="3"/>
      <c r="E95" s="3">
        <f t="shared" si="1"/>
        <v>7485.8560666666681</v>
      </c>
    </row>
    <row r="96" spans="1:5">
      <c r="A96" t="s">
        <v>63</v>
      </c>
      <c r="B96" s="3">
        <v>9786.461666666668</v>
      </c>
      <c r="C96" s="3">
        <v>8928.1785000000018</v>
      </c>
      <c r="D96" s="3"/>
      <c r="E96" s="3">
        <f t="shared" si="1"/>
        <v>18714.640166666672</v>
      </c>
    </row>
    <row r="97" spans="1:5">
      <c r="A97" t="s">
        <v>64</v>
      </c>
      <c r="B97" s="3">
        <v>3914.5846666666675</v>
      </c>
      <c r="C97" s="3">
        <v>3571.2714000000005</v>
      </c>
      <c r="D97" s="3"/>
      <c r="E97" s="3">
        <f t="shared" si="1"/>
        <v>7485.8560666666681</v>
      </c>
    </row>
    <row r="98" spans="1:5">
      <c r="A98" t="s">
        <v>65</v>
      </c>
      <c r="B98" s="3">
        <v>9786.461666666668</v>
      </c>
      <c r="C98" s="3">
        <v>8928.1785000000018</v>
      </c>
      <c r="D98" s="3"/>
      <c r="E98" s="3">
        <f t="shared" si="1"/>
        <v>18714.640166666672</v>
      </c>
    </row>
    <row r="99" spans="1:5">
      <c r="A99" t="s">
        <v>66</v>
      </c>
      <c r="B99" s="3">
        <v>9786.461666666668</v>
      </c>
      <c r="C99" s="3">
        <v>8928.1785000000018</v>
      </c>
      <c r="D99" s="3"/>
      <c r="E99" s="3">
        <f t="shared" si="1"/>
        <v>18714.640166666672</v>
      </c>
    </row>
    <row r="100" spans="1:5">
      <c r="A100" t="s">
        <v>67</v>
      </c>
      <c r="B100" s="3">
        <v>9786.461666666668</v>
      </c>
      <c r="C100" s="3">
        <v>8928.1785000000018</v>
      </c>
      <c r="D100" s="3"/>
      <c r="E100" s="3">
        <f t="shared" si="1"/>
        <v>18714.640166666672</v>
      </c>
    </row>
    <row r="101" spans="1:5">
      <c r="A101" t="s">
        <v>68</v>
      </c>
      <c r="B101" s="3">
        <v>10567.504171380569</v>
      </c>
      <c r="C101" s="3">
        <v>8928.1785000000018</v>
      </c>
      <c r="D101" s="3"/>
      <c r="E101" s="3">
        <f t="shared" si="1"/>
        <v>19495.682671380571</v>
      </c>
    </row>
    <row r="102" spans="1:5">
      <c r="A102" t="s">
        <v>69</v>
      </c>
      <c r="B102" s="3">
        <v>9786.461666666668</v>
      </c>
      <c r="C102" s="3">
        <v>8928.1785000000018</v>
      </c>
      <c r="D102" s="3"/>
      <c r="E102" s="3">
        <f t="shared" si="1"/>
        <v>18714.640166666672</v>
      </c>
    </row>
    <row r="103" spans="1:5">
      <c r="A103" t="s">
        <v>87</v>
      </c>
      <c r="B103" s="3"/>
      <c r="C103" s="3">
        <v>3571.2714000000005</v>
      </c>
      <c r="D103" s="3"/>
      <c r="E103" s="3">
        <f t="shared" si="1"/>
        <v>3571.2714000000005</v>
      </c>
    </row>
    <row r="104" spans="1:5">
      <c r="A104" t="s">
        <v>70</v>
      </c>
      <c r="B104" s="3">
        <v>14663.287885785454</v>
      </c>
      <c r="C104" s="3">
        <v>12322.035986802002</v>
      </c>
      <c r="D104" s="3"/>
      <c r="E104" s="3">
        <f t="shared" si="1"/>
        <v>26985.323872587454</v>
      </c>
    </row>
    <row r="105" spans="1:5">
      <c r="A105" t="s">
        <v>71</v>
      </c>
      <c r="B105" s="3">
        <v>3914.5846666666675</v>
      </c>
      <c r="C105" s="3">
        <v>3571.2714000000005</v>
      </c>
      <c r="D105" s="3"/>
      <c r="E105" s="3">
        <f t="shared" si="1"/>
        <v>7485.8560666666681</v>
      </c>
    </row>
    <row r="106" spans="1:5">
      <c r="A106" t="s">
        <v>72</v>
      </c>
      <c r="B106" s="3">
        <v>9786.461666666668</v>
      </c>
      <c r="C106" s="3">
        <v>8928.1785000000018</v>
      </c>
      <c r="D106" s="3"/>
      <c r="E106" s="3">
        <f t="shared" si="1"/>
        <v>18714.640166666672</v>
      </c>
    </row>
    <row r="107" spans="1:5">
      <c r="A107" t="s">
        <v>88</v>
      </c>
      <c r="B107" s="3"/>
      <c r="C107" s="3">
        <v>8928.1785000000018</v>
      </c>
      <c r="D107" s="3"/>
      <c r="E107" s="3">
        <f t="shared" si="1"/>
        <v>8928.1785000000018</v>
      </c>
    </row>
    <row r="108" spans="1:5">
      <c r="A108" t="s">
        <v>73</v>
      </c>
      <c r="B108" s="3">
        <v>9786.461666666668</v>
      </c>
      <c r="C108" s="3">
        <v>8928.1785000000018</v>
      </c>
      <c r="D108" s="3"/>
      <c r="E108" s="3">
        <f t="shared" si="1"/>
        <v>18714.640166666672</v>
      </c>
    </row>
    <row r="109" spans="1:5">
      <c r="A109" t="s">
        <v>74</v>
      </c>
      <c r="B109" s="3">
        <v>11385.386953541667</v>
      </c>
      <c r="C109" s="3">
        <v>9567.5096102562547</v>
      </c>
      <c r="D109" s="3"/>
      <c r="E109" s="3">
        <f t="shared" si="1"/>
        <v>20952.89656379792</v>
      </c>
    </row>
    <row r="110" spans="1:5">
      <c r="A110" t="s">
        <v>75</v>
      </c>
      <c r="B110" s="3">
        <v>96493.288315471422</v>
      </c>
      <c r="C110" s="3">
        <v>81086.437118970236</v>
      </c>
      <c r="D110" s="3"/>
      <c r="E110" s="3">
        <f t="shared" si="1"/>
        <v>177579.72543444164</v>
      </c>
    </row>
    <row r="111" spans="1:5">
      <c r="A111" t="s">
        <v>76</v>
      </c>
      <c r="B111" s="3">
        <v>3914.5846666666675</v>
      </c>
      <c r="C111" s="3">
        <v>3571.2714000000005</v>
      </c>
      <c r="D111" s="3"/>
      <c r="E111" s="3">
        <f t="shared" si="1"/>
        <v>7485.8560666666681</v>
      </c>
    </row>
    <row r="112" spans="1:5">
      <c r="A112" t="s">
        <v>89</v>
      </c>
      <c r="B112" s="3"/>
      <c r="C112" s="3">
        <v>112893.02705692685</v>
      </c>
      <c r="D112" s="3"/>
      <c r="E112" s="3">
        <f t="shared" si="1"/>
        <v>112893.02705692685</v>
      </c>
    </row>
    <row r="113" spans="1:7">
      <c r="A113" t="s">
        <v>77</v>
      </c>
      <c r="B113" s="3">
        <v>3914.5846666666675</v>
      </c>
      <c r="C113" s="3">
        <v>3571.2714000000005</v>
      </c>
      <c r="D113" s="3"/>
      <c r="E113" s="3">
        <f t="shared" si="1"/>
        <v>7485.8560666666681</v>
      </c>
    </row>
    <row r="114" spans="1:7">
      <c r="A114" t="s">
        <v>90</v>
      </c>
      <c r="B114" s="3"/>
      <c r="C114" s="3">
        <v>3571.2714000000005</v>
      </c>
      <c r="D114" s="3"/>
      <c r="E114" s="3">
        <f t="shared" si="1"/>
        <v>3571.2714000000005</v>
      </c>
    </row>
    <row r="115" spans="1:7">
      <c r="A115" t="s">
        <v>91</v>
      </c>
      <c r="B115" s="3"/>
      <c r="C115" s="3">
        <v>3571.2714000000005</v>
      </c>
      <c r="D115" s="3"/>
      <c r="E115" s="3">
        <f t="shared" si="1"/>
        <v>3571.2714000000005</v>
      </c>
    </row>
    <row r="116" spans="1:7">
      <c r="A116" t="s">
        <v>78</v>
      </c>
      <c r="B116" s="3">
        <v>10702.225517507572</v>
      </c>
      <c r="C116" s="3">
        <v>8928.1785000000018</v>
      </c>
      <c r="D116" s="3"/>
      <c r="E116" s="3">
        <f t="shared" si="1"/>
        <v>19630.404017507572</v>
      </c>
    </row>
    <row r="117" spans="1:7">
      <c r="A117" t="s">
        <v>79</v>
      </c>
      <c r="B117" s="3">
        <v>9786.461666666668</v>
      </c>
      <c r="C117" s="3">
        <v>8928.1785000000018</v>
      </c>
      <c r="D117" s="3"/>
      <c r="E117" s="3">
        <f t="shared" si="1"/>
        <v>18714.640166666672</v>
      </c>
    </row>
    <row r="118" spans="1:7">
      <c r="A118" t="s">
        <v>80</v>
      </c>
      <c r="B118" s="3">
        <v>9786.461666666668</v>
      </c>
      <c r="C118" s="3">
        <v>8928.1785000000018</v>
      </c>
      <c r="D118" s="3"/>
      <c r="E118" s="3">
        <f t="shared" si="1"/>
        <v>18714.640166666672</v>
      </c>
    </row>
    <row r="119" spans="1:7">
      <c r="A119" t="s">
        <v>81</v>
      </c>
      <c r="B119" s="3">
        <v>3914.5846666666675</v>
      </c>
      <c r="C119" s="3">
        <v>3571.2714000000005</v>
      </c>
      <c r="D119" s="3"/>
      <c r="E119" s="3">
        <f t="shared" si="1"/>
        <v>7485.8560666666681</v>
      </c>
    </row>
    <row r="120" spans="1:7">
      <c r="A120" t="s">
        <v>82</v>
      </c>
      <c r="B120" s="3">
        <v>14118.032697678056</v>
      </c>
      <c r="C120" s="3">
        <v>11863.840382774959</v>
      </c>
      <c r="D120" s="3"/>
      <c r="E120" s="3">
        <f t="shared" si="1"/>
        <v>25981.873080453013</v>
      </c>
    </row>
    <row r="121" spans="1:7">
      <c r="A121" t="s">
        <v>83</v>
      </c>
      <c r="B121" s="3">
        <v>3914.5846666666675</v>
      </c>
      <c r="C121" s="3">
        <v>3571.2714000000005</v>
      </c>
      <c r="D121" s="3"/>
      <c r="E121" s="3">
        <f t="shared" si="1"/>
        <v>7485.8560666666681</v>
      </c>
    </row>
    <row r="122" spans="1:7">
      <c r="A122" t="s">
        <v>84</v>
      </c>
      <c r="B122" s="3">
        <v>3914.5846666666675</v>
      </c>
      <c r="C122" s="3">
        <v>3571.2714000000005</v>
      </c>
      <c r="D122" s="3"/>
      <c r="E122" s="3">
        <f t="shared" si="1"/>
        <v>7485.8560666666681</v>
      </c>
    </row>
    <row r="123" spans="1:7">
      <c r="A123" s="1" t="s">
        <v>85</v>
      </c>
      <c r="B123" s="6">
        <v>3914.5846666666675</v>
      </c>
      <c r="C123" s="6">
        <v>3571.2714000000005</v>
      </c>
      <c r="D123" s="6"/>
      <c r="E123" s="6">
        <f t="shared" si="1"/>
        <v>7485.8560666666681</v>
      </c>
    </row>
    <row r="124" spans="1:7">
      <c r="A124" s="40" t="s">
        <v>138</v>
      </c>
      <c r="B124" s="3">
        <f>SUM(B88:B123)</f>
        <v>378320.41219828051</v>
      </c>
      <c r="C124" s="3">
        <f>SUM(C88:C123)</f>
        <v>468793.66965573054</v>
      </c>
      <c r="D124" s="3">
        <v>0</v>
      </c>
      <c r="E124" s="3">
        <f>SUM(E88:E123)</f>
        <v>847114.08185401058</v>
      </c>
    </row>
    <row r="125" spans="1:7" ht="15" thickBot="1">
      <c r="A125" s="5" t="s">
        <v>3</v>
      </c>
      <c r="B125" s="18">
        <f>B124+B86+B74+B5</f>
        <v>5871877</v>
      </c>
      <c r="C125" s="18">
        <f>C124+C86+C74+C5</f>
        <v>5356907.0999999996</v>
      </c>
      <c r="D125" s="18">
        <f>D124+D86+D74+D5</f>
        <v>5781184.8639999963</v>
      </c>
      <c r="E125" s="18">
        <f>E124+E86+E74+E5</f>
        <v>17009968.963999998</v>
      </c>
      <c r="G125" s="18">
        <f>SUM(G7:G73)</f>
        <v>52400993.090279818</v>
      </c>
    </row>
    <row r="126" spans="1:7" ht="15" thickTop="1">
      <c r="B126" s="3"/>
      <c r="C126" s="3"/>
      <c r="D126" s="3"/>
      <c r="E126" s="3"/>
    </row>
    <row r="127" spans="1:7">
      <c r="B127" s="3"/>
      <c r="C127" s="3"/>
      <c r="D127" s="3"/>
      <c r="E127" s="3"/>
    </row>
    <row r="128" spans="1:7">
      <c r="A128" t="s">
        <v>280</v>
      </c>
      <c r="B128" s="3"/>
      <c r="C128" s="3"/>
      <c r="D128" s="3"/>
      <c r="E128" s="3"/>
    </row>
    <row r="129" spans="2:5">
      <c r="B129" s="3"/>
      <c r="C129" s="3"/>
      <c r="D129" s="3"/>
      <c r="E129" s="3"/>
    </row>
    <row r="130" spans="2:5">
      <c r="B130" s="3"/>
      <c r="C130" s="3"/>
      <c r="D130" s="3"/>
      <c r="E130" s="3"/>
    </row>
    <row r="131" spans="2:5">
      <c r="B131" s="3"/>
      <c r="C131" s="3"/>
      <c r="D131" s="3"/>
      <c r="E131" s="3"/>
    </row>
    <row r="132" spans="2:5">
      <c r="B132" s="3"/>
      <c r="C132" s="3"/>
      <c r="D132" s="3"/>
      <c r="E132" s="3"/>
    </row>
    <row r="133" spans="2:5">
      <c r="B133" s="3"/>
      <c r="C133" s="3"/>
      <c r="D133" s="3"/>
      <c r="E133" s="3"/>
    </row>
    <row r="134" spans="2:5">
      <c r="B134" s="3"/>
      <c r="C134" s="3"/>
      <c r="D134" s="3"/>
      <c r="E134" s="3"/>
    </row>
    <row r="135" spans="2:5">
      <c r="B135" s="3"/>
      <c r="C135" s="3"/>
      <c r="D135" s="3"/>
      <c r="E135" s="3"/>
    </row>
    <row r="136" spans="2:5">
      <c r="B136" s="3"/>
      <c r="C136" s="3"/>
      <c r="D136" s="3"/>
      <c r="E136" s="3"/>
    </row>
    <row r="137" spans="2:5">
      <c r="B137" s="3"/>
      <c r="C137" s="3"/>
      <c r="D137" s="3"/>
      <c r="E137" s="3"/>
    </row>
    <row r="138" spans="2:5">
      <c r="B138" s="3"/>
      <c r="C138" s="3"/>
      <c r="D138" s="3"/>
      <c r="E138" s="3"/>
    </row>
    <row r="139" spans="2:5">
      <c r="B139" s="3"/>
      <c r="C139" s="3"/>
      <c r="D139" s="3"/>
      <c r="E139" s="3"/>
    </row>
    <row r="140" spans="2:5">
      <c r="B140" s="3"/>
      <c r="C140" s="3"/>
      <c r="D140" s="3"/>
      <c r="E140" s="3"/>
    </row>
    <row r="141" spans="2:5">
      <c r="B141" s="3"/>
      <c r="C141" s="3"/>
      <c r="D141" s="3"/>
      <c r="E141" s="3"/>
    </row>
    <row r="142" spans="2:5">
      <c r="B142" s="3"/>
      <c r="C142" s="3"/>
      <c r="D142" s="3"/>
      <c r="E142" s="3"/>
    </row>
    <row r="143" spans="2:5">
      <c r="B143" s="3"/>
      <c r="C143" s="3"/>
      <c r="D143" s="3"/>
      <c r="E143" s="3"/>
    </row>
  </sheetData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F7C13-3AC6-4B7E-A1E6-7D846B3CC77A}">
  <dimension ref="A1:F143"/>
  <sheetViews>
    <sheetView workbookViewId="0">
      <pane ySplit="1" topLeftCell="A108" activePane="bottomLeft" state="frozen"/>
      <selection pane="bottomLeft" activeCell="E141" sqref="E141"/>
    </sheetView>
  </sheetViews>
  <sheetFormatPr defaultRowHeight="14.25"/>
  <cols>
    <col min="1" max="1" width="40.25" bestFit="1" customWidth="1"/>
    <col min="2" max="5" width="13.75" customWidth="1"/>
  </cols>
  <sheetData>
    <row r="1" spans="1:5" ht="18.600000000000001" customHeight="1">
      <c r="A1" s="2" t="s">
        <v>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t="s">
        <v>5</v>
      </c>
      <c r="B2" s="4">
        <v>1027578.475</v>
      </c>
      <c r="C2" s="3">
        <v>937458.74249999982</v>
      </c>
      <c r="D2" s="3"/>
      <c r="E2" s="3">
        <f>SUM(B2:D2)</f>
        <v>1965037.2174999998</v>
      </c>
    </row>
    <row r="3" spans="1:5">
      <c r="A3" t="s">
        <v>6</v>
      </c>
      <c r="B3" s="3">
        <v>366992.3125</v>
      </c>
      <c r="C3" s="3">
        <v>334806.69374999998</v>
      </c>
      <c r="D3" s="3"/>
      <c r="E3" s="3">
        <f>SUM(B3:D3)</f>
        <v>701799.00624999998</v>
      </c>
    </row>
    <row r="4" spans="1:5">
      <c r="A4" s="1" t="s">
        <v>7</v>
      </c>
      <c r="B4" s="6">
        <v>73398.462500000009</v>
      </c>
      <c r="C4" s="6">
        <v>66961.338749999995</v>
      </c>
      <c r="D4" s="6"/>
      <c r="E4" s="6">
        <f>SUM(B4:D4)</f>
        <v>140359.80125000002</v>
      </c>
    </row>
    <row r="5" spans="1:5">
      <c r="A5" s="40" t="s">
        <v>135</v>
      </c>
      <c r="B5" s="3">
        <f>SUM(B2:B4)</f>
        <v>1467969.25</v>
      </c>
      <c r="C5" s="3">
        <f>SUM(C2:C4)</f>
        <v>1339226.7749999999</v>
      </c>
      <c r="D5" s="3"/>
      <c r="E5" s="3">
        <f>SUM(E2:E4)</f>
        <v>2807196.0249999999</v>
      </c>
    </row>
    <row r="6" spans="1:5" ht="15">
      <c r="A6" s="32" t="s">
        <v>130</v>
      </c>
      <c r="B6" s="3"/>
      <c r="C6" s="3"/>
      <c r="D6" s="3"/>
      <c r="E6" s="3"/>
    </row>
    <row r="7" spans="1:5">
      <c r="A7" t="s">
        <v>8</v>
      </c>
      <c r="B7" s="3">
        <v>39145.846666666672</v>
      </c>
      <c r="C7" s="3">
        <v>35712.714000000007</v>
      </c>
      <c r="D7" s="3">
        <v>19763.49772772516</v>
      </c>
      <c r="E7" s="3">
        <f>SUM(B7:D7)</f>
        <v>94622.058394391846</v>
      </c>
    </row>
    <row r="8" spans="1:5">
      <c r="A8" t="s">
        <v>9</v>
      </c>
      <c r="B8" s="3">
        <v>398296.81228561688</v>
      </c>
      <c r="C8" s="3">
        <v>334701.71851222572</v>
      </c>
      <c r="D8" s="3">
        <v>662077.21930295078</v>
      </c>
      <c r="E8" s="3">
        <f t="shared" ref="E8:E71" si="0">SUM(B8:D8)</f>
        <v>1395075.7501007933</v>
      </c>
    </row>
    <row r="9" spans="1:5">
      <c r="A9" t="s">
        <v>10</v>
      </c>
      <c r="B9" s="3">
        <v>20879.579218425773</v>
      </c>
      <c r="C9" s="3">
        <v>17856.357000000004</v>
      </c>
      <c r="D9" s="3">
        <v>34815.932161708166</v>
      </c>
      <c r="E9" s="3">
        <f t="shared" si="0"/>
        <v>73551.868380133936</v>
      </c>
    </row>
    <row r="10" spans="1:5">
      <c r="A10" t="s">
        <v>11</v>
      </c>
      <c r="B10" s="3">
        <v>53574.825623531717</v>
      </c>
      <c r="C10" s="3">
        <v>45020.662109467819</v>
      </c>
      <c r="D10" s="3">
        <v>73193.886379353964</v>
      </c>
      <c r="E10" s="3">
        <f t="shared" si="0"/>
        <v>171789.37411235349</v>
      </c>
    </row>
    <row r="11" spans="1:5">
      <c r="A11" t="s">
        <v>12</v>
      </c>
      <c r="B11" s="3">
        <v>15152.807292398233</v>
      </c>
      <c r="C11" s="3">
        <v>12733.395007473475</v>
      </c>
      <c r="D11" s="3">
        <v>11030.794231136015</v>
      </c>
      <c r="E11" s="3">
        <f t="shared" si="0"/>
        <v>38916.996531007724</v>
      </c>
    </row>
    <row r="12" spans="1:5">
      <c r="A12" t="s">
        <v>94</v>
      </c>
      <c r="B12" s="3"/>
      <c r="C12" s="3"/>
      <c r="D12" s="3">
        <v>108641.79246069529</v>
      </c>
      <c r="E12" s="3">
        <f t="shared" si="0"/>
        <v>108641.79246069529</v>
      </c>
    </row>
    <row r="13" spans="1:5">
      <c r="A13" t="s">
        <v>95</v>
      </c>
      <c r="B13" s="3"/>
      <c r="C13" s="3"/>
      <c r="D13" s="3">
        <v>46363.793711015562</v>
      </c>
      <c r="E13" s="3">
        <f t="shared" si="0"/>
        <v>46363.793711015562</v>
      </c>
    </row>
    <row r="14" spans="1:5">
      <c r="A14" t="s">
        <v>13</v>
      </c>
      <c r="B14" s="3">
        <v>19572.923333333336</v>
      </c>
      <c r="C14" s="3">
        <v>8928.1785000000018</v>
      </c>
      <c r="D14" s="3">
        <v>12926.70773109772</v>
      </c>
      <c r="E14" s="3">
        <f t="shared" si="0"/>
        <v>41427.80956443106</v>
      </c>
    </row>
    <row r="15" spans="1:5">
      <c r="A15" t="s">
        <v>14</v>
      </c>
      <c r="B15" s="3">
        <v>205916.0039769756</v>
      </c>
      <c r="C15" s="3">
        <v>173037.89102595553</v>
      </c>
      <c r="D15" s="3">
        <v>333394.14129834645</v>
      </c>
      <c r="E15" s="3">
        <f t="shared" si="0"/>
        <v>712348.03630127758</v>
      </c>
    </row>
    <row r="16" spans="1:5">
      <c r="A16" t="s">
        <v>96</v>
      </c>
      <c r="B16" s="3"/>
      <c r="C16" s="3"/>
      <c r="D16" s="3">
        <v>78651.830194191061</v>
      </c>
      <c r="E16" s="3">
        <f t="shared" si="0"/>
        <v>78651.830194191061</v>
      </c>
    </row>
    <row r="17" spans="1:5">
      <c r="A17" t="s">
        <v>15</v>
      </c>
      <c r="B17" s="3">
        <v>42509.521300859175</v>
      </c>
      <c r="C17" s="3">
        <v>35712.714000000007</v>
      </c>
      <c r="D17" s="3">
        <v>91176.377208579215</v>
      </c>
      <c r="E17" s="3">
        <f t="shared" si="0"/>
        <v>169398.61250943839</v>
      </c>
    </row>
    <row r="18" spans="1:5">
      <c r="A18" t="s">
        <v>97</v>
      </c>
      <c r="B18" s="3"/>
      <c r="C18" s="3"/>
      <c r="D18" s="3">
        <v>8258.9377892467946</v>
      </c>
      <c r="E18" s="3">
        <f t="shared" si="0"/>
        <v>8258.9377892467946</v>
      </c>
    </row>
    <row r="19" spans="1:5">
      <c r="A19" t="s">
        <v>16</v>
      </c>
      <c r="B19" s="3">
        <v>20621.920662830635</v>
      </c>
      <c r="C19" s="3">
        <v>17856.357000000004</v>
      </c>
      <c r="D19" s="3">
        <v>36999.108035855454</v>
      </c>
      <c r="E19" s="3">
        <f t="shared" si="0"/>
        <v>75477.385698686092</v>
      </c>
    </row>
    <row r="20" spans="1:5">
      <c r="A20" t="s">
        <v>98</v>
      </c>
      <c r="B20" s="3"/>
      <c r="C20" s="3"/>
      <c r="D20" s="3">
        <v>14363.011343087839</v>
      </c>
      <c r="E20" s="3">
        <f t="shared" si="0"/>
        <v>14363.011343087839</v>
      </c>
    </row>
    <row r="21" spans="1:5">
      <c r="A21" t="s">
        <v>17</v>
      </c>
      <c r="B21" s="3">
        <v>170205.29254792054</v>
      </c>
      <c r="C21" s="3">
        <v>143029.02297599518</v>
      </c>
      <c r="D21" s="3">
        <v>128118.02781423487</v>
      </c>
      <c r="E21" s="3">
        <f t="shared" si="0"/>
        <v>441352.34333815053</v>
      </c>
    </row>
    <row r="22" spans="1:5">
      <c r="A22" t="s">
        <v>18</v>
      </c>
      <c r="B22" s="3">
        <v>11860.892792235798</v>
      </c>
      <c r="C22" s="3">
        <v>9967.0925756840443</v>
      </c>
      <c r="D22" s="3">
        <v>8445.4493813413555</v>
      </c>
      <c r="E22" s="3">
        <f t="shared" si="0"/>
        <v>30273.4347492612</v>
      </c>
    </row>
    <row r="23" spans="1:5">
      <c r="A23" t="s">
        <v>19</v>
      </c>
      <c r="B23" s="3">
        <v>25658.205878684788</v>
      </c>
      <c r="C23" s="3">
        <v>21561.421875950105</v>
      </c>
      <c r="D23" s="3">
        <v>17178.16113686829</v>
      </c>
      <c r="E23" s="3">
        <f t="shared" si="0"/>
        <v>64397.78889150318</v>
      </c>
    </row>
    <row r="24" spans="1:5">
      <c r="A24" t="s">
        <v>20</v>
      </c>
      <c r="B24" s="3">
        <v>11927.457239849376</v>
      </c>
      <c r="C24" s="3">
        <v>10023.028838091548</v>
      </c>
      <c r="D24" s="3">
        <v>8258.9377892467946</v>
      </c>
      <c r="E24" s="3">
        <f t="shared" si="0"/>
        <v>30209.423867187717</v>
      </c>
    </row>
    <row r="25" spans="1:5">
      <c r="A25" t="s">
        <v>21</v>
      </c>
      <c r="B25" s="3">
        <v>20614.91387887131</v>
      </c>
      <c r="C25" s="3">
        <v>17856.357000000004</v>
      </c>
      <c r="D25" s="3">
        <v>18844.269692844206</v>
      </c>
      <c r="E25" s="3">
        <f t="shared" si="0"/>
        <v>57315.540571715523</v>
      </c>
    </row>
    <row r="26" spans="1:5">
      <c r="A26" t="s">
        <v>99</v>
      </c>
      <c r="B26" s="3"/>
      <c r="C26" s="3"/>
      <c r="D26" s="3">
        <v>38550.309990369577</v>
      </c>
      <c r="E26" s="3">
        <f t="shared" si="0"/>
        <v>38550.309990369577</v>
      </c>
    </row>
    <row r="27" spans="1:5">
      <c r="A27" t="s">
        <v>22</v>
      </c>
      <c r="B27" s="3">
        <v>82638.328506448001</v>
      </c>
      <c r="C27" s="3">
        <v>69443.665409633541</v>
      </c>
      <c r="D27" s="3">
        <v>60209.729476994238</v>
      </c>
      <c r="E27" s="3">
        <f t="shared" si="0"/>
        <v>212291.72339307581</v>
      </c>
    </row>
    <row r="28" spans="1:5">
      <c r="A28" t="s">
        <v>92</v>
      </c>
      <c r="B28" s="3"/>
      <c r="C28" s="3">
        <v>76651.681769245872</v>
      </c>
      <c r="D28" s="3">
        <v>92555.223390369545</v>
      </c>
      <c r="E28" s="3">
        <f t="shared" si="0"/>
        <v>169206.90515961542</v>
      </c>
    </row>
    <row r="29" spans="1:5">
      <c r="A29" t="s">
        <v>23</v>
      </c>
      <c r="B29" s="3">
        <v>183714.6905116773</v>
      </c>
      <c r="C29" s="3">
        <v>154381.40786852731</v>
      </c>
      <c r="D29" s="3">
        <v>371599.74800220627</v>
      </c>
      <c r="E29" s="3">
        <f t="shared" si="0"/>
        <v>709695.84638241096</v>
      </c>
    </row>
    <row r="30" spans="1:5">
      <c r="A30" t="s">
        <v>100</v>
      </c>
      <c r="B30" s="3"/>
      <c r="C30" s="3"/>
      <c r="D30" s="3">
        <v>9651.9397904078942</v>
      </c>
      <c r="E30" s="3">
        <f t="shared" si="0"/>
        <v>9651.9397904078942</v>
      </c>
    </row>
    <row r="31" spans="1:5">
      <c r="A31" t="s">
        <v>24</v>
      </c>
      <c r="B31" s="3">
        <v>86271.345989357535</v>
      </c>
      <c r="C31" s="3">
        <v>72496.607731559052</v>
      </c>
      <c r="D31" s="3">
        <v>117834.11410419381</v>
      </c>
      <c r="E31" s="3">
        <f t="shared" si="0"/>
        <v>276602.0678251104</v>
      </c>
    </row>
    <row r="32" spans="1:5">
      <c r="A32" t="s">
        <v>25</v>
      </c>
      <c r="B32" s="3">
        <v>41022.809140762583</v>
      </c>
      <c r="C32" s="3">
        <v>35712.714000000007</v>
      </c>
      <c r="D32" s="3">
        <v>77445.339785124524</v>
      </c>
      <c r="E32" s="3">
        <f t="shared" si="0"/>
        <v>154180.86292588711</v>
      </c>
    </row>
    <row r="33" spans="1:5">
      <c r="A33" t="s">
        <v>101</v>
      </c>
      <c r="B33" s="3"/>
      <c r="C33" s="3"/>
      <c r="D33" s="3">
        <v>8258.9377892467946</v>
      </c>
      <c r="E33" s="3">
        <f t="shared" si="0"/>
        <v>8258.9377892467946</v>
      </c>
    </row>
    <row r="34" spans="1:5">
      <c r="A34" t="s">
        <v>26</v>
      </c>
      <c r="B34" s="3">
        <v>49662.810742969101</v>
      </c>
      <c r="C34" s="3">
        <v>41733.2692331453</v>
      </c>
      <c r="D34" s="3">
        <v>29530.344119594847</v>
      </c>
      <c r="E34" s="3">
        <f t="shared" si="0"/>
        <v>120926.42409570926</v>
      </c>
    </row>
    <row r="35" spans="1:5">
      <c r="A35" t="s">
        <v>102</v>
      </c>
      <c r="B35" s="3"/>
      <c r="C35" s="3"/>
      <c r="D35" s="3">
        <v>8258.9377892467946</v>
      </c>
      <c r="E35" s="3">
        <f t="shared" si="0"/>
        <v>8258.9377892467946</v>
      </c>
    </row>
    <row r="36" spans="1:5">
      <c r="A36" t="s">
        <v>27</v>
      </c>
      <c r="B36" s="3">
        <v>11450.99593061534</v>
      </c>
      <c r="C36" s="3">
        <v>9622.6429598062387</v>
      </c>
      <c r="D36" s="3">
        <v>11777.66649329318</v>
      </c>
      <c r="E36" s="3">
        <f t="shared" si="0"/>
        <v>32851.30538371476</v>
      </c>
    </row>
    <row r="37" spans="1:5">
      <c r="A37" t="s">
        <v>28</v>
      </c>
      <c r="B37" s="3">
        <v>14042.869015205304</v>
      </c>
      <c r="C37" s="3">
        <v>11800.677904649736</v>
      </c>
      <c r="D37" s="3">
        <v>10283.913710041059</v>
      </c>
      <c r="E37" s="3">
        <f t="shared" si="0"/>
        <v>36127.460629896101</v>
      </c>
    </row>
    <row r="38" spans="1:5">
      <c r="A38" t="s">
        <v>29</v>
      </c>
      <c r="B38" s="3">
        <v>26513.033521722322</v>
      </c>
      <c r="C38" s="3">
        <v>22279.761245814927</v>
      </c>
      <c r="D38" s="3">
        <v>39239.741340202534</v>
      </c>
      <c r="E38" s="3">
        <f t="shared" si="0"/>
        <v>88032.536107739783</v>
      </c>
    </row>
    <row r="39" spans="1:5">
      <c r="A39" t="s">
        <v>103</v>
      </c>
      <c r="B39" s="3"/>
      <c r="C39" s="3"/>
      <c r="D39" s="3">
        <v>10858.430199474435</v>
      </c>
      <c r="E39" s="3">
        <f t="shared" si="0"/>
        <v>10858.430199474435</v>
      </c>
    </row>
    <row r="40" spans="1:5">
      <c r="A40" t="s">
        <v>104</v>
      </c>
      <c r="B40" s="3"/>
      <c r="C40" s="3"/>
      <c r="D40" s="3">
        <v>8258.9377892467946</v>
      </c>
      <c r="E40" s="3">
        <f t="shared" si="0"/>
        <v>8258.9377892467946</v>
      </c>
    </row>
    <row r="41" spans="1:5">
      <c r="A41" t="s">
        <v>30</v>
      </c>
      <c r="B41" s="3">
        <v>68760.755894646747</v>
      </c>
      <c r="C41" s="3">
        <v>57781.891429335468</v>
      </c>
      <c r="D41" s="3">
        <v>80030.684634919176</v>
      </c>
      <c r="E41" s="3">
        <f t="shared" si="0"/>
        <v>206573.33195890137</v>
      </c>
    </row>
    <row r="42" spans="1:5">
      <c r="A42" t="s">
        <v>105</v>
      </c>
      <c r="B42" s="3"/>
      <c r="C42" s="3"/>
      <c r="D42" s="3">
        <v>130186.30534585814</v>
      </c>
      <c r="E42" s="3">
        <f t="shared" si="0"/>
        <v>130186.30534585814</v>
      </c>
    </row>
    <row r="43" spans="1:5">
      <c r="A43" t="s">
        <v>31</v>
      </c>
      <c r="B43" s="3">
        <v>27412.449789955561</v>
      </c>
      <c r="C43" s="3">
        <v>23035.569882364209</v>
      </c>
      <c r="D43" s="3">
        <v>56820.063193780406</v>
      </c>
      <c r="E43" s="3">
        <f t="shared" si="0"/>
        <v>107268.08286610019</v>
      </c>
    </row>
    <row r="44" spans="1:5">
      <c r="A44" t="s">
        <v>106</v>
      </c>
      <c r="B44" s="3"/>
      <c r="C44" s="3"/>
      <c r="D44" s="3">
        <v>34643.57638898438</v>
      </c>
      <c r="E44" s="3">
        <f t="shared" si="0"/>
        <v>34643.57638898438</v>
      </c>
    </row>
    <row r="45" spans="1:5">
      <c r="A45" t="s">
        <v>32</v>
      </c>
      <c r="B45" s="3">
        <v>119292.72633875201</v>
      </c>
      <c r="C45" s="3">
        <v>100245.54372520845</v>
      </c>
      <c r="D45" s="3">
        <v>121051.43287362164</v>
      </c>
      <c r="E45" s="3">
        <f t="shared" si="0"/>
        <v>340589.7029375821</v>
      </c>
    </row>
    <row r="46" spans="1:5">
      <c r="A46" t="s">
        <v>33</v>
      </c>
      <c r="B46" s="3">
        <v>103698.49165691638</v>
      </c>
      <c r="C46" s="3">
        <v>87141.202977558874</v>
      </c>
      <c r="D46" s="3">
        <v>188557.57049415269</v>
      </c>
      <c r="E46" s="3">
        <f t="shared" si="0"/>
        <v>379397.26512862794</v>
      </c>
    </row>
    <row r="47" spans="1:5">
      <c r="A47" t="s">
        <v>34</v>
      </c>
      <c r="B47" s="3">
        <v>39145.846666666672</v>
      </c>
      <c r="C47" s="3">
        <v>35712.714000000007</v>
      </c>
      <c r="D47" s="3">
        <v>36884.201434393661</v>
      </c>
      <c r="E47" s="3">
        <f t="shared" si="0"/>
        <v>111742.76210106035</v>
      </c>
    </row>
    <row r="48" spans="1:5">
      <c r="A48" t="s">
        <v>107</v>
      </c>
      <c r="B48" s="3"/>
      <c r="C48" s="3"/>
      <c r="D48" s="3">
        <v>10341.362881303059</v>
      </c>
      <c r="E48" s="3">
        <f t="shared" si="0"/>
        <v>10341.362881303059</v>
      </c>
    </row>
    <row r="49" spans="1:5">
      <c r="A49" t="s">
        <v>35</v>
      </c>
      <c r="B49" s="3">
        <v>39145.846666666672</v>
      </c>
      <c r="C49" s="3">
        <v>35712.714000000007</v>
      </c>
      <c r="D49" s="3">
        <v>53487.846081828582</v>
      </c>
      <c r="E49" s="3">
        <f t="shared" si="0"/>
        <v>128346.40674849527</v>
      </c>
    </row>
    <row r="50" spans="1:5">
      <c r="A50" t="s">
        <v>108</v>
      </c>
      <c r="B50" s="3"/>
      <c r="C50" s="3"/>
      <c r="D50" s="3">
        <v>9939.2021645934765</v>
      </c>
      <c r="E50" s="3">
        <f t="shared" si="0"/>
        <v>9939.2021645934765</v>
      </c>
    </row>
    <row r="51" spans="1:5">
      <c r="A51" t="s">
        <v>36</v>
      </c>
      <c r="B51" s="3">
        <v>53610.496523688278</v>
      </c>
      <c r="C51" s="3">
        <v>45050.637522815392</v>
      </c>
      <c r="D51" s="3">
        <v>47512.826689882306</v>
      </c>
      <c r="E51" s="3">
        <f t="shared" si="0"/>
        <v>146173.96073638595</v>
      </c>
    </row>
    <row r="52" spans="1:5">
      <c r="A52" t="s">
        <v>109</v>
      </c>
      <c r="B52" s="3"/>
      <c r="C52" s="3"/>
      <c r="D52" s="3">
        <v>289960.40398257319</v>
      </c>
      <c r="E52" s="3">
        <f t="shared" si="0"/>
        <v>289960.40398257319</v>
      </c>
    </row>
    <row r="53" spans="1:5">
      <c r="A53" t="s">
        <v>110</v>
      </c>
      <c r="B53" s="3"/>
      <c r="C53" s="3"/>
      <c r="D53" s="3">
        <v>8258.9377892467946</v>
      </c>
      <c r="E53" s="3">
        <f t="shared" si="0"/>
        <v>8258.9377892467946</v>
      </c>
    </row>
    <row r="54" spans="1:5">
      <c r="A54" t="s">
        <v>93</v>
      </c>
      <c r="B54" s="3"/>
      <c r="C54" s="3">
        <v>83757.460558333478</v>
      </c>
      <c r="D54" s="3">
        <v>96864.125967402098</v>
      </c>
      <c r="E54" s="3">
        <f t="shared" si="0"/>
        <v>180621.58652573556</v>
      </c>
    </row>
    <row r="55" spans="1:5">
      <c r="A55" t="s">
        <v>37</v>
      </c>
      <c r="B55" s="3">
        <v>29188.66952364421</v>
      </c>
      <c r="C55" s="3">
        <v>24528.18488450137</v>
      </c>
      <c r="D55" s="3">
        <v>33207.272776994258</v>
      </c>
      <c r="E55" s="3">
        <f t="shared" si="0"/>
        <v>86924.127185139834</v>
      </c>
    </row>
    <row r="56" spans="1:5">
      <c r="A56" t="s">
        <v>111</v>
      </c>
      <c r="B56" s="3"/>
      <c r="C56" s="3"/>
      <c r="D56" s="3">
        <v>13271.419276545303</v>
      </c>
      <c r="E56" s="3">
        <f t="shared" si="0"/>
        <v>13271.419276545303</v>
      </c>
    </row>
    <row r="57" spans="1:5">
      <c r="A57" t="s">
        <v>38</v>
      </c>
      <c r="B57" s="3">
        <v>510793.59516418452</v>
      </c>
      <c r="C57" s="3">
        <v>429236.41071948502</v>
      </c>
      <c r="D57" s="3">
        <v>1329784.7381934626</v>
      </c>
      <c r="E57" s="3">
        <f t="shared" si="0"/>
        <v>2269814.7440771321</v>
      </c>
    </row>
    <row r="58" spans="1:5">
      <c r="A58" t="s">
        <v>39</v>
      </c>
      <c r="B58" s="3">
        <v>19572.923333333336</v>
      </c>
      <c r="C58" s="3">
        <v>17856.357000000004</v>
      </c>
      <c r="D58" s="3">
        <v>16258.924843049545</v>
      </c>
      <c r="E58" s="3">
        <f t="shared" si="0"/>
        <v>53688.205176382886</v>
      </c>
    </row>
    <row r="59" spans="1:5">
      <c r="A59" t="s">
        <v>112</v>
      </c>
      <c r="B59" s="3"/>
      <c r="C59" s="3"/>
      <c r="D59" s="3">
        <v>8258.9377892467946</v>
      </c>
      <c r="E59" s="3">
        <f t="shared" si="0"/>
        <v>8258.9377892467946</v>
      </c>
    </row>
    <row r="60" spans="1:5">
      <c r="A60" t="s">
        <v>40</v>
      </c>
      <c r="B60" s="3">
        <v>45559.701754424917</v>
      </c>
      <c r="C60" s="3">
        <v>38285.293785317968</v>
      </c>
      <c r="D60" s="3">
        <v>56647.707421056621</v>
      </c>
      <c r="E60" s="3">
        <f t="shared" si="0"/>
        <v>140492.70296079951</v>
      </c>
    </row>
    <row r="61" spans="1:5">
      <c r="A61" t="s">
        <v>113</v>
      </c>
      <c r="B61" s="3"/>
      <c r="C61" s="3"/>
      <c r="D61" s="3">
        <v>8258.9377892467946</v>
      </c>
      <c r="E61" s="3">
        <f t="shared" si="0"/>
        <v>8258.9377892467946</v>
      </c>
    </row>
    <row r="62" spans="1:5">
      <c r="A62" t="s">
        <v>114</v>
      </c>
      <c r="B62" s="3"/>
      <c r="C62" s="3"/>
      <c r="D62" s="3">
        <v>24417.111850205318</v>
      </c>
      <c r="E62" s="3">
        <f t="shared" si="0"/>
        <v>24417.111850205318</v>
      </c>
    </row>
    <row r="63" spans="1:5">
      <c r="A63" t="s">
        <v>115</v>
      </c>
      <c r="B63" s="3"/>
      <c r="C63" s="3"/>
      <c r="D63" s="3">
        <v>8258.9377892467946</v>
      </c>
      <c r="E63" s="3">
        <f t="shared" si="0"/>
        <v>8258.9377892467946</v>
      </c>
    </row>
    <row r="64" spans="1:5">
      <c r="A64" t="s">
        <v>116</v>
      </c>
      <c r="B64" s="3"/>
      <c r="C64" s="3"/>
      <c r="D64" s="3">
        <v>9537.041447883892</v>
      </c>
      <c r="E64" s="3">
        <f t="shared" si="0"/>
        <v>9537.041447883892</v>
      </c>
    </row>
    <row r="65" spans="1:5">
      <c r="A65" t="s">
        <v>41</v>
      </c>
      <c r="B65" s="3">
        <v>13072.429436838922</v>
      </c>
      <c r="C65" s="3">
        <v>10985.186079024503</v>
      </c>
      <c r="D65" s="3">
        <v>8560.3559828031466</v>
      </c>
      <c r="E65" s="3">
        <f t="shared" si="0"/>
        <v>32617.971498666571</v>
      </c>
    </row>
    <row r="66" spans="1:5">
      <c r="A66" t="s">
        <v>117</v>
      </c>
      <c r="B66" s="3"/>
      <c r="C66" s="3"/>
      <c r="D66" s="3">
        <v>8258.9377892467946</v>
      </c>
      <c r="E66" s="3">
        <f t="shared" si="0"/>
        <v>8258.9377892467946</v>
      </c>
    </row>
    <row r="67" spans="1:5">
      <c r="A67" t="s">
        <v>118</v>
      </c>
      <c r="B67" s="3"/>
      <c r="C67" s="3"/>
      <c r="D67" s="3">
        <v>19303.879580815788</v>
      </c>
      <c r="E67" s="3">
        <f t="shared" si="0"/>
        <v>19303.879580815788</v>
      </c>
    </row>
    <row r="68" spans="1:5">
      <c r="A68" t="s">
        <v>119</v>
      </c>
      <c r="B68" s="3"/>
      <c r="C68" s="3"/>
      <c r="D68" s="3">
        <v>8258.9377892467946</v>
      </c>
      <c r="E68" s="3">
        <f t="shared" si="0"/>
        <v>8258.9377892467946</v>
      </c>
    </row>
    <row r="69" spans="1:5">
      <c r="A69" t="s">
        <v>42</v>
      </c>
      <c r="B69" s="3">
        <v>66675.600686387901</v>
      </c>
      <c r="C69" s="3">
        <v>56029.667936598868</v>
      </c>
      <c r="D69" s="3">
        <v>94623.500921992832</v>
      </c>
      <c r="E69" s="3">
        <f t="shared" si="0"/>
        <v>217328.76954497962</v>
      </c>
    </row>
    <row r="70" spans="1:5">
      <c r="A70" t="s">
        <v>120</v>
      </c>
      <c r="B70" s="3"/>
      <c r="C70" s="3"/>
      <c r="D70" s="3">
        <v>18097.389171749248</v>
      </c>
      <c r="E70" s="3">
        <f t="shared" si="0"/>
        <v>18097.389171749248</v>
      </c>
    </row>
    <row r="71" spans="1:5">
      <c r="A71" t="s">
        <v>43</v>
      </c>
      <c r="B71" s="3">
        <v>112956.68269844326</v>
      </c>
      <c r="C71" s="3">
        <v>94921.16092934749</v>
      </c>
      <c r="D71" s="3">
        <v>185397.70915492467</v>
      </c>
      <c r="E71" s="3">
        <f t="shared" si="0"/>
        <v>393275.55278271541</v>
      </c>
    </row>
    <row r="72" spans="1:5">
      <c r="A72" t="s">
        <v>44</v>
      </c>
      <c r="B72" s="3">
        <v>9786.461666666668</v>
      </c>
      <c r="C72" s="3">
        <v>8928.1785000000018</v>
      </c>
      <c r="D72" s="3">
        <v>11720.21732203118</v>
      </c>
      <c r="E72" s="3">
        <f t="shared" ref="E72:E123" si="1">SUM(B72:D72)</f>
        <v>30434.857488697853</v>
      </c>
    </row>
    <row r="73" spans="1:5">
      <c r="A73" s="1" t="s">
        <v>45</v>
      </c>
      <c r="B73" s="6">
        <v>145371.02076481629</v>
      </c>
      <c r="C73" s="6">
        <v>122159.97962084996</v>
      </c>
      <c r="D73" s="6">
        <v>147709.17802817404</v>
      </c>
      <c r="E73" s="6">
        <f t="shared" si="1"/>
        <v>415240.1784138403</v>
      </c>
    </row>
    <row r="74" spans="1:5">
      <c r="A74" s="40" t="s">
        <v>136</v>
      </c>
      <c r="B74" s="3">
        <f>SUM(B7:B73)</f>
        <v>2955297.5846229889</v>
      </c>
      <c r="C74" s="3">
        <f t="shared" ref="C74:E74" si="2">SUM(C7:C73)</f>
        <v>2649487.4920939654</v>
      </c>
      <c r="D74" s="3">
        <f t="shared" si="2"/>
        <v>5781184.8639999963</v>
      </c>
      <c r="E74" s="3">
        <f t="shared" si="2"/>
        <v>11385969.940716954</v>
      </c>
    </row>
    <row r="75" spans="1:5" ht="15">
      <c r="A75" s="32" t="s">
        <v>131</v>
      </c>
      <c r="B75" s="3"/>
      <c r="C75" s="3"/>
      <c r="D75" s="3"/>
      <c r="E75" s="3"/>
    </row>
    <row r="76" spans="1:5">
      <c r="A76" t="s">
        <v>46</v>
      </c>
      <c r="B76" s="3">
        <v>178962.07629058108</v>
      </c>
      <c r="C76" s="3">
        <v>150387.63212601433</v>
      </c>
      <c r="D76" s="3"/>
      <c r="E76" s="3">
        <f t="shared" si="1"/>
        <v>329349.70841659541</v>
      </c>
    </row>
    <row r="77" spans="1:5">
      <c r="A77" t="s">
        <v>47</v>
      </c>
      <c r="B77" s="3">
        <v>159666.86330377465</v>
      </c>
      <c r="C77" s="3">
        <v>134173.23937533272</v>
      </c>
      <c r="D77" s="3"/>
      <c r="E77" s="3">
        <f t="shared" si="1"/>
        <v>293840.10267910734</v>
      </c>
    </row>
    <row r="78" spans="1:5">
      <c r="A78" t="s">
        <v>48</v>
      </c>
      <c r="B78" s="3">
        <v>103677.86173627451</v>
      </c>
      <c r="C78" s="3">
        <v>87123.866986713358</v>
      </c>
      <c r="D78" s="3"/>
      <c r="E78" s="3">
        <f t="shared" si="1"/>
        <v>190801.72872298787</v>
      </c>
    </row>
    <row r="79" spans="1:5">
      <c r="A79" t="s">
        <v>49</v>
      </c>
      <c r="B79" s="3">
        <v>98171.191523967078</v>
      </c>
      <c r="C79" s="3">
        <v>82496.433558956691</v>
      </c>
      <c r="D79" s="3"/>
      <c r="E79" s="3">
        <f t="shared" si="1"/>
        <v>180667.62508292377</v>
      </c>
    </row>
    <row r="80" spans="1:5">
      <c r="A80" t="s">
        <v>50</v>
      </c>
      <c r="B80" s="3">
        <v>74978.62674318823</v>
      </c>
      <c r="C80" s="3">
        <v>63006.969798784085</v>
      </c>
      <c r="D80" s="3"/>
      <c r="E80" s="3">
        <f t="shared" si="1"/>
        <v>137985.59654197231</v>
      </c>
    </row>
    <row r="81" spans="1:5">
      <c r="A81" t="s">
        <v>51</v>
      </c>
      <c r="B81" s="3">
        <v>147926.09102443259</v>
      </c>
      <c r="C81" s="3">
        <v>124307.08795924112</v>
      </c>
      <c r="D81" s="3"/>
      <c r="E81" s="3">
        <f t="shared" si="1"/>
        <v>272233.17898367369</v>
      </c>
    </row>
    <row r="82" spans="1:5">
      <c r="A82" t="s">
        <v>52</v>
      </c>
      <c r="B82" s="3">
        <v>86625.286834323633</v>
      </c>
      <c r="C82" s="3">
        <v>72794.035693339669</v>
      </c>
      <c r="D82" s="3"/>
      <c r="E82" s="3">
        <f t="shared" si="1"/>
        <v>159419.32252766332</v>
      </c>
    </row>
    <row r="83" spans="1:5">
      <c r="A83" t="s">
        <v>53</v>
      </c>
      <c r="B83" s="3">
        <v>79276.23213759283</v>
      </c>
      <c r="C83" s="3">
        <v>66618.386879278187</v>
      </c>
      <c r="D83" s="3"/>
      <c r="E83" s="3">
        <f t="shared" si="1"/>
        <v>145894.61901687103</v>
      </c>
    </row>
    <row r="84" spans="1:5">
      <c r="A84" t="s">
        <v>54</v>
      </c>
      <c r="B84" s="3">
        <v>118705.91738956672</v>
      </c>
      <c r="C84" s="3">
        <v>99752.429149162534</v>
      </c>
      <c r="D84" s="3"/>
      <c r="E84" s="3">
        <f t="shared" si="1"/>
        <v>218458.34653872927</v>
      </c>
    </row>
    <row r="85" spans="1:5">
      <c r="A85" s="1" t="s">
        <v>55</v>
      </c>
      <c r="B85" s="6">
        <v>22299.606195029206</v>
      </c>
      <c r="C85" s="6">
        <v>18739.081723481013</v>
      </c>
      <c r="D85" s="6"/>
      <c r="E85" s="6">
        <f t="shared" si="1"/>
        <v>41038.687918510215</v>
      </c>
    </row>
    <row r="86" spans="1:5">
      <c r="A86" s="40" t="s">
        <v>137</v>
      </c>
      <c r="B86" s="3">
        <f>SUM(B76:B85)</f>
        <v>1070289.7531787304</v>
      </c>
      <c r="C86" s="3">
        <f t="shared" ref="C86:E86" si="3">SUM(C76:C85)</f>
        <v>899399.16325030371</v>
      </c>
      <c r="D86" s="3">
        <f t="shared" si="3"/>
        <v>0</v>
      </c>
      <c r="E86" s="3">
        <f t="shared" si="3"/>
        <v>1969688.9164290344</v>
      </c>
    </row>
    <row r="87" spans="1:5" ht="15">
      <c r="A87" s="32" t="s">
        <v>132</v>
      </c>
      <c r="B87" s="3"/>
      <c r="C87" s="3"/>
      <c r="D87" s="3"/>
      <c r="E87" s="3"/>
    </row>
    <row r="88" spans="1:5">
      <c r="A88" t="s">
        <v>86</v>
      </c>
      <c r="B88" s="3"/>
      <c r="C88" s="3">
        <v>3571.2714000000005</v>
      </c>
      <c r="D88" s="3"/>
      <c r="E88" s="3">
        <f t="shared" si="1"/>
        <v>3571.2714000000005</v>
      </c>
    </row>
    <row r="89" spans="1:5">
      <c r="A89" t="s">
        <v>56</v>
      </c>
      <c r="B89" s="3">
        <v>40080.396698233497</v>
      </c>
      <c r="C89" s="3">
        <v>35712.714000000007</v>
      </c>
      <c r="D89" s="3"/>
      <c r="E89" s="3">
        <f t="shared" si="1"/>
        <v>75793.110698233504</v>
      </c>
    </row>
    <row r="90" spans="1:5">
      <c r="A90" t="s">
        <v>57</v>
      </c>
      <c r="B90" s="3">
        <v>19812.318625348737</v>
      </c>
      <c r="C90" s="3">
        <v>17856.357000000004</v>
      </c>
      <c r="D90" s="3"/>
      <c r="E90" s="3">
        <f t="shared" si="1"/>
        <v>37668.67562534874</v>
      </c>
    </row>
    <row r="91" spans="1:5">
      <c r="A91" t="s">
        <v>58</v>
      </c>
      <c r="B91" s="3">
        <v>19572.923333333336</v>
      </c>
      <c r="C91" s="3">
        <v>17856.357000000004</v>
      </c>
      <c r="D91" s="3"/>
      <c r="E91" s="3">
        <f t="shared" si="1"/>
        <v>37429.280333333343</v>
      </c>
    </row>
    <row r="92" spans="1:5">
      <c r="A92" t="s">
        <v>59</v>
      </c>
      <c r="B92" s="3">
        <v>3914.5846666666675</v>
      </c>
      <c r="C92" s="3">
        <v>3571.2714000000005</v>
      </c>
      <c r="D92" s="3"/>
      <c r="E92" s="3">
        <f t="shared" si="1"/>
        <v>7485.8560666666681</v>
      </c>
    </row>
    <row r="93" spans="1:5">
      <c r="A93" t="s">
        <v>60</v>
      </c>
      <c r="B93" s="3">
        <v>9786.461666666668</v>
      </c>
      <c r="C93" s="3">
        <v>8928.1785000000018</v>
      </c>
      <c r="D93" s="3"/>
      <c r="E93" s="3">
        <f t="shared" si="1"/>
        <v>18714.640166666672</v>
      </c>
    </row>
    <row r="94" spans="1:5">
      <c r="A94" t="s">
        <v>61</v>
      </c>
      <c r="B94" s="3">
        <v>3914.5846666666675</v>
      </c>
      <c r="C94" s="3">
        <v>3571.2714000000005</v>
      </c>
      <c r="D94" s="3"/>
      <c r="E94" s="3">
        <f t="shared" si="1"/>
        <v>7485.8560666666681</v>
      </c>
    </row>
    <row r="95" spans="1:5">
      <c r="A95" t="s">
        <v>62</v>
      </c>
      <c r="B95" s="3">
        <v>3914.5846666666675</v>
      </c>
      <c r="C95" s="3">
        <v>3571.2714000000005</v>
      </c>
      <c r="D95" s="3"/>
      <c r="E95" s="3">
        <f t="shared" si="1"/>
        <v>7485.8560666666681</v>
      </c>
    </row>
    <row r="96" spans="1:5">
      <c r="A96" t="s">
        <v>63</v>
      </c>
      <c r="B96" s="3">
        <v>9786.461666666668</v>
      </c>
      <c r="C96" s="3">
        <v>8928.1785000000018</v>
      </c>
      <c r="D96" s="3"/>
      <c r="E96" s="3">
        <f t="shared" si="1"/>
        <v>18714.640166666672</v>
      </c>
    </row>
    <row r="97" spans="1:5">
      <c r="A97" t="s">
        <v>64</v>
      </c>
      <c r="B97" s="3">
        <v>3914.5846666666675</v>
      </c>
      <c r="C97" s="3">
        <v>3571.2714000000005</v>
      </c>
      <c r="D97" s="3"/>
      <c r="E97" s="3">
        <f t="shared" si="1"/>
        <v>7485.8560666666681</v>
      </c>
    </row>
    <row r="98" spans="1:5">
      <c r="A98" t="s">
        <v>65</v>
      </c>
      <c r="B98" s="3">
        <v>9786.461666666668</v>
      </c>
      <c r="C98" s="3">
        <v>8928.1785000000018</v>
      </c>
      <c r="D98" s="3"/>
      <c r="E98" s="3">
        <f t="shared" si="1"/>
        <v>18714.640166666672</v>
      </c>
    </row>
    <row r="99" spans="1:5">
      <c r="A99" t="s">
        <v>66</v>
      </c>
      <c r="B99" s="3">
        <v>9786.461666666668</v>
      </c>
      <c r="C99" s="3">
        <v>8928.1785000000018</v>
      </c>
      <c r="D99" s="3"/>
      <c r="E99" s="3">
        <f t="shared" si="1"/>
        <v>18714.640166666672</v>
      </c>
    </row>
    <row r="100" spans="1:5">
      <c r="A100" t="s">
        <v>67</v>
      </c>
      <c r="B100" s="3">
        <v>9786.461666666668</v>
      </c>
      <c r="C100" s="3">
        <v>8928.1785000000018</v>
      </c>
      <c r="D100" s="3"/>
      <c r="E100" s="3">
        <f t="shared" si="1"/>
        <v>18714.640166666672</v>
      </c>
    </row>
    <row r="101" spans="1:5">
      <c r="A101" t="s">
        <v>68</v>
      </c>
      <c r="B101" s="3">
        <v>10567.504171380569</v>
      </c>
      <c r="C101" s="3">
        <v>8928.1785000000018</v>
      </c>
      <c r="D101" s="3"/>
      <c r="E101" s="3">
        <f t="shared" si="1"/>
        <v>19495.682671380571</v>
      </c>
    </row>
    <row r="102" spans="1:5">
      <c r="A102" t="s">
        <v>69</v>
      </c>
      <c r="B102" s="3">
        <v>9786.461666666668</v>
      </c>
      <c r="C102" s="3">
        <v>8928.1785000000018</v>
      </c>
      <c r="D102" s="3"/>
      <c r="E102" s="3">
        <f t="shared" si="1"/>
        <v>18714.640166666672</v>
      </c>
    </row>
    <row r="103" spans="1:5">
      <c r="A103" t="s">
        <v>87</v>
      </c>
      <c r="B103" s="3"/>
      <c r="C103" s="3">
        <v>3571.2714000000005</v>
      </c>
      <c r="D103" s="3"/>
      <c r="E103" s="3">
        <f t="shared" si="1"/>
        <v>3571.2714000000005</v>
      </c>
    </row>
    <row r="104" spans="1:5">
      <c r="A104" t="s">
        <v>70</v>
      </c>
      <c r="B104" s="3">
        <v>14663.287885785454</v>
      </c>
      <c r="C104" s="3">
        <v>12322.035986802002</v>
      </c>
      <c r="D104" s="3"/>
      <c r="E104" s="3">
        <f t="shared" si="1"/>
        <v>26985.323872587454</v>
      </c>
    </row>
    <row r="105" spans="1:5">
      <c r="A105" t="s">
        <v>71</v>
      </c>
      <c r="B105" s="3">
        <v>3914.5846666666675</v>
      </c>
      <c r="C105" s="3">
        <v>3571.2714000000005</v>
      </c>
      <c r="D105" s="3"/>
      <c r="E105" s="3">
        <f t="shared" si="1"/>
        <v>7485.8560666666681</v>
      </c>
    </row>
    <row r="106" spans="1:5">
      <c r="A106" t="s">
        <v>72</v>
      </c>
      <c r="B106" s="3">
        <v>9786.461666666668</v>
      </c>
      <c r="C106" s="3">
        <v>8928.1785000000018</v>
      </c>
      <c r="D106" s="3"/>
      <c r="E106" s="3">
        <f t="shared" si="1"/>
        <v>18714.640166666672</v>
      </c>
    </row>
    <row r="107" spans="1:5">
      <c r="A107" t="s">
        <v>88</v>
      </c>
      <c r="B107" s="3"/>
      <c r="C107" s="3">
        <v>8928.1785000000018</v>
      </c>
      <c r="D107" s="3"/>
      <c r="E107" s="3">
        <f t="shared" si="1"/>
        <v>8928.1785000000018</v>
      </c>
    </row>
    <row r="108" spans="1:5">
      <c r="A108" t="s">
        <v>73</v>
      </c>
      <c r="B108" s="3">
        <v>9786.461666666668</v>
      </c>
      <c r="C108" s="3">
        <v>8928.1785000000018</v>
      </c>
      <c r="D108" s="3"/>
      <c r="E108" s="3">
        <f t="shared" si="1"/>
        <v>18714.640166666672</v>
      </c>
    </row>
    <row r="109" spans="1:5">
      <c r="A109" t="s">
        <v>74</v>
      </c>
      <c r="B109" s="3">
        <v>11385.386953541667</v>
      </c>
      <c r="C109" s="3">
        <v>9567.5096102562547</v>
      </c>
      <c r="D109" s="3"/>
      <c r="E109" s="3">
        <f t="shared" si="1"/>
        <v>20952.89656379792</v>
      </c>
    </row>
    <row r="110" spans="1:5">
      <c r="A110" t="s">
        <v>75</v>
      </c>
      <c r="B110" s="3">
        <v>96493.288315471422</v>
      </c>
      <c r="C110" s="3">
        <v>81086.437118970236</v>
      </c>
      <c r="D110" s="3"/>
      <c r="E110" s="3">
        <f t="shared" si="1"/>
        <v>177579.72543444164</v>
      </c>
    </row>
    <row r="111" spans="1:5">
      <c r="A111" t="s">
        <v>76</v>
      </c>
      <c r="B111" s="3">
        <v>3914.5846666666675</v>
      </c>
      <c r="C111" s="3">
        <v>3571.2714000000005</v>
      </c>
      <c r="D111" s="3"/>
      <c r="E111" s="3">
        <f t="shared" si="1"/>
        <v>7485.8560666666681</v>
      </c>
    </row>
    <row r="112" spans="1:5">
      <c r="A112" t="s">
        <v>89</v>
      </c>
      <c r="B112" s="3"/>
      <c r="C112" s="3">
        <v>112893.02705692685</v>
      </c>
      <c r="D112" s="3"/>
      <c r="E112" s="3">
        <f t="shared" si="1"/>
        <v>112893.02705692685</v>
      </c>
    </row>
    <row r="113" spans="1:6">
      <c r="A113" t="s">
        <v>77</v>
      </c>
      <c r="B113" s="3">
        <v>3914.5846666666675</v>
      </c>
      <c r="C113" s="3">
        <v>3571.2714000000005</v>
      </c>
      <c r="D113" s="3"/>
      <c r="E113" s="3">
        <f t="shared" si="1"/>
        <v>7485.8560666666681</v>
      </c>
    </row>
    <row r="114" spans="1:6">
      <c r="A114" t="s">
        <v>90</v>
      </c>
      <c r="B114" s="3"/>
      <c r="C114" s="3">
        <v>3571.2714000000005</v>
      </c>
      <c r="D114" s="3"/>
      <c r="E114" s="3">
        <f t="shared" si="1"/>
        <v>3571.2714000000005</v>
      </c>
    </row>
    <row r="115" spans="1:6">
      <c r="A115" t="s">
        <v>91</v>
      </c>
      <c r="B115" s="3"/>
      <c r="C115" s="3">
        <v>3571.2714000000005</v>
      </c>
      <c r="D115" s="3"/>
      <c r="E115" s="3">
        <f t="shared" si="1"/>
        <v>3571.2714000000005</v>
      </c>
    </row>
    <row r="116" spans="1:6">
      <c r="A116" t="s">
        <v>78</v>
      </c>
      <c r="B116" s="3">
        <v>10702.225517507572</v>
      </c>
      <c r="C116" s="3">
        <v>8928.1785000000018</v>
      </c>
      <c r="D116" s="3"/>
      <c r="E116" s="3">
        <f t="shared" si="1"/>
        <v>19630.404017507572</v>
      </c>
    </row>
    <row r="117" spans="1:6">
      <c r="A117" t="s">
        <v>79</v>
      </c>
      <c r="B117" s="3">
        <v>9786.461666666668</v>
      </c>
      <c r="C117" s="3">
        <v>8928.1785000000018</v>
      </c>
      <c r="D117" s="3"/>
      <c r="E117" s="3">
        <f t="shared" si="1"/>
        <v>18714.640166666672</v>
      </c>
    </row>
    <row r="118" spans="1:6">
      <c r="A118" t="s">
        <v>80</v>
      </c>
      <c r="B118" s="3">
        <v>9786.461666666668</v>
      </c>
      <c r="C118" s="3">
        <v>8928.1785000000018</v>
      </c>
      <c r="D118" s="3"/>
      <c r="E118" s="3">
        <f t="shared" si="1"/>
        <v>18714.640166666672</v>
      </c>
    </row>
    <row r="119" spans="1:6">
      <c r="A119" t="s">
        <v>81</v>
      </c>
      <c r="B119" s="3">
        <v>3914.5846666666675</v>
      </c>
      <c r="C119" s="3">
        <v>3571.2714000000005</v>
      </c>
      <c r="D119" s="3"/>
      <c r="E119" s="3">
        <f t="shared" si="1"/>
        <v>7485.8560666666681</v>
      </c>
    </row>
    <row r="120" spans="1:6">
      <c r="A120" t="s">
        <v>82</v>
      </c>
      <c r="B120" s="3">
        <v>14118.032697678056</v>
      </c>
      <c r="C120" s="3">
        <v>11863.840382774959</v>
      </c>
      <c r="D120" s="3"/>
      <c r="E120" s="3">
        <f t="shared" si="1"/>
        <v>25981.873080453013</v>
      </c>
    </row>
    <row r="121" spans="1:6">
      <c r="A121" t="s">
        <v>83</v>
      </c>
      <c r="B121" s="3">
        <v>3914.5846666666675</v>
      </c>
      <c r="C121" s="3">
        <v>3571.2714000000005</v>
      </c>
      <c r="D121" s="3"/>
      <c r="E121" s="3">
        <f t="shared" si="1"/>
        <v>7485.8560666666681</v>
      </c>
    </row>
    <row r="122" spans="1:6">
      <c r="A122" t="s">
        <v>84</v>
      </c>
      <c r="B122" s="3">
        <v>3914.5846666666675</v>
      </c>
      <c r="C122" s="3">
        <v>3571.2714000000005</v>
      </c>
      <c r="D122" s="3"/>
      <c r="E122" s="3">
        <f t="shared" si="1"/>
        <v>7485.8560666666681</v>
      </c>
    </row>
    <row r="123" spans="1:6">
      <c r="A123" s="1" t="s">
        <v>85</v>
      </c>
      <c r="B123" s="6">
        <v>3914.5846666666675</v>
      </c>
      <c r="C123" s="6">
        <v>3571.2714000000005</v>
      </c>
      <c r="D123" s="6"/>
      <c r="E123" s="6">
        <f t="shared" si="1"/>
        <v>7485.8560666666681</v>
      </c>
    </row>
    <row r="124" spans="1:6">
      <c r="A124" s="40" t="s">
        <v>138</v>
      </c>
      <c r="B124" s="3">
        <f>SUM(B88:B123)</f>
        <v>378320.41219828051</v>
      </c>
      <c r="C124" s="3">
        <f t="shared" ref="C124:E124" si="4">SUM(C88:C123)</f>
        <v>468793.66965573054</v>
      </c>
      <c r="D124" s="3">
        <f t="shared" si="4"/>
        <v>0</v>
      </c>
      <c r="E124" s="3">
        <f t="shared" si="4"/>
        <v>847114.08185401058</v>
      </c>
    </row>
    <row r="125" spans="1:6">
      <c r="A125" s="5" t="s">
        <v>3</v>
      </c>
      <c r="B125" s="3">
        <f>B124+B86+B74+B5</f>
        <v>5871877</v>
      </c>
      <c r="C125" s="3">
        <f>C124+C86+C74+C5</f>
        <v>5356907.0999999996</v>
      </c>
      <c r="D125" s="3">
        <f>D74</f>
        <v>5781184.8639999963</v>
      </c>
      <c r="E125" s="3">
        <f>E124+E86+E74+E5</f>
        <v>17009968.963999998</v>
      </c>
    </row>
    <row r="126" spans="1:6">
      <c r="B126" s="3"/>
      <c r="C126" s="3"/>
      <c r="D126" s="3"/>
      <c r="E126" s="3"/>
    </row>
    <row r="127" spans="1:6" ht="15">
      <c r="A127" s="5" t="s">
        <v>127</v>
      </c>
      <c r="B127" s="6">
        <v>5874399.679999995</v>
      </c>
      <c r="C127" s="6">
        <v>5359055.8200000031</v>
      </c>
      <c r="D127" s="6">
        <v>5781184.8639999963</v>
      </c>
      <c r="E127" s="29">
        <v>17014640.364000004</v>
      </c>
    </row>
    <row r="128" spans="1:6" ht="15">
      <c r="A128" s="5" t="s">
        <v>128</v>
      </c>
      <c r="B128" s="3">
        <f>B127-B125</f>
        <v>2522.6799999950454</v>
      </c>
      <c r="C128" s="3">
        <f>C127-C125</f>
        <v>2148.7200000034645</v>
      </c>
      <c r="D128" s="3">
        <f>D127-D125</f>
        <v>0</v>
      </c>
      <c r="E128" s="27">
        <f>E127-E125</f>
        <v>4671.4000000059605</v>
      </c>
      <c r="F128" t="s">
        <v>129</v>
      </c>
    </row>
    <row r="129" spans="1:5">
      <c r="B129" s="3"/>
      <c r="C129" s="3"/>
      <c r="D129" s="3"/>
      <c r="E129" s="3"/>
    </row>
    <row r="130" spans="1:5">
      <c r="A130" s="5"/>
      <c r="B130" s="3"/>
      <c r="C130" s="3"/>
      <c r="D130" s="3"/>
      <c r="E130" s="3"/>
    </row>
    <row r="131" spans="1:5">
      <c r="B131" s="3"/>
      <c r="C131" s="3"/>
      <c r="D131" s="3"/>
      <c r="E131" s="3"/>
    </row>
    <row r="132" spans="1:5">
      <c r="B132" s="3"/>
      <c r="C132" s="3"/>
      <c r="D132" s="3"/>
      <c r="E132" s="3"/>
    </row>
    <row r="133" spans="1:5">
      <c r="B133" s="3"/>
      <c r="C133" s="3"/>
      <c r="D133" s="3"/>
      <c r="E133" s="3"/>
    </row>
    <row r="134" spans="1:5">
      <c r="B134" s="3"/>
      <c r="C134" s="3"/>
      <c r="D134" s="3"/>
      <c r="E134" s="3"/>
    </row>
    <row r="135" spans="1:5">
      <c r="B135" s="3"/>
      <c r="C135" s="3"/>
      <c r="D135" s="3"/>
      <c r="E135" s="3"/>
    </row>
    <row r="136" spans="1:5">
      <c r="B136" s="3"/>
      <c r="C136" s="3"/>
      <c r="D136" s="3"/>
      <c r="E136" s="3"/>
    </row>
    <row r="137" spans="1:5">
      <c r="B137" s="3"/>
      <c r="C137" s="3"/>
      <c r="D137" s="3"/>
      <c r="E137" s="3"/>
    </row>
    <row r="138" spans="1:5">
      <c r="B138" s="3"/>
      <c r="C138" s="3"/>
      <c r="D138" s="3"/>
      <c r="E138" s="3"/>
    </row>
    <row r="139" spans="1:5">
      <c r="B139" s="3"/>
      <c r="C139" s="3"/>
      <c r="D139" s="3"/>
      <c r="E139" s="3"/>
    </row>
    <row r="140" spans="1:5">
      <c r="B140" s="3"/>
      <c r="C140" s="3"/>
      <c r="D140" s="3"/>
      <c r="E140" s="3"/>
    </row>
    <row r="141" spans="1:5">
      <c r="B141" s="3"/>
      <c r="C141" s="3"/>
      <c r="D141" s="3"/>
      <c r="E141" s="3"/>
    </row>
    <row r="142" spans="1:5">
      <c r="B142" s="3"/>
      <c r="C142" s="3"/>
      <c r="D142" s="3"/>
      <c r="E142" s="3"/>
    </row>
    <row r="143" spans="1:5">
      <c r="B143" s="3"/>
      <c r="C143" s="3"/>
      <c r="D143" s="3"/>
      <c r="E143" s="3"/>
    </row>
  </sheetData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B927C-3593-4721-B7EB-D78F2D93D446}">
  <dimension ref="A1:M144"/>
  <sheetViews>
    <sheetView workbookViewId="0">
      <pane ySplit="1" topLeftCell="A107" activePane="bottomLeft" state="frozen"/>
      <selection pane="bottomLeft" activeCell="G141" sqref="G141"/>
    </sheetView>
  </sheetViews>
  <sheetFormatPr defaultRowHeight="14.25"/>
  <cols>
    <col min="1" max="1" width="40.25" bestFit="1" customWidth="1"/>
    <col min="2" max="2" width="15.375" bestFit="1" customWidth="1"/>
    <col min="3" max="3" width="15.375" customWidth="1"/>
    <col min="4" max="4" width="14.875" bestFit="1" customWidth="1"/>
    <col min="5" max="5" width="14.875" customWidth="1"/>
    <col min="6" max="11" width="13.75" customWidth="1"/>
    <col min="13" max="13" width="17.75" customWidth="1"/>
  </cols>
  <sheetData>
    <row r="1" spans="1:13" ht="34.15" customHeight="1">
      <c r="A1" s="7" t="s">
        <v>4</v>
      </c>
      <c r="B1" s="25" t="s">
        <v>0</v>
      </c>
      <c r="C1" s="7" t="s">
        <v>134</v>
      </c>
      <c r="D1" s="7" t="s">
        <v>121</v>
      </c>
      <c r="E1" s="21" t="s">
        <v>125</v>
      </c>
      <c r="F1" s="7" t="s">
        <v>1</v>
      </c>
      <c r="G1" s="7" t="s">
        <v>134</v>
      </c>
      <c r="H1" s="7" t="s">
        <v>122</v>
      </c>
      <c r="I1" s="21" t="s">
        <v>126</v>
      </c>
      <c r="J1" s="26" t="s">
        <v>2</v>
      </c>
      <c r="K1" s="21" t="s">
        <v>3</v>
      </c>
      <c r="M1" s="35" t="s">
        <v>133</v>
      </c>
    </row>
    <row r="2" spans="1:13">
      <c r="A2" t="s">
        <v>5</v>
      </c>
      <c r="B2" s="20">
        <v>1027578.475</v>
      </c>
      <c r="C2" s="39">
        <v>0.7</v>
      </c>
      <c r="D2" s="8">
        <f>0.7*D132</f>
        <v>441.46899999994781</v>
      </c>
      <c r="E2" s="11">
        <f>B2+D2</f>
        <v>1028019.9439999999</v>
      </c>
      <c r="F2" s="3">
        <v>937458.74249999982</v>
      </c>
      <c r="G2" s="3">
        <v>0.7</v>
      </c>
      <c r="H2" s="3">
        <f>0.7*H132</f>
        <v>376.02599999979134</v>
      </c>
      <c r="I2" s="15">
        <f>F2+H2</f>
        <v>937834.76849999966</v>
      </c>
      <c r="J2" s="3"/>
      <c r="K2" s="22">
        <f>E2+I2+J2</f>
        <v>1965854.7124999994</v>
      </c>
    </row>
    <row r="3" spans="1:13">
      <c r="A3" t="s">
        <v>6</v>
      </c>
      <c r="B3" s="16">
        <v>366992.3125</v>
      </c>
      <c r="C3">
        <v>0.25</v>
      </c>
      <c r="D3" s="3">
        <f>0.25*D132</f>
        <v>157.66749999998137</v>
      </c>
      <c r="E3" s="12">
        <f>B3+D3</f>
        <v>367149.98</v>
      </c>
      <c r="F3" s="3">
        <v>334806.69374999998</v>
      </c>
      <c r="G3" s="3">
        <v>0.25</v>
      </c>
      <c r="H3" s="3">
        <f>0.25*H132</f>
        <v>134.29499999992549</v>
      </c>
      <c r="I3" s="12">
        <f>F3+H3</f>
        <v>334940.9887499999</v>
      </c>
      <c r="J3" s="3"/>
      <c r="K3" s="23">
        <f>E3+I3+J3</f>
        <v>702090.96874999988</v>
      </c>
    </row>
    <row r="4" spans="1:13">
      <c r="A4" s="33" t="s">
        <v>7</v>
      </c>
      <c r="B4" s="17">
        <v>73398.462500000009</v>
      </c>
      <c r="C4" s="1">
        <v>0.05</v>
      </c>
      <c r="D4" s="6">
        <f>0.05*D132</f>
        <v>31.533499999996277</v>
      </c>
      <c r="E4" s="42">
        <f t="shared" ref="E4:E69" si="0">B4+D4</f>
        <v>73429.995999999999</v>
      </c>
      <c r="F4" s="6">
        <v>66961.338749999995</v>
      </c>
      <c r="G4" s="6">
        <v>0.05</v>
      </c>
      <c r="H4" s="6">
        <f>0.05*H132</f>
        <v>26.858999999985102</v>
      </c>
      <c r="I4" s="14">
        <f t="shared" ref="I4:I69" si="1">F4+H4</f>
        <v>66988.197749999978</v>
      </c>
      <c r="J4" s="6"/>
      <c r="K4" s="24">
        <f t="shared" ref="K4:K69" si="2">E4+I4+J4</f>
        <v>140418.19374999998</v>
      </c>
    </row>
    <row r="5" spans="1:13">
      <c r="A5" s="41" t="s">
        <v>135</v>
      </c>
      <c r="B5" s="16">
        <f>SUM(B2:B4)</f>
        <v>1467969.25</v>
      </c>
      <c r="C5" s="44">
        <f>(C2+C3+C4)*0.25</f>
        <v>0.25</v>
      </c>
      <c r="D5" s="3">
        <f>SUM(D2:D4)</f>
        <v>630.66999999992538</v>
      </c>
      <c r="E5" s="13">
        <f>SUM(E2:E4)</f>
        <v>1468599.92</v>
      </c>
      <c r="F5" s="3">
        <f>SUM(F2:F4)</f>
        <v>1339226.7749999999</v>
      </c>
      <c r="G5" s="44">
        <f>(G2+G3+G4)*0.25</f>
        <v>0.25</v>
      </c>
      <c r="H5" s="3">
        <f>SUM(H2:H4)</f>
        <v>537.17999999970198</v>
      </c>
      <c r="I5" s="12">
        <f>SUM(I2:I4)</f>
        <v>1339763.9549999996</v>
      </c>
      <c r="J5" s="3"/>
      <c r="K5" s="23">
        <f>SUM(K2:K4)</f>
        <v>2808363.8749999995</v>
      </c>
    </row>
    <row r="6" spans="1:13" ht="15">
      <c r="A6" s="34" t="s">
        <v>130</v>
      </c>
      <c r="B6" s="16"/>
      <c r="C6" s="3"/>
      <c r="D6" s="3"/>
      <c r="E6" s="13"/>
      <c r="F6" s="3"/>
      <c r="G6" s="3"/>
      <c r="H6" s="3"/>
      <c r="I6" s="12"/>
      <c r="J6" s="3"/>
      <c r="K6" s="23"/>
    </row>
    <row r="7" spans="1:13">
      <c r="A7" t="s">
        <v>8</v>
      </c>
      <c r="B7" s="16">
        <v>39145.846666666672</v>
      </c>
      <c r="C7" s="36">
        <v>8.8888888888888906E-3</v>
      </c>
      <c r="D7" s="3">
        <f>0.00888888888888889*D131</f>
        <v>16.817866666664685</v>
      </c>
      <c r="E7" s="12">
        <f t="shared" si="0"/>
        <v>39162.664533333336</v>
      </c>
      <c r="F7" s="3">
        <v>35712.714000000007</v>
      </c>
      <c r="G7" s="36">
        <v>8.8888888888888906E-3</v>
      </c>
      <c r="H7" s="3">
        <f>H131*0.00888888888888889</f>
        <v>14.324799999992056</v>
      </c>
      <c r="I7" s="12">
        <f t="shared" si="1"/>
        <v>35727.038800000002</v>
      </c>
      <c r="J7" s="3">
        <v>19763.49772772516</v>
      </c>
      <c r="K7" s="23">
        <f t="shared" si="2"/>
        <v>94653.201061058498</v>
      </c>
      <c r="M7" s="3">
        <v>179137.48344551932</v>
      </c>
    </row>
    <row r="8" spans="1:13">
      <c r="A8" t="s">
        <v>9</v>
      </c>
      <c r="B8" s="16">
        <v>398296.81228561688</v>
      </c>
      <c r="C8" s="36">
        <v>9.0441679275778855E-2</v>
      </c>
      <c r="D8" s="3">
        <f>0.0904416792757789*D131</f>
        <v>171.11656160654621</v>
      </c>
      <c r="E8" s="13">
        <f t="shared" si="0"/>
        <v>398467.9288472234</v>
      </c>
      <c r="F8" s="3">
        <v>334701.71851222572</v>
      </c>
      <c r="G8" s="36">
        <v>8.3307205013187738E-2</v>
      </c>
      <c r="H8" s="3">
        <f>H131*0.0833072050131877</f>
        <v>134.25289316687801</v>
      </c>
      <c r="I8" s="12">
        <f t="shared" si="1"/>
        <v>334835.97140539257</v>
      </c>
      <c r="J8" s="3">
        <v>662077.21930295078</v>
      </c>
      <c r="K8" s="23">
        <f t="shared" si="2"/>
        <v>1395381.1195555669</v>
      </c>
      <c r="M8" s="3">
        <v>6001106.1071520848</v>
      </c>
    </row>
    <row r="9" spans="1:13">
      <c r="A9" t="s">
        <v>10</v>
      </c>
      <c r="B9" s="16">
        <v>20879.579218425773</v>
      </c>
      <c r="C9" s="36">
        <v>4.7411481810502899E-3</v>
      </c>
      <c r="D9" s="3">
        <f>0.00474114818105029*D131</f>
        <v>8.9702997700278999</v>
      </c>
      <c r="E9" s="12">
        <f t="shared" si="0"/>
        <v>20888.549518195803</v>
      </c>
      <c r="F9" s="3">
        <v>17856.357000000004</v>
      </c>
      <c r="G9" s="36">
        <v>4.4444444444444453E-3</v>
      </c>
      <c r="H9" s="3">
        <f>H131*0.00444444444444445</f>
        <v>7.162399999996035</v>
      </c>
      <c r="I9" s="12">
        <f t="shared" si="1"/>
        <v>17863.519400000001</v>
      </c>
      <c r="J9" s="3">
        <v>34815.932161708166</v>
      </c>
      <c r="K9" s="23">
        <f t="shared" si="2"/>
        <v>73568.001079903974</v>
      </c>
      <c r="M9" s="3">
        <v>315573.61744267523</v>
      </c>
    </row>
    <row r="10" spans="1:13">
      <c r="A10" t="s">
        <v>11</v>
      </c>
      <c r="B10" s="16">
        <v>53574.825623531717</v>
      </c>
      <c r="C10" s="36">
        <v>1.2165292432279427E-2</v>
      </c>
      <c r="D10" s="3">
        <f>0.0121652924322794*D131</f>
        <v>23.016854934794228</v>
      </c>
      <c r="E10" s="13">
        <f t="shared" si="0"/>
        <v>53597.842478466511</v>
      </c>
      <c r="F10" s="3">
        <v>45020.662109467819</v>
      </c>
      <c r="G10" s="36">
        <v>1.1205635707083744E-2</v>
      </c>
      <c r="H10" s="3">
        <f>H131*0.0112056357070837</f>
        <v>18.058330167383648</v>
      </c>
      <c r="I10" s="12">
        <f t="shared" si="1"/>
        <v>45038.720439635203</v>
      </c>
      <c r="J10" s="3">
        <v>73193.886379353964</v>
      </c>
      <c r="K10" s="23">
        <f t="shared" si="2"/>
        <v>171830.44929745566</v>
      </c>
      <c r="M10" s="3">
        <v>663433.60827273701</v>
      </c>
    </row>
    <row r="11" spans="1:13">
      <c r="A11" t="s">
        <v>12</v>
      </c>
      <c r="B11" s="16">
        <v>15152.807292398233</v>
      </c>
      <c r="C11" s="36">
        <v>3.440764010644463E-3</v>
      </c>
      <c r="D11" s="3">
        <f>D131*0.00344076401064446</f>
        <v>6.5099599157786558</v>
      </c>
      <c r="E11" s="12">
        <f t="shared" si="0"/>
        <v>15159.317252314011</v>
      </c>
      <c r="F11" s="3">
        <v>12733.395007473475</v>
      </c>
      <c r="G11" s="36">
        <v>3.1693400115086249E-3</v>
      </c>
      <c r="H11" s="3">
        <f>H131*0.00316934001150862</f>
        <v>5.1075182021437682</v>
      </c>
      <c r="I11" s="12">
        <f t="shared" si="1"/>
        <v>12738.502525675618</v>
      </c>
      <c r="J11" s="3">
        <v>11030.794231136015</v>
      </c>
      <c r="K11" s="23">
        <f t="shared" si="2"/>
        <v>38928.614009125646</v>
      </c>
      <c r="M11" s="3">
        <v>99983.755213480865</v>
      </c>
    </row>
    <row r="12" spans="1:13">
      <c r="A12" t="s">
        <v>94</v>
      </c>
      <c r="B12" s="16"/>
      <c r="C12" s="36"/>
      <c r="D12" s="3"/>
      <c r="E12" s="13">
        <f t="shared" si="0"/>
        <v>0</v>
      </c>
      <c r="F12" s="3"/>
      <c r="G12" s="36"/>
      <c r="H12" s="3"/>
      <c r="I12" s="12">
        <f t="shared" si="1"/>
        <v>0</v>
      </c>
      <c r="J12" s="3">
        <v>108641.79246069529</v>
      </c>
      <c r="K12" s="23">
        <f t="shared" si="2"/>
        <v>108641.79246069529</v>
      </c>
      <c r="M12" s="3">
        <v>984735.47377787286</v>
      </c>
    </row>
    <row r="13" spans="1:13">
      <c r="A13" t="s">
        <v>95</v>
      </c>
      <c r="B13" s="16"/>
      <c r="C13" s="36"/>
      <c r="D13" s="3"/>
      <c r="E13" s="12">
        <f t="shared" si="0"/>
        <v>0</v>
      </c>
      <c r="F13" s="3"/>
      <c r="G13" s="36"/>
      <c r="H13" s="3"/>
      <c r="I13" s="12">
        <f t="shared" si="1"/>
        <v>0</v>
      </c>
      <c r="J13" s="3">
        <v>46363.793711015562</v>
      </c>
      <c r="K13" s="23">
        <f t="shared" si="2"/>
        <v>46363.793711015562</v>
      </c>
      <c r="M13" s="3">
        <v>420244.10065467242</v>
      </c>
    </row>
    <row r="14" spans="1:13">
      <c r="A14" t="s">
        <v>13</v>
      </c>
      <c r="B14" s="16">
        <v>19572.923333333336</v>
      </c>
      <c r="C14" s="36">
        <v>4.4444444444444453E-3</v>
      </c>
      <c r="D14" s="3">
        <f>D131*0.00444444444444445</f>
        <v>8.4089333333323495</v>
      </c>
      <c r="E14" s="13">
        <f t="shared" si="0"/>
        <v>19581.332266666668</v>
      </c>
      <c r="F14" s="3">
        <v>8928.1785000000018</v>
      </c>
      <c r="G14" s="36">
        <v>2.2222222222222227E-3</v>
      </c>
      <c r="H14" s="3">
        <f>H131*0.00222222222222222</f>
        <v>3.5811999999980095</v>
      </c>
      <c r="I14" s="12">
        <f t="shared" si="1"/>
        <v>8931.7597000000005</v>
      </c>
      <c r="J14" s="3">
        <v>12926.70773109772</v>
      </c>
      <c r="K14" s="23">
        <f t="shared" si="2"/>
        <v>41439.799697764385</v>
      </c>
      <c r="M14" s="3">
        <v>117168.42454137413</v>
      </c>
    </row>
    <row r="15" spans="1:13">
      <c r="A15" t="s">
        <v>14</v>
      </c>
      <c r="B15" s="16">
        <v>205916.0039769756</v>
      </c>
      <c r="C15" s="36">
        <v>4.6757565250311064E-2</v>
      </c>
      <c r="D15" s="3">
        <f>D131*0.0467575652503111</f>
        <v>88.465781029230655</v>
      </c>
      <c r="E15" s="12">
        <f t="shared" si="0"/>
        <v>206004.46975800482</v>
      </c>
      <c r="F15" s="3">
        <v>173037.89102595553</v>
      </c>
      <c r="G15" s="36">
        <v>4.3069103818247544E-2</v>
      </c>
      <c r="H15" s="3">
        <f>H131*0.0430691038182475</f>
        <v>69.407583567220072</v>
      </c>
      <c r="I15" s="12">
        <f t="shared" si="1"/>
        <v>173107.29860952275</v>
      </c>
      <c r="J15" s="3">
        <v>333394.14129834645</v>
      </c>
      <c r="K15" s="23">
        <f t="shared" si="2"/>
        <v>712505.90966587397</v>
      </c>
      <c r="M15" s="3">
        <v>3021903.7283002241</v>
      </c>
    </row>
    <row r="16" spans="1:13">
      <c r="A16" t="s">
        <v>96</v>
      </c>
      <c r="B16" s="16"/>
      <c r="C16" s="36"/>
      <c r="D16" s="3"/>
      <c r="E16" s="13">
        <f t="shared" si="0"/>
        <v>0</v>
      </c>
      <c r="F16" s="3"/>
      <c r="G16" s="36"/>
      <c r="H16" s="3"/>
      <c r="I16" s="12">
        <f t="shared" si="1"/>
        <v>0</v>
      </c>
      <c r="J16" s="3">
        <v>78651.830194191061</v>
      </c>
      <c r="K16" s="23">
        <f t="shared" si="2"/>
        <v>78651.830194191061</v>
      </c>
      <c r="M16" s="3">
        <v>712904.72584750527</v>
      </c>
    </row>
    <row r="17" spans="1:13">
      <c r="A17" t="s">
        <v>15</v>
      </c>
      <c r="B17" s="16">
        <v>42509.521300859175</v>
      </c>
      <c r="C17" s="36">
        <v>9.6526820528561649E-3</v>
      </c>
      <c r="D17" s="3">
        <f>D131*0.00965268205285616</f>
        <v>18.262970970822224</v>
      </c>
      <c r="E17" s="12">
        <f t="shared" si="0"/>
        <v>42527.784271829994</v>
      </c>
      <c r="F17" s="3">
        <v>35712.714000000007</v>
      </c>
      <c r="G17" s="36">
        <v>8.8888888888888906E-3</v>
      </c>
      <c r="H17" s="3">
        <f>H131*0.00888888888888889</f>
        <v>14.324799999992056</v>
      </c>
      <c r="I17" s="12">
        <f t="shared" si="1"/>
        <v>35727.038800000002</v>
      </c>
      <c r="J17" s="3">
        <v>91176.377208579215</v>
      </c>
      <c r="K17" s="23">
        <f t="shared" si="2"/>
        <v>169431.20028040922</v>
      </c>
      <c r="M17" s="3">
        <v>826427.94245430746</v>
      </c>
    </row>
    <row r="18" spans="1:13">
      <c r="A18" t="s">
        <v>97</v>
      </c>
      <c r="B18" s="16"/>
      <c r="C18" s="36"/>
      <c r="D18" s="3"/>
      <c r="E18" s="13">
        <f t="shared" si="0"/>
        <v>0</v>
      </c>
      <c r="F18" s="3"/>
      <c r="G18" s="36"/>
      <c r="H18" s="3"/>
      <c r="I18" s="12">
        <f t="shared" si="1"/>
        <v>0</v>
      </c>
      <c r="J18" s="3">
        <v>8258.9377892467946</v>
      </c>
      <c r="K18" s="23">
        <f t="shared" si="2"/>
        <v>8258.9377892467946</v>
      </c>
      <c r="M18" s="3">
        <v>74859.488531894865</v>
      </c>
    </row>
    <row r="19" spans="1:13">
      <c r="A19" t="s">
        <v>16</v>
      </c>
      <c r="B19" s="16">
        <v>20621.920662830635</v>
      </c>
      <c r="C19" s="36">
        <v>4.6826413797679198E-3</v>
      </c>
      <c r="D19" s="3">
        <f>D131*0.00468264137976792</f>
        <v>8.8596043169336554</v>
      </c>
      <c r="E19" s="12">
        <f t="shared" si="0"/>
        <v>20630.780267147569</v>
      </c>
      <c r="F19" s="3">
        <v>17856.357000000004</v>
      </c>
      <c r="G19" s="36">
        <v>4.4444444444444453E-3</v>
      </c>
      <c r="H19" s="3">
        <f>H131*0.00444444444444445</f>
        <v>7.162399999996035</v>
      </c>
      <c r="I19" s="12">
        <f t="shared" si="1"/>
        <v>17863.519400000001</v>
      </c>
      <c r="J19" s="3">
        <v>36999.108035855454</v>
      </c>
      <c r="K19" s="23">
        <f t="shared" si="2"/>
        <v>75493.407703003031</v>
      </c>
      <c r="M19" s="3">
        <v>335362.04950068484</v>
      </c>
    </row>
    <row r="20" spans="1:13">
      <c r="A20" t="s">
        <v>98</v>
      </c>
      <c r="B20" s="16"/>
      <c r="C20" s="36"/>
      <c r="D20" s="3"/>
      <c r="E20" s="13">
        <f t="shared" si="0"/>
        <v>0</v>
      </c>
      <c r="F20" s="3"/>
      <c r="G20" s="36"/>
      <c r="H20" s="3"/>
      <c r="I20" s="12">
        <f t="shared" si="1"/>
        <v>0</v>
      </c>
      <c r="J20" s="3">
        <v>14363.011343087839</v>
      </c>
      <c r="K20" s="23">
        <f t="shared" si="2"/>
        <v>14363.011343087839</v>
      </c>
      <c r="M20" s="3">
        <v>130187.16333246742</v>
      </c>
    </row>
    <row r="21" spans="1:13">
      <c r="A21" t="s">
        <v>17</v>
      </c>
      <c r="B21" s="16">
        <v>170205.29254792054</v>
      </c>
      <c r="C21" s="36">
        <v>3.8648696160340903E-2</v>
      </c>
      <c r="D21" s="3">
        <f>D131*0.0386486961603409</f>
        <v>73.123719622317935</v>
      </c>
      <c r="E21" s="12">
        <f t="shared" si="0"/>
        <v>170278.41626754287</v>
      </c>
      <c r="F21" s="3">
        <v>143029.02297599518</v>
      </c>
      <c r="G21" s="36">
        <v>3.5599901287814678E-2</v>
      </c>
      <c r="H21" s="3">
        <f>H131*0.0355999012878147</f>
        <v>57.370664921333073</v>
      </c>
      <c r="I21" s="12">
        <f t="shared" si="1"/>
        <v>143086.3936409165</v>
      </c>
      <c r="J21" s="3">
        <v>128118.02781423487</v>
      </c>
      <c r="K21" s="23">
        <f t="shared" si="2"/>
        <v>441482.83772269427</v>
      </c>
      <c r="M21" s="3">
        <v>1161269.1944932756</v>
      </c>
    </row>
    <row r="22" spans="1:13">
      <c r="A22" t="s">
        <v>18</v>
      </c>
      <c r="B22" s="16">
        <v>11860.892792235798</v>
      </c>
      <c r="C22" s="36">
        <v>2.6932654963619067E-3</v>
      </c>
      <c r="D22" s="3">
        <f>D131*0.00269326549636191</f>
        <v>5.095685251771096</v>
      </c>
      <c r="E22" s="13">
        <f t="shared" si="0"/>
        <v>11865.988477487568</v>
      </c>
      <c r="F22" s="3">
        <v>9967.0925756840443</v>
      </c>
      <c r="G22" s="36">
        <v>2.4808077720031257E-3</v>
      </c>
      <c r="H22" s="3">
        <f>H131*0.00248080777200313</f>
        <v>3.997920956891706</v>
      </c>
      <c r="I22" s="12">
        <f t="shared" si="1"/>
        <v>9971.0904966409362</v>
      </c>
      <c r="J22" s="3">
        <v>8445.4493813413555</v>
      </c>
      <c r="K22" s="23">
        <f t="shared" si="2"/>
        <v>30282.528355469862</v>
      </c>
      <c r="M22" s="3">
        <v>76550.040361410633</v>
      </c>
    </row>
    <row r="23" spans="1:13">
      <c r="A23" t="s">
        <v>19</v>
      </c>
      <c r="B23" s="16">
        <v>25658.205878684788</v>
      </c>
      <c r="C23" s="36">
        <v>5.8262360011253162E-3</v>
      </c>
      <c r="D23" s="3">
        <f>D131*0.00582623600112532</f>
        <v>11.023296776487815</v>
      </c>
      <c r="E23" s="12">
        <f t="shared" si="0"/>
        <v>25669.229175461278</v>
      </c>
      <c r="F23" s="3">
        <v>21561.421875950105</v>
      </c>
      <c r="G23" s="36">
        <v>5.3666345084212507E-3</v>
      </c>
      <c r="H23" s="3">
        <f>H131*0.00536663450842125</f>
        <v>8.6485461756963833</v>
      </c>
      <c r="I23" s="12">
        <f t="shared" si="1"/>
        <v>21570.070422125802</v>
      </c>
      <c r="J23" s="3">
        <v>17178.16113686829</v>
      </c>
      <c r="K23" s="23">
        <f t="shared" si="2"/>
        <v>64417.460734455366</v>
      </c>
      <c r="M23" s="3">
        <v>155703.84345293764</v>
      </c>
    </row>
    <row r="24" spans="1:13">
      <c r="A24" t="s">
        <v>20</v>
      </c>
      <c r="B24" s="16">
        <v>11927.457239849376</v>
      </c>
      <c r="C24" s="36">
        <v>2.7083803560257083E-3</v>
      </c>
      <c r="D24" s="3">
        <f>D131*0.00270838035602571</f>
        <v>5.1242827174035979</v>
      </c>
      <c r="E24" s="13">
        <f t="shared" si="0"/>
        <v>11932.581522566779</v>
      </c>
      <c r="F24" s="3">
        <v>10023.028838091548</v>
      </c>
      <c r="G24" s="36">
        <v>2.494730298904891E-3</v>
      </c>
      <c r="H24" s="3">
        <f>H131*0.00249473029890489</f>
        <v>4.0203576658949558</v>
      </c>
      <c r="I24" s="12">
        <f t="shared" si="1"/>
        <v>10027.049195757443</v>
      </c>
      <c r="J24" s="3">
        <v>8258.9377892467946</v>
      </c>
      <c r="K24" s="23">
        <f t="shared" si="2"/>
        <v>30218.568507571021</v>
      </c>
      <c r="M24" s="3">
        <v>74859.488531894851</v>
      </c>
    </row>
    <row r="25" spans="1:13">
      <c r="A25" t="s">
        <v>21</v>
      </c>
      <c r="B25" s="16">
        <v>20614.91387887131</v>
      </c>
      <c r="C25" s="36">
        <v>4.6810503419085717E-3</v>
      </c>
      <c r="D25" s="3">
        <f>D131*0.00468105034190857</f>
        <v>8.8565940573933872</v>
      </c>
      <c r="E25" s="12">
        <f t="shared" si="0"/>
        <v>20623.770472928703</v>
      </c>
      <c r="F25" s="3">
        <v>17856.357000000004</v>
      </c>
      <c r="G25" s="36">
        <v>4.4444444444444453E-3</v>
      </c>
      <c r="H25" s="3">
        <f>H131*0.00444444444444445</f>
        <v>7.162399999996035</v>
      </c>
      <c r="I25" s="12">
        <f t="shared" si="1"/>
        <v>17863.519400000001</v>
      </c>
      <c r="J25" s="3">
        <v>18844.269692844206</v>
      </c>
      <c r="K25" s="23">
        <f t="shared" si="2"/>
        <v>57331.559565772914</v>
      </c>
      <c r="M25" s="3">
        <v>170805.5475124309</v>
      </c>
    </row>
    <row r="26" spans="1:13">
      <c r="A26" t="s">
        <v>99</v>
      </c>
      <c r="B26" s="16"/>
      <c r="C26" s="36"/>
      <c r="D26" s="3"/>
      <c r="E26" s="13">
        <f t="shared" si="0"/>
        <v>0</v>
      </c>
      <c r="F26" s="3"/>
      <c r="G26" s="36"/>
      <c r="H26" s="3"/>
      <c r="I26" s="12">
        <f t="shared" si="1"/>
        <v>0</v>
      </c>
      <c r="J26" s="3">
        <v>38550.309990369577</v>
      </c>
      <c r="K26" s="23">
        <f t="shared" si="2"/>
        <v>38550.309990369577</v>
      </c>
      <c r="M26" s="3">
        <v>349422.23349623388</v>
      </c>
    </row>
    <row r="27" spans="1:13">
      <c r="A27" t="s">
        <v>22</v>
      </c>
      <c r="B27" s="16">
        <v>82638.328506448001</v>
      </c>
      <c r="C27" s="36">
        <v>1.8764772833047651E-2</v>
      </c>
      <c r="D27" s="3">
        <f>D131*0.0187647728330477</f>
        <v>35.503137847850383</v>
      </c>
      <c r="E27" s="12">
        <f t="shared" si="0"/>
        <v>82673.831644295846</v>
      </c>
      <c r="F27" s="3">
        <v>69443.665409633541</v>
      </c>
      <c r="G27" s="36">
        <v>1.7284517381216374E-2</v>
      </c>
      <c r="H27" s="3">
        <f>H131*0.0172845173812164</f>
        <v>27.854691140510027</v>
      </c>
      <c r="I27" s="12">
        <f t="shared" si="1"/>
        <v>69471.520100774054</v>
      </c>
      <c r="J27" s="3">
        <v>60209.729476994238</v>
      </c>
      <c r="K27" s="23">
        <f t="shared" si="2"/>
        <v>212355.08122206415</v>
      </c>
      <c r="M27" s="3">
        <v>545744.46112913499</v>
      </c>
    </row>
    <row r="28" spans="1:13">
      <c r="A28" t="s">
        <v>92</v>
      </c>
      <c r="B28" s="16"/>
      <c r="C28" s="36"/>
      <c r="D28" s="3"/>
      <c r="E28" s="13">
        <f t="shared" si="0"/>
        <v>0</v>
      </c>
      <c r="F28" s="3">
        <v>76651.681769245872</v>
      </c>
      <c r="G28" s="36">
        <v>1.9078591517667817E-2</v>
      </c>
      <c r="H28" s="3">
        <f>H131*0.0190785915176678</f>
        <v>30.745913374365308</v>
      </c>
      <c r="I28" s="12">
        <f t="shared" si="1"/>
        <v>76682.42768262024</v>
      </c>
      <c r="J28" s="3">
        <v>92555.223390369545</v>
      </c>
      <c r="K28" s="23">
        <f t="shared" si="2"/>
        <v>169237.6510729898</v>
      </c>
      <c r="M28" s="3">
        <v>838925.88378368434</v>
      </c>
    </row>
    <row r="29" spans="1:13">
      <c r="A29" t="s">
        <v>23</v>
      </c>
      <c r="B29" s="16">
        <v>183714.6905116773</v>
      </c>
      <c r="C29" s="36">
        <v>4.1716289473065667E-2</v>
      </c>
      <c r="D29" s="3">
        <f>D131*0.0417162894730657</f>
        <v>78.927636845925718</v>
      </c>
      <c r="E29" s="12">
        <f t="shared" si="0"/>
        <v>183793.61814852324</v>
      </c>
      <c r="F29" s="3">
        <v>154381.40786852731</v>
      </c>
      <c r="G29" s="36">
        <v>3.8425508099260569E-2</v>
      </c>
      <c r="H29" s="3">
        <f>H131*0.0384255080992606</f>
        <v>61.924243322248067</v>
      </c>
      <c r="I29" s="12">
        <f t="shared" si="1"/>
        <v>154443.33211184957</v>
      </c>
      <c r="J29" s="3">
        <v>371599.74800220627</v>
      </c>
      <c r="K29" s="23">
        <f t="shared" si="2"/>
        <v>709836.69826257904</v>
      </c>
      <c r="M29" s="3">
        <v>3368201.5513236024</v>
      </c>
    </row>
    <row r="30" spans="1:13">
      <c r="A30" t="s">
        <v>100</v>
      </c>
      <c r="B30" s="16"/>
      <c r="C30" s="36"/>
      <c r="D30" s="3"/>
      <c r="E30" s="13">
        <f t="shared" si="0"/>
        <v>0</v>
      </c>
      <c r="F30" s="3"/>
      <c r="G30" s="36"/>
      <c r="H30" s="3"/>
      <c r="I30" s="12">
        <f t="shared" si="1"/>
        <v>0</v>
      </c>
      <c r="J30" s="3">
        <v>9651.9397904078942</v>
      </c>
      <c r="K30" s="23">
        <f t="shared" si="2"/>
        <v>9651.9397904078942</v>
      </c>
      <c r="M30" s="3">
        <v>87485.739024615439</v>
      </c>
    </row>
    <row r="31" spans="1:13">
      <c r="A31" t="s">
        <v>24</v>
      </c>
      <c r="B31" s="16">
        <v>86271.345989357535</v>
      </c>
      <c r="C31" s="36">
        <v>1.9589725963119354E-2</v>
      </c>
      <c r="D31" s="3">
        <f>D131*0.0195897259631194</f>
        <v>37.063957419477155</v>
      </c>
      <c r="E31" s="12">
        <f t="shared" si="0"/>
        <v>86308.409946777014</v>
      </c>
      <c r="F31" s="3">
        <v>72496.607731559052</v>
      </c>
      <c r="G31" s="36">
        <v>1.8044394244223265E-2</v>
      </c>
      <c r="H31" s="3">
        <f>H131*0.0180443942442233</f>
        <v>29.079263100319483</v>
      </c>
      <c r="I31" s="12">
        <f t="shared" si="1"/>
        <v>72525.686994659365</v>
      </c>
      <c r="J31" s="3">
        <v>117834.11410419381</v>
      </c>
      <c r="K31" s="23">
        <f t="shared" si="2"/>
        <v>276668.21104563016</v>
      </c>
      <c r="M31" s="3">
        <v>1068055.2074061998</v>
      </c>
    </row>
    <row r="32" spans="1:13">
      <c r="A32" t="s">
        <v>25</v>
      </c>
      <c r="B32" s="16">
        <v>41022.809140762583</v>
      </c>
      <c r="C32" s="36">
        <v>9.3150927470636927E-3</v>
      </c>
      <c r="D32" s="3">
        <f>D131*0.00931509274706369</f>
        <v>17.624248628369887</v>
      </c>
      <c r="E32" s="13">
        <f t="shared" si="0"/>
        <v>41040.43338939095</v>
      </c>
      <c r="F32" s="3">
        <v>35712.714000000007</v>
      </c>
      <c r="G32" s="36">
        <v>8.8888888888888906E-3</v>
      </c>
      <c r="H32" s="3">
        <f>H131*0.00888888888888889</f>
        <v>14.324799999992056</v>
      </c>
      <c r="I32" s="12">
        <f t="shared" si="1"/>
        <v>35727.038800000002</v>
      </c>
      <c r="J32" s="3">
        <v>77445.339785124524</v>
      </c>
      <c r="K32" s="23">
        <f t="shared" si="2"/>
        <v>154212.81197451547</v>
      </c>
      <c r="M32" s="3">
        <v>701969.02718430047</v>
      </c>
    </row>
    <row r="33" spans="1:13">
      <c r="A33" t="s">
        <v>101</v>
      </c>
      <c r="B33" s="16"/>
      <c r="C33" s="36"/>
      <c r="D33" s="3"/>
      <c r="E33" s="12">
        <f t="shared" si="0"/>
        <v>0</v>
      </c>
      <c r="F33" s="3"/>
      <c r="G33" s="36"/>
      <c r="H33" s="3"/>
      <c r="I33" s="12">
        <f t="shared" si="1"/>
        <v>0</v>
      </c>
      <c r="J33" s="3">
        <v>8258.9377892467946</v>
      </c>
      <c r="K33" s="23">
        <f t="shared" si="2"/>
        <v>8258.9377892467946</v>
      </c>
      <c r="M33" s="3">
        <v>74859.488531894851</v>
      </c>
    </row>
    <row r="34" spans="1:13">
      <c r="A34" t="s">
        <v>26</v>
      </c>
      <c r="B34" s="16">
        <v>49662.810742969101</v>
      </c>
      <c r="C34" s="36">
        <v>1.1276987067444613E-2</v>
      </c>
      <c r="D34" s="3">
        <f>D131*0.0112769870674446</f>
        <v>21.33617230147334</v>
      </c>
      <c r="E34" s="13">
        <f t="shared" si="0"/>
        <v>49684.146915270576</v>
      </c>
      <c r="F34" s="3">
        <v>41733.2692331453</v>
      </c>
      <c r="G34" s="36">
        <v>1.0387404138019692E-2</v>
      </c>
      <c r="H34" s="3">
        <f>H131*0.0103874041380197</f>
        <v>16.739717264574978</v>
      </c>
      <c r="I34" s="12">
        <f t="shared" si="1"/>
        <v>41750.008950409872</v>
      </c>
      <c r="J34" s="3">
        <v>29530.344119594847</v>
      </c>
      <c r="K34" s="23">
        <f t="shared" si="2"/>
        <v>120964.4999852753</v>
      </c>
      <c r="M34" s="3">
        <v>267664.74253407901</v>
      </c>
    </row>
    <row r="35" spans="1:13">
      <c r="A35" t="s">
        <v>102</v>
      </c>
      <c r="B35" s="16"/>
      <c r="C35" s="36"/>
      <c r="D35" s="3"/>
      <c r="E35" s="12">
        <f t="shared" si="0"/>
        <v>0</v>
      </c>
      <c r="F35" s="3"/>
      <c r="G35" s="36"/>
      <c r="H35" s="3"/>
      <c r="I35" s="12">
        <f t="shared" si="1"/>
        <v>0</v>
      </c>
      <c r="J35" s="3">
        <v>8258.9377892467946</v>
      </c>
      <c r="K35" s="23">
        <f t="shared" si="2"/>
        <v>8258.9377892467946</v>
      </c>
      <c r="M35" s="3">
        <v>74859.488531894851</v>
      </c>
    </row>
    <row r="36" spans="1:13">
      <c r="A36" t="s">
        <v>27</v>
      </c>
      <c r="B36" s="16">
        <v>11450.99593061534</v>
      </c>
      <c r="C36" s="36">
        <v>2.6001897815900754E-3</v>
      </c>
      <c r="D36" s="3">
        <f>D131*0.00260018978159008</f>
        <v>4.9195850686656666</v>
      </c>
      <c r="E36" s="13">
        <f t="shared" si="0"/>
        <v>11455.915515684006</v>
      </c>
      <c r="F36" s="3">
        <v>9622.6429598062387</v>
      </c>
      <c r="G36" s="36">
        <v>2.3950743168712008E-3</v>
      </c>
      <c r="H36" s="3">
        <f>H131*0.0023950743168712</f>
        <v>3.8597580646084722</v>
      </c>
      <c r="I36" s="12">
        <f t="shared" si="1"/>
        <v>9626.5027178708478</v>
      </c>
      <c r="J36" s="3">
        <v>11777.66649329318</v>
      </c>
      <c r="K36" s="23">
        <f t="shared" si="2"/>
        <v>32860.084726848036</v>
      </c>
      <c r="M36" s="3">
        <v>106753.44848039719</v>
      </c>
    </row>
    <row r="37" spans="1:13">
      <c r="A37" t="s">
        <v>28</v>
      </c>
      <c r="B37" s="16">
        <v>14042.869015205304</v>
      </c>
      <c r="C37" s="36">
        <v>3.1887291497432716E-3</v>
      </c>
      <c r="D37" s="3">
        <f>D131*0.00318872914974327</f>
        <v>6.0331074386050512</v>
      </c>
      <c r="E37" s="12">
        <f t="shared" si="0"/>
        <v>14048.902122643909</v>
      </c>
      <c r="F37" s="3">
        <v>11800.677904649736</v>
      </c>
      <c r="G37" s="36">
        <v>2.9371868715437773E-3</v>
      </c>
      <c r="H37" s="3">
        <f>H131*0.00293718687154378</f>
        <v>4.7333941309650367</v>
      </c>
      <c r="I37" s="12">
        <f t="shared" si="1"/>
        <v>11805.4112987807</v>
      </c>
      <c r="J37" s="3">
        <v>10283.913710041059</v>
      </c>
      <c r="K37" s="23">
        <f t="shared" si="2"/>
        <v>36138.227131465668</v>
      </c>
      <c r="M37" s="3">
        <v>93213.987087076021</v>
      </c>
    </row>
    <row r="38" spans="1:13">
      <c r="A38" t="s">
        <v>29</v>
      </c>
      <c r="B38" s="16">
        <v>26513.033521722322</v>
      </c>
      <c r="C38" s="36">
        <v>6.0203426199657165E-3</v>
      </c>
      <c r="D38" s="3">
        <f>D131*0.00602034261996572</f>
        <v>11.390548440399996</v>
      </c>
      <c r="E38" s="13">
        <f t="shared" si="0"/>
        <v>26524.42407016272</v>
      </c>
      <c r="F38" s="3">
        <v>22279.761245814927</v>
      </c>
      <c r="G38" s="36">
        <v>5.5454290644228717E-3</v>
      </c>
      <c r="H38" s="3">
        <f>H131*0.00554542906442287</f>
        <v>8.9366807544750735</v>
      </c>
      <c r="I38" s="12">
        <f t="shared" si="1"/>
        <v>22288.697926569403</v>
      </c>
      <c r="J38" s="3">
        <v>39239.741340202534</v>
      </c>
      <c r="K38" s="23">
        <f t="shared" si="2"/>
        <v>88052.86333693465</v>
      </c>
      <c r="M38" s="3">
        <v>355671.27902041085</v>
      </c>
    </row>
    <row r="39" spans="1:13">
      <c r="A39" t="s">
        <v>103</v>
      </c>
      <c r="B39" s="16"/>
      <c r="C39" s="36"/>
      <c r="D39" s="3"/>
      <c r="E39" s="12">
        <f t="shared" si="0"/>
        <v>0</v>
      </c>
      <c r="F39" s="3"/>
      <c r="G39" s="36"/>
      <c r="H39" s="3"/>
      <c r="I39" s="12">
        <f t="shared" si="1"/>
        <v>0</v>
      </c>
      <c r="J39" s="3">
        <v>10858.430199474435</v>
      </c>
      <c r="K39" s="23">
        <f t="shared" si="2"/>
        <v>10858.430199474435</v>
      </c>
      <c r="M39" s="3">
        <v>98421.437687820231</v>
      </c>
    </row>
    <row r="40" spans="1:13">
      <c r="A40" t="s">
        <v>104</v>
      </c>
      <c r="B40" s="16"/>
      <c r="C40" s="36"/>
      <c r="D40" s="3"/>
      <c r="E40" s="13">
        <f t="shared" si="0"/>
        <v>0</v>
      </c>
      <c r="F40" s="3"/>
      <c r="G40" s="36"/>
      <c r="H40" s="3"/>
      <c r="I40" s="12">
        <f t="shared" si="1"/>
        <v>0</v>
      </c>
      <c r="J40" s="3">
        <v>8258.9377892467946</v>
      </c>
      <c r="K40" s="23">
        <f t="shared" si="2"/>
        <v>8258.9377892467946</v>
      </c>
      <c r="M40" s="3">
        <v>74859.488531894851</v>
      </c>
    </row>
    <row r="41" spans="1:13">
      <c r="A41" t="s">
        <v>30</v>
      </c>
      <c r="B41" s="16">
        <v>68760.755894646747</v>
      </c>
      <c r="C41" s="36">
        <v>1.561357771280444E-2</v>
      </c>
      <c r="D41" s="3">
        <f>D131*0.0156135777128044</f>
        <v>29.541045168399563</v>
      </c>
      <c r="E41" s="12">
        <f t="shared" si="0"/>
        <v>68790.296939815147</v>
      </c>
      <c r="F41" s="3">
        <v>57781.891429335468</v>
      </c>
      <c r="G41" s="36">
        <v>1.4381903674562628E-2</v>
      </c>
      <c r="H41" s="3">
        <f>H131*0.0143819036745626</f>
        <v>23.177013047691755</v>
      </c>
      <c r="I41" s="12">
        <f t="shared" si="1"/>
        <v>57805.068442383163</v>
      </c>
      <c r="J41" s="3">
        <v>80030.684634919176</v>
      </c>
      <c r="K41" s="23">
        <f t="shared" si="2"/>
        <v>206626.05001711746</v>
      </c>
      <c r="M41" s="3">
        <v>725402.74203637068</v>
      </c>
    </row>
    <row r="42" spans="1:13">
      <c r="A42" t="s">
        <v>105</v>
      </c>
      <c r="B42" s="16"/>
      <c r="C42" s="36"/>
      <c r="D42" s="3"/>
      <c r="E42" s="13">
        <f t="shared" si="0"/>
        <v>0</v>
      </c>
      <c r="F42" s="3"/>
      <c r="G42" s="36"/>
      <c r="H42" s="3"/>
      <c r="I42" s="12">
        <f t="shared" si="1"/>
        <v>0</v>
      </c>
      <c r="J42" s="3">
        <v>130186.30534585814</v>
      </c>
      <c r="K42" s="23">
        <f t="shared" si="2"/>
        <v>130186.30534585814</v>
      </c>
      <c r="M42" s="3">
        <v>1180016.1813468295</v>
      </c>
    </row>
    <row r="43" spans="1:13">
      <c r="A43" t="s">
        <v>31</v>
      </c>
      <c r="B43" s="16">
        <v>27412.449789955561</v>
      </c>
      <c r="C43" s="36">
        <v>6.224574025183784E-3</v>
      </c>
      <c r="D43" s="3">
        <f>D131*0.00622457402518378</f>
        <v>11.776956301386571</v>
      </c>
      <c r="E43" s="12">
        <f t="shared" si="0"/>
        <v>27424.226746256947</v>
      </c>
      <c r="F43" s="3">
        <v>23035.569882364209</v>
      </c>
      <c r="G43" s="36">
        <v>5.733549714999839E-3</v>
      </c>
      <c r="H43" s="3">
        <f>H131*0.00573354971499984</f>
        <v>9.239844707705716</v>
      </c>
      <c r="I43" s="12">
        <f t="shared" si="1"/>
        <v>23044.809727071915</v>
      </c>
      <c r="J43" s="3">
        <v>56820.063193780406</v>
      </c>
      <c r="K43" s="23">
        <f t="shared" si="2"/>
        <v>107289.09966710926</v>
      </c>
      <c r="M43" s="3">
        <v>515020.33040792053</v>
      </c>
    </row>
    <row r="44" spans="1:13">
      <c r="A44" t="s">
        <v>106</v>
      </c>
      <c r="B44" s="16"/>
      <c r="C44" s="36"/>
      <c r="D44" s="3"/>
      <c r="E44" s="13">
        <f t="shared" si="0"/>
        <v>0</v>
      </c>
      <c r="F44" s="3"/>
      <c r="G44" s="36"/>
      <c r="H44" s="3"/>
      <c r="I44" s="12">
        <f t="shared" si="1"/>
        <v>0</v>
      </c>
      <c r="J44" s="3">
        <v>34643.57638898438</v>
      </c>
      <c r="K44" s="23">
        <f t="shared" si="2"/>
        <v>34643.57638898438</v>
      </c>
      <c r="M44" s="3">
        <v>314011.37477650313</v>
      </c>
    </row>
    <row r="45" spans="1:13">
      <c r="A45" t="s">
        <v>32</v>
      </c>
      <c r="B45" s="16">
        <v>119292.72633875201</v>
      </c>
      <c r="C45" s="36">
        <v>2.7087925794710848E-2</v>
      </c>
      <c r="D45" s="3">
        <f>D131*0.0270879257947108</f>
        <v>51.250626482844723</v>
      </c>
      <c r="E45" s="12">
        <f t="shared" si="0"/>
        <v>119343.97696523485</v>
      </c>
      <c r="F45" s="3">
        <v>100245.54372520845</v>
      </c>
      <c r="G45" s="36">
        <v>2.4951100041840302E-2</v>
      </c>
      <c r="H45" s="3">
        <f>H131*0.0249511000418403</f>
        <v>40.209695761405008</v>
      </c>
      <c r="I45" s="12">
        <f t="shared" si="1"/>
        <v>100285.75342096986</v>
      </c>
      <c r="J45" s="3">
        <v>121051.43287362164</v>
      </c>
      <c r="K45" s="23">
        <f t="shared" si="2"/>
        <v>340681.16325982637</v>
      </c>
      <c r="M45" s="3">
        <v>1097217.1703207307</v>
      </c>
    </row>
    <row r="46" spans="1:13">
      <c r="A46" t="s">
        <v>33</v>
      </c>
      <c r="B46" s="16">
        <v>103698.49165691638</v>
      </c>
      <c r="C46" s="36">
        <v>2.3546926398927491E-2</v>
      </c>
      <c r="D46" s="3">
        <f>D131*0.0235469263989275</f>
        <v>44.551020216029556</v>
      </c>
      <c r="E46" s="13">
        <f t="shared" si="0"/>
        <v>103743.04267713241</v>
      </c>
      <c r="F46" s="3">
        <v>87141.202977558874</v>
      </c>
      <c r="G46" s="36">
        <v>2.1689431694035758E-2</v>
      </c>
      <c r="H46" s="3">
        <f>H131*0.0216894316940358</f>
        <v>34.953386752187058</v>
      </c>
      <c r="I46" s="12">
        <f t="shared" si="1"/>
        <v>87176.156364311057</v>
      </c>
      <c r="J46" s="3">
        <v>188557.57049415269</v>
      </c>
      <c r="K46" s="23">
        <f t="shared" si="2"/>
        <v>379476.76953559613</v>
      </c>
      <c r="M46" s="3">
        <v>1709096.6957502994</v>
      </c>
    </row>
    <row r="47" spans="1:13">
      <c r="A47" t="s">
        <v>34</v>
      </c>
      <c r="B47" s="16">
        <v>39145.846666666672</v>
      </c>
      <c r="C47" s="36">
        <v>8.8888888888888906E-3</v>
      </c>
      <c r="D47" s="3">
        <f>D131*0.00888888888888889</f>
        <v>16.817866666664685</v>
      </c>
      <c r="E47" s="12">
        <f t="shared" si="0"/>
        <v>39162.664533333336</v>
      </c>
      <c r="F47" s="3">
        <v>35712.714000000007</v>
      </c>
      <c r="G47" s="36">
        <v>8.8888888888888906E-3</v>
      </c>
      <c r="H47" s="3">
        <f>H131*0.00888888888888889</f>
        <v>14.324799999992056</v>
      </c>
      <c r="I47" s="12">
        <f t="shared" si="1"/>
        <v>35727.038800000002</v>
      </c>
      <c r="J47" s="3">
        <v>36884.201434393661</v>
      </c>
      <c r="K47" s="23">
        <f t="shared" si="2"/>
        <v>111773.904767727</v>
      </c>
      <c r="M47" s="3">
        <v>334320.52943674056</v>
      </c>
    </row>
    <row r="48" spans="1:13">
      <c r="A48" t="s">
        <v>107</v>
      </c>
      <c r="B48" s="16"/>
      <c r="C48" s="36"/>
      <c r="D48" s="3"/>
      <c r="E48" s="13">
        <f t="shared" si="0"/>
        <v>0</v>
      </c>
      <c r="F48" s="3"/>
      <c r="G48" s="36"/>
      <c r="H48" s="3"/>
      <c r="I48" s="12">
        <f t="shared" si="1"/>
        <v>0</v>
      </c>
      <c r="J48" s="3">
        <v>10341.362881303059</v>
      </c>
      <c r="K48" s="23">
        <f t="shared" si="2"/>
        <v>10341.362881303059</v>
      </c>
      <c r="M48" s="3">
        <v>93734.709689303883</v>
      </c>
    </row>
    <row r="49" spans="1:13">
      <c r="A49" t="s">
        <v>35</v>
      </c>
      <c r="B49" s="16">
        <v>39145.846666666672</v>
      </c>
      <c r="C49" s="36">
        <v>8.8888888888888906E-3</v>
      </c>
      <c r="D49" s="3">
        <f>D131*0.00888888888888889</f>
        <v>16.817866666664685</v>
      </c>
      <c r="E49" s="12">
        <f t="shared" si="0"/>
        <v>39162.664533333336</v>
      </c>
      <c r="F49" s="3">
        <v>35712.714000000007</v>
      </c>
      <c r="G49" s="36">
        <v>8.8888888888888906E-3</v>
      </c>
      <c r="H49" s="3">
        <f>H131*0.00888888888888889</f>
        <v>14.324799999992056</v>
      </c>
      <c r="I49" s="12">
        <f t="shared" si="1"/>
        <v>35727.038800000002</v>
      </c>
      <c r="J49" s="3">
        <v>53487.846081828582</v>
      </c>
      <c r="K49" s="23">
        <f t="shared" si="2"/>
        <v>128377.54941516192</v>
      </c>
      <c r="M49" s="3">
        <v>484816.922288934</v>
      </c>
    </row>
    <row r="50" spans="1:13">
      <c r="A50" t="s">
        <v>108</v>
      </c>
      <c r="B50" s="16"/>
      <c r="C50" s="36"/>
      <c r="D50" s="3"/>
      <c r="E50" s="13">
        <f t="shared" si="0"/>
        <v>0</v>
      </c>
      <c r="F50" s="3"/>
      <c r="G50" s="36"/>
      <c r="H50" s="3"/>
      <c r="I50" s="12">
        <f t="shared" si="1"/>
        <v>0</v>
      </c>
      <c r="J50" s="3">
        <v>9939.2021645934765</v>
      </c>
      <c r="K50" s="23">
        <f t="shared" si="2"/>
        <v>9939.2021645934765</v>
      </c>
      <c r="M50" s="3">
        <v>90089.501754731798</v>
      </c>
    </row>
    <row r="51" spans="1:13">
      <c r="A51" t="s">
        <v>36</v>
      </c>
      <c r="B51" s="16">
        <v>53610.496523688278</v>
      </c>
      <c r="C51" s="36">
        <v>1.217339226138156E-2</v>
      </c>
      <c r="D51" s="3">
        <f>D131*0.0121733922613816</f>
        <v>23.032179892453879</v>
      </c>
      <c r="E51" s="12">
        <f t="shared" si="0"/>
        <v>53633.528703580734</v>
      </c>
      <c r="F51" s="3">
        <v>45050.637522815392</v>
      </c>
      <c r="G51" s="36">
        <v>1.1213096582744022E-2</v>
      </c>
      <c r="H51" s="3">
        <f>H131*0.011213096582744</f>
        <v>18.070353666945241</v>
      </c>
      <c r="I51" s="12">
        <f t="shared" si="1"/>
        <v>45068.707876482338</v>
      </c>
      <c r="J51" s="3">
        <v>47512.826689882306</v>
      </c>
      <c r="K51" s="23">
        <f t="shared" si="2"/>
        <v>146215.06326994539</v>
      </c>
      <c r="M51" s="3">
        <v>430659.00185616082</v>
      </c>
    </row>
    <row r="52" spans="1:13">
      <c r="A52" t="s">
        <v>109</v>
      </c>
      <c r="B52" s="16"/>
      <c r="C52" s="36"/>
      <c r="D52" s="3"/>
      <c r="E52" s="13">
        <f t="shared" si="0"/>
        <v>0</v>
      </c>
      <c r="F52" s="3"/>
      <c r="G52" s="36"/>
      <c r="H52" s="3"/>
      <c r="I52" s="12">
        <f t="shared" si="1"/>
        <v>0</v>
      </c>
      <c r="J52" s="3">
        <v>289960.40398257319</v>
      </c>
      <c r="K52" s="23">
        <f t="shared" si="2"/>
        <v>289960.40398257319</v>
      </c>
      <c r="M52" s="3">
        <v>2628217.8278299663</v>
      </c>
    </row>
    <row r="53" spans="1:13">
      <c r="A53" t="s">
        <v>110</v>
      </c>
      <c r="B53" s="16"/>
      <c r="C53" s="36"/>
      <c r="D53" s="3"/>
      <c r="E53" s="12">
        <f t="shared" si="0"/>
        <v>0</v>
      </c>
      <c r="F53" s="3"/>
      <c r="G53" s="36"/>
      <c r="H53" s="3"/>
      <c r="I53" s="12">
        <f t="shared" si="1"/>
        <v>0</v>
      </c>
      <c r="J53" s="3">
        <v>8258.9377892467946</v>
      </c>
      <c r="K53" s="23">
        <f t="shared" si="2"/>
        <v>8258.9377892467946</v>
      </c>
      <c r="M53" s="3">
        <v>74859.488531894851</v>
      </c>
    </row>
    <row r="54" spans="1:13">
      <c r="A54" t="s">
        <v>93</v>
      </c>
      <c r="B54" s="16"/>
      <c r="C54" s="36"/>
      <c r="D54" s="3"/>
      <c r="E54" s="13">
        <f t="shared" si="0"/>
        <v>0</v>
      </c>
      <c r="F54" s="3">
        <v>83757.460558333478</v>
      </c>
      <c r="G54" s="36">
        <v>2.0847218738920818E-2</v>
      </c>
      <c r="H54" s="3">
        <f>H131*0.0208472187389208</f>
        <v>33.596126886501786</v>
      </c>
      <c r="I54" s="12">
        <f t="shared" si="1"/>
        <v>83791.056685219985</v>
      </c>
      <c r="J54" s="3">
        <v>96864.125967402098</v>
      </c>
      <c r="K54" s="23">
        <f t="shared" si="2"/>
        <v>180655.18265262208</v>
      </c>
      <c r="M54" s="3">
        <v>877982.02529747563</v>
      </c>
    </row>
    <row r="55" spans="1:13">
      <c r="A55" t="s">
        <v>37</v>
      </c>
      <c r="B55" s="16">
        <v>29188.66952364421</v>
      </c>
      <c r="C55" s="36">
        <v>6.6279021225283865E-3</v>
      </c>
      <c r="D55" s="3">
        <f>D131*0.00662790212252839</f>
        <v>12.540057094843458</v>
      </c>
      <c r="E55" s="12">
        <f t="shared" si="0"/>
        <v>29201.209580739054</v>
      </c>
      <c r="F55" s="3">
        <v>24528.18488450137</v>
      </c>
      <c r="G55" s="36">
        <v>6.1050613539048483E-3</v>
      </c>
      <c r="H55" s="3">
        <f>H131*0.00610506135390485</f>
        <v>9.8385505742663639</v>
      </c>
      <c r="I55" s="12">
        <f t="shared" si="1"/>
        <v>24538.023435075636</v>
      </c>
      <c r="J55" s="3">
        <v>33207.272776994258</v>
      </c>
      <c r="K55" s="23">
        <f t="shared" si="2"/>
        <v>86946.505792808952</v>
      </c>
      <c r="M55" s="3">
        <v>300992.63598540978</v>
      </c>
    </row>
    <row r="56" spans="1:13">
      <c r="A56" t="s">
        <v>111</v>
      </c>
      <c r="B56" s="16"/>
      <c r="C56" s="36"/>
      <c r="D56" s="3"/>
      <c r="E56" s="13">
        <f t="shared" si="0"/>
        <v>0</v>
      </c>
      <c r="F56" s="3"/>
      <c r="G56" s="36"/>
      <c r="H56" s="3"/>
      <c r="I56" s="12">
        <f t="shared" si="1"/>
        <v>0</v>
      </c>
      <c r="J56" s="3">
        <v>13271.419276545303</v>
      </c>
      <c r="K56" s="23">
        <f t="shared" si="2"/>
        <v>13271.419276545303</v>
      </c>
      <c r="M56" s="3">
        <v>120292.90987371835</v>
      </c>
    </row>
    <row r="57" spans="1:13">
      <c r="A57" t="s">
        <v>38</v>
      </c>
      <c r="B57" s="16">
        <v>510793.59516418452</v>
      </c>
      <c r="C57" s="36">
        <v>0.11598644298672799</v>
      </c>
      <c r="D57" s="3">
        <f>D131*0.115986442986728</f>
        <v>219.44750999529333</v>
      </c>
      <c r="E57" s="12">
        <f t="shared" si="0"/>
        <v>511013.04267417983</v>
      </c>
      <c r="F57" s="3">
        <v>429236.41071948502</v>
      </c>
      <c r="G57" s="36">
        <v>0.10683687501182292</v>
      </c>
      <c r="H57" s="3">
        <f>H131*0.106836875011823</f>
        <v>172.17189755645771</v>
      </c>
      <c r="I57" s="12">
        <f t="shared" si="1"/>
        <v>429408.58261704148</v>
      </c>
      <c r="J57" s="3">
        <v>1329784.7381934626</v>
      </c>
      <c r="K57" s="23">
        <f t="shared" si="2"/>
        <v>2270206.3634846839</v>
      </c>
      <c r="M57" s="3">
        <v>12053245.57454511</v>
      </c>
    </row>
    <row r="58" spans="1:13">
      <c r="A58" t="s">
        <v>39</v>
      </c>
      <c r="B58" s="16">
        <v>19572.923333333336</v>
      </c>
      <c r="C58" s="36">
        <v>4.4444444444444453E-3</v>
      </c>
      <c r="D58" s="3">
        <f>D131*0.00444444444444445</f>
        <v>8.4089333333323495</v>
      </c>
      <c r="E58" s="13">
        <f t="shared" si="0"/>
        <v>19581.332266666668</v>
      </c>
      <c r="F58" s="3">
        <v>17856.357000000004</v>
      </c>
      <c r="G58" s="36">
        <v>4.4444444444444453E-3</v>
      </c>
      <c r="H58" s="3">
        <f>H131*0.00444444444444445</f>
        <v>7.162399999996035</v>
      </c>
      <c r="I58" s="12">
        <f t="shared" si="1"/>
        <v>17863.519400000001</v>
      </c>
      <c r="J58" s="3">
        <v>16258.924843049545</v>
      </c>
      <c r="K58" s="23">
        <f t="shared" si="2"/>
        <v>53703.776509716212</v>
      </c>
      <c r="M58" s="3">
        <v>147371.83266036067</v>
      </c>
    </row>
    <row r="59" spans="1:13">
      <c r="A59" t="s">
        <v>112</v>
      </c>
      <c r="B59" s="16"/>
      <c r="C59" s="36"/>
      <c r="D59" s="3"/>
      <c r="E59" s="12">
        <f t="shared" si="0"/>
        <v>0</v>
      </c>
      <c r="F59" s="3"/>
      <c r="G59" s="36"/>
      <c r="H59" s="3"/>
      <c r="I59" s="12">
        <f t="shared" si="1"/>
        <v>0</v>
      </c>
      <c r="J59" s="3">
        <v>8258.9377892467946</v>
      </c>
      <c r="K59" s="23">
        <f t="shared" si="2"/>
        <v>8258.9377892467946</v>
      </c>
      <c r="M59" s="3">
        <v>74859.488531894851</v>
      </c>
    </row>
    <row r="60" spans="1:13">
      <c r="A60" t="s">
        <v>40</v>
      </c>
      <c r="B60" s="16">
        <v>45559.701754424917</v>
      </c>
      <c r="C60" s="36">
        <v>1.0345289760991229E-2</v>
      </c>
      <c r="D60" s="3">
        <f>D131*0.0103452897609912</f>
        <v>19.573391680690648</v>
      </c>
      <c r="E60" s="13">
        <f t="shared" si="0"/>
        <v>45579.27514610561</v>
      </c>
      <c r="F60" s="3">
        <v>38285.293785317968</v>
      </c>
      <c r="G60" s="36">
        <v>9.529203592204159E-3</v>
      </c>
      <c r="H60" s="3">
        <f>H131*0.00952920359220416</f>
        <v>15.356692756972173</v>
      </c>
      <c r="I60" s="12">
        <f t="shared" si="1"/>
        <v>38300.650478074938</v>
      </c>
      <c r="J60" s="3">
        <v>56647.707421056621</v>
      </c>
      <c r="K60" s="23">
        <f t="shared" si="2"/>
        <v>140527.63304523716</v>
      </c>
      <c r="M60" s="3">
        <v>513458.08774174849</v>
      </c>
    </row>
    <row r="61" spans="1:13">
      <c r="A61" t="s">
        <v>113</v>
      </c>
      <c r="B61" s="16"/>
      <c r="C61" s="36"/>
      <c r="D61" s="3"/>
      <c r="E61" s="12">
        <f t="shared" si="0"/>
        <v>0</v>
      </c>
      <c r="F61" s="3"/>
      <c r="G61" s="36"/>
      <c r="H61" s="3"/>
      <c r="I61" s="12">
        <f t="shared" si="1"/>
        <v>0</v>
      </c>
      <c r="J61" s="3">
        <v>8258.9377892467946</v>
      </c>
      <c r="K61" s="23">
        <f t="shared" si="2"/>
        <v>8258.9377892467946</v>
      </c>
      <c r="M61" s="3">
        <v>74859.488531894851</v>
      </c>
    </row>
    <row r="62" spans="1:13">
      <c r="A62" t="s">
        <v>114</v>
      </c>
      <c r="B62" s="16"/>
      <c r="C62" s="36"/>
      <c r="D62" s="3"/>
      <c r="E62" s="13">
        <f t="shared" si="0"/>
        <v>0</v>
      </c>
      <c r="F62" s="3"/>
      <c r="G62" s="36"/>
      <c r="H62" s="3"/>
      <c r="I62" s="12">
        <f t="shared" si="1"/>
        <v>0</v>
      </c>
      <c r="J62" s="3">
        <v>24417.111850205318</v>
      </c>
      <c r="K62" s="23">
        <f t="shared" si="2"/>
        <v>24417.111850205318</v>
      </c>
      <c r="M62" s="3">
        <v>221318.11029165494</v>
      </c>
    </row>
    <row r="63" spans="1:13">
      <c r="A63" t="s">
        <v>115</v>
      </c>
      <c r="B63" s="16"/>
      <c r="C63" s="36"/>
      <c r="D63" s="3"/>
      <c r="E63" s="12">
        <f t="shared" si="0"/>
        <v>0</v>
      </c>
      <c r="F63" s="3"/>
      <c r="G63" s="36"/>
      <c r="H63" s="3"/>
      <c r="I63" s="12">
        <f t="shared" si="1"/>
        <v>0</v>
      </c>
      <c r="J63" s="3">
        <v>8258.9377892467946</v>
      </c>
      <c r="K63" s="23">
        <f t="shared" si="2"/>
        <v>8258.9377892467946</v>
      </c>
      <c r="M63" s="3">
        <v>74859.488531894851</v>
      </c>
    </row>
    <row r="64" spans="1:13">
      <c r="A64" t="s">
        <v>116</v>
      </c>
      <c r="B64" s="16"/>
      <c r="C64" s="36"/>
      <c r="D64" s="3"/>
      <c r="E64" s="13">
        <f t="shared" si="0"/>
        <v>0</v>
      </c>
      <c r="F64" s="3"/>
      <c r="G64" s="36"/>
      <c r="H64" s="3"/>
      <c r="I64" s="12">
        <f t="shared" si="1"/>
        <v>0</v>
      </c>
      <c r="J64" s="3">
        <v>9537.041447883892</v>
      </c>
      <c r="K64" s="23">
        <f t="shared" si="2"/>
        <v>9537.041447883892</v>
      </c>
      <c r="M64" s="3">
        <v>86444.293820159699</v>
      </c>
    </row>
    <row r="65" spans="1:13">
      <c r="A65" t="s">
        <v>41</v>
      </c>
      <c r="B65" s="16">
        <v>13072.429436838922</v>
      </c>
      <c r="C65" s="36">
        <v>2.9683704062236369E-3</v>
      </c>
      <c r="D65" s="3">
        <f>D131*0.00296837040622364</f>
        <v>5.6161864922785254</v>
      </c>
      <c r="E65" s="12">
        <f t="shared" si="0"/>
        <v>13078.0456233312</v>
      </c>
      <c r="F65" s="3">
        <v>10985.186079024503</v>
      </c>
      <c r="G65" s="36">
        <v>2.7342110846075101E-3</v>
      </c>
      <c r="H65" s="3">
        <f>H131*0.00273421108460751</f>
        <v>4.4062905312859426</v>
      </c>
      <c r="I65" s="12">
        <f t="shared" si="1"/>
        <v>10989.592369555789</v>
      </c>
      <c r="J65" s="3">
        <v>8560.3559828031466</v>
      </c>
      <c r="K65" s="23">
        <f t="shared" si="2"/>
        <v>32627.993975690133</v>
      </c>
      <c r="M65" s="3">
        <v>77591.560425354895</v>
      </c>
    </row>
    <row r="66" spans="1:13">
      <c r="A66" t="s">
        <v>117</v>
      </c>
      <c r="B66" s="16"/>
      <c r="C66" s="36"/>
      <c r="D66" s="3"/>
      <c r="E66" s="13">
        <f t="shared" si="0"/>
        <v>0</v>
      </c>
      <c r="F66" s="3"/>
      <c r="G66" s="36"/>
      <c r="H66" s="3"/>
      <c r="I66" s="12">
        <f t="shared" si="1"/>
        <v>0</v>
      </c>
      <c r="J66" s="3">
        <v>8258.9377892467946</v>
      </c>
      <c r="K66" s="23">
        <f t="shared" si="2"/>
        <v>8258.9377892467946</v>
      </c>
      <c r="M66" s="3">
        <v>74859.488531894851</v>
      </c>
    </row>
    <row r="67" spans="1:13">
      <c r="A67" t="s">
        <v>118</v>
      </c>
      <c r="B67" s="16"/>
      <c r="C67" s="36"/>
      <c r="D67" s="3"/>
      <c r="E67" s="12">
        <f t="shared" si="0"/>
        <v>0</v>
      </c>
      <c r="F67" s="3"/>
      <c r="G67" s="36"/>
      <c r="H67" s="3"/>
      <c r="I67" s="12">
        <f t="shared" si="1"/>
        <v>0</v>
      </c>
      <c r="J67" s="3">
        <v>19303.879580815788</v>
      </c>
      <c r="K67" s="23">
        <f t="shared" si="2"/>
        <v>19303.879580815788</v>
      </c>
      <c r="M67" s="3">
        <v>174971.47804923088</v>
      </c>
    </row>
    <row r="68" spans="1:13">
      <c r="A68" t="s">
        <v>119</v>
      </c>
      <c r="B68" s="16"/>
      <c r="C68" s="36"/>
      <c r="D68" s="3"/>
      <c r="E68" s="13">
        <f t="shared" si="0"/>
        <v>0</v>
      </c>
      <c r="F68" s="3"/>
      <c r="G68" s="36"/>
      <c r="H68" s="3"/>
      <c r="I68" s="12">
        <f t="shared" si="1"/>
        <v>0</v>
      </c>
      <c r="J68" s="3">
        <v>8258.9377892467946</v>
      </c>
      <c r="K68" s="23">
        <f t="shared" si="2"/>
        <v>8258.9377892467946</v>
      </c>
      <c r="M68" s="3">
        <v>74859.488531894851</v>
      </c>
    </row>
    <row r="69" spans="1:13">
      <c r="A69" t="s">
        <v>42</v>
      </c>
      <c r="B69" s="16">
        <v>66675.600686387901</v>
      </c>
      <c r="C69" s="36">
        <v>1.514009930984315E-2</v>
      </c>
      <c r="D69" s="3">
        <f>D131*0.0151400993098432</f>
        <v>28.64521929521305</v>
      </c>
      <c r="E69" s="12">
        <f t="shared" si="0"/>
        <v>66704.245905683114</v>
      </c>
      <c r="F69" s="3">
        <v>56029.667936598868</v>
      </c>
      <c r="G69" s="36">
        <v>1.3945775523242724E-2</v>
      </c>
      <c r="H69" s="3">
        <f>H131*0.0139457755232427</f>
        <v>22.474175086714073</v>
      </c>
      <c r="I69" s="12">
        <f t="shared" si="1"/>
        <v>56052.142111685578</v>
      </c>
      <c r="J69" s="3">
        <v>94623.500921992832</v>
      </c>
      <c r="K69" s="23">
        <f t="shared" si="2"/>
        <v>217379.88893936152</v>
      </c>
      <c r="M69" s="3">
        <v>857672.87063723814</v>
      </c>
    </row>
    <row r="70" spans="1:13">
      <c r="A70" t="s">
        <v>120</v>
      </c>
      <c r="B70" s="16"/>
      <c r="C70" s="36"/>
      <c r="D70" s="3"/>
      <c r="E70" s="13">
        <f t="shared" ref="E70:E123" si="3">B70+D70</f>
        <v>0</v>
      </c>
      <c r="F70" s="3"/>
      <c r="G70" s="36"/>
      <c r="H70" s="3"/>
      <c r="I70" s="12">
        <f t="shared" ref="I70:I123" si="4">F70+H70</f>
        <v>0</v>
      </c>
      <c r="J70" s="3">
        <v>18097.389171749248</v>
      </c>
      <c r="K70" s="23">
        <f t="shared" ref="K70:K123" si="5">E70+I70+J70</f>
        <v>18097.389171749248</v>
      </c>
      <c r="M70" s="3">
        <v>164035.77938602606</v>
      </c>
    </row>
    <row r="71" spans="1:13">
      <c r="A71" t="s">
        <v>43</v>
      </c>
      <c r="B71" s="16">
        <v>112956.68269844326</v>
      </c>
      <c r="C71" s="36">
        <v>2.5649193650444484E-2</v>
      </c>
      <c r="D71" s="3">
        <f>D131*0.0256491936504445</f>
        <v>48.528530878571765</v>
      </c>
      <c r="E71" s="12">
        <f t="shared" si="3"/>
        <v>113005.21122932182</v>
      </c>
      <c r="F71" s="3">
        <v>94921.16092934749</v>
      </c>
      <c r="G71" s="36">
        <v>2.3625862002683726E-2</v>
      </c>
      <c r="H71" s="3">
        <f>H131*0.0236258620026837</f>
        <v>38.074021651783767</v>
      </c>
      <c r="I71" s="12">
        <f t="shared" si="4"/>
        <v>94959.234950999278</v>
      </c>
      <c r="J71" s="3">
        <v>185397.70915492467</v>
      </c>
      <c r="K71" s="23">
        <f t="shared" si="5"/>
        <v>393362.15533524577</v>
      </c>
      <c r="M71" s="3">
        <v>1680455.5302974849</v>
      </c>
    </row>
    <row r="72" spans="1:13">
      <c r="A72" t="s">
        <v>44</v>
      </c>
      <c r="B72" s="16">
        <v>9786.461666666668</v>
      </c>
      <c r="C72" s="36">
        <v>2.2222222222222227E-3</v>
      </c>
      <c r="D72" s="3">
        <f>D131*0.00222222222222222</f>
        <v>4.2044666666661659</v>
      </c>
      <c r="E72" s="13">
        <f t="shared" si="3"/>
        <v>9790.6661333333341</v>
      </c>
      <c r="F72" s="3">
        <v>8928.1785000000018</v>
      </c>
      <c r="G72" s="36">
        <v>2.2222222222222227E-3</v>
      </c>
      <c r="H72" s="3">
        <f>H131*0.00222222222222222</f>
        <v>3.5811999999980095</v>
      </c>
      <c r="I72" s="12">
        <f t="shared" si="4"/>
        <v>8931.7597000000005</v>
      </c>
      <c r="J72" s="3">
        <v>11720.21732203118</v>
      </c>
      <c r="K72" s="23">
        <f t="shared" si="5"/>
        <v>30442.643155364516</v>
      </c>
      <c r="M72" s="3">
        <v>106232.72587816931</v>
      </c>
    </row>
    <row r="73" spans="1:13">
      <c r="A73" s="33" t="s">
        <v>45</v>
      </c>
      <c r="B73" s="17">
        <v>145371.02076481629</v>
      </c>
      <c r="C73" s="37">
        <v>3.3009551747494321E-2</v>
      </c>
      <c r="D73" s="6">
        <f>D131*0.0330095517474943</f>
        <v>62.454402001769317</v>
      </c>
      <c r="E73" s="14">
        <f t="shared" si="3"/>
        <v>145433.47516681807</v>
      </c>
      <c r="F73" s="6">
        <v>122159.97962084996</v>
      </c>
      <c r="G73" s="37">
        <v>3.0405599684153559E-2</v>
      </c>
      <c r="H73" s="6">
        <f>H131*0.0304055996841536</f>
        <v>48.999840114973708</v>
      </c>
      <c r="I73" s="14">
        <f t="shared" si="4"/>
        <v>122208.97946096494</v>
      </c>
      <c r="J73" s="6">
        <v>147709.17802817404</v>
      </c>
      <c r="K73" s="24">
        <f t="shared" si="5"/>
        <v>415351.63265595707</v>
      </c>
      <c r="M73" s="6">
        <v>1338844.5101321116</v>
      </c>
    </row>
    <row r="74" spans="1:13">
      <c r="A74" s="41" t="s">
        <v>136</v>
      </c>
      <c r="B74" s="16">
        <f>SUM(B7:B73)</f>
        <v>2955297.5846229889</v>
      </c>
      <c r="C74" s="44">
        <f>SUM(C7:C73)*0.75</f>
        <v>0.50329691589639747</v>
      </c>
      <c r="D74" s="3">
        <f>SUM(D7:D73)</f>
        <v>1269.6570637933739</v>
      </c>
      <c r="E74" s="12">
        <f>SUM(E7:E73)</f>
        <v>2956567.2416867833</v>
      </c>
      <c r="F74" s="3">
        <f>SUM(F7:F73)</f>
        <v>2649487.4920939654</v>
      </c>
      <c r="G74" s="44">
        <f>SUM(G7:G73)*0.75</f>
        <v>0.49459276456258983</v>
      </c>
      <c r="H74" s="3">
        <f>SUM(H7:H73)</f>
        <v>1062.7413650703388</v>
      </c>
      <c r="I74" s="12">
        <f>SUM(I7:I73)</f>
        <v>2650550.2334590363</v>
      </c>
      <c r="J74" s="3">
        <f>SUM(J7:J73)</f>
        <v>5781184.8639999963</v>
      </c>
      <c r="K74" s="23">
        <f>SUM(K7:K73)</f>
        <v>11388302.339145819</v>
      </c>
      <c r="M74" s="3">
        <f>SUM(M7:M73)</f>
        <v>52400993.090279818</v>
      </c>
    </row>
    <row r="75" spans="1:13" ht="15">
      <c r="A75" s="32" t="s">
        <v>131</v>
      </c>
      <c r="B75" s="16"/>
      <c r="C75" s="36"/>
      <c r="D75" s="3"/>
      <c r="E75" s="12"/>
      <c r="F75" s="3"/>
      <c r="G75" s="36"/>
      <c r="H75" s="3"/>
      <c r="I75" s="12"/>
      <c r="J75" s="3"/>
      <c r="K75" s="23"/>
    </row>
    <row r="76" spans="1:13">
      <c r="A76" t="s">
        <v>46</v>
      </c>
      <c r="B76" s="16">
        <v>178962.07629058108</v>
      </c>
      <c r="C76" s="36">
        <v>4.0637108325118999E-2</v>
      </c>
      <c r="D76" s="3">
        <f>D131*0.040637108325119</f>
        <v>76.885815322199321</v>
      </c>
      <c r="E76" s="13">
        <f t="shared" si="3"/>
        <v>179038.96210590328</v>
      </c>
      <c r="F76" s="3">
        <v>150387.63212601433</v>
      </c>
      <c r="G76" s="36">
        <v>3.7431457946075969E-2</v>
      </c>
      <c r="H76" s="3">
        <f>H131*0.037431457946076</f>
        <v>60.322291738385843</v>
      </c>
      <c r="I76" s="12">
        <f t="shared" si="4"/>
        <v>150447.95441775271</v>
      </c>
      <c r="J76" s="3"/>
      <c r="K76" s="23">
        <f t="shared" si="5"/>
        <v>329486.91652365599</v>
      </c>
    </row>
    <row r="77" spans="1:13">
      <c r="A77" t="s">
        <v>47</v>
      </c>
      <c r="B77" s="16">
        <v>159666.86330377465</v>
      </c>
      <c r="C77" s="36">
        <v>3.6255723863374445E-2</v>
      </c>
      <c r="D77" s="3">
        <f>D131*0.0362557238633744</f>
        <v>68.596192106734904</v>
      </c>
      <c r="E77" s="12">
        <f t="shared" si="3"/>
        <v>159735.45949588137</v>
      </c>
      <c r="F77" s="3">
        <v>134173.23937533272</v>
      </c>
      <c r="G77" s="36">
        <v>3.3395698144633425E-2</v>
      </c>
      <c r="H77" s="3">
        <f>H131*0.0333956981446334</f>
        <v>53.818503387972648</v>
      </c>
      <c r="I77" s="12">
        <f t="shared" si="4"/>
        <v>134227.05787872069</v>
      </c>
      <c r="J77" s="3"/>
      <c r="K77" s="23">
        <f t="shared" si="5"/>
        <v>293962.51737460203</v>
      </c>
    </row>
    <row r="78" spans="1:13">
      <c r="A78" t="s">
        <v>48</v>
      </c>
      <c r="B78" s="16">
        <v>103677.86173627451</v>
      </c>
      <c r="C78" s="36">
        <v>2.3542241940984008E-2</v>
      </c>
      <c r="D78" s="3">
        <f>D131*0.023542241940984</f>
        <v>44.542157174755879</v>
      </c>
      <c r="E78" s="13">
        <f t="shared" si="3"/>
        <v>103722.40389344927</v>
      </c>
      <c r="F78" s="3">
        <v>87123.866986713358</v>
      </c>
      <c r="G78" s="36">
        <v>2.168511676864519E-2</v>
      </c>
      <c r="H78" s="3">
        <f>H131*0.0216851167686452</f>
        <v>34.9464330773231</v>
      </c>
      <c r="I78" s="12">
        <f t="shared" si="4"/>
        <v>87158.813419790677</v>
      </c>
      <c r="J78" s="3"/>
      <c r="K78" s="23">
        <f t="shared" si="5"/>
        <v>190881.21731323993</v>
      </c>
    </row>
    <row r="79" spans="1:13">
      <c r="A79" t="s">
        <v>49</v>
      </c>
      <c r="B79" s="16">
        <v>98171.191523967078</v>
      </c>
      <c r="C79" s="36">
        <v>2.2291836499973707E-2</v>
      </c>
      <c r="D79" s="3">
        <f>D131*0.0222918364999737</f>
        <v>42.176377576310259</v>
      </c>
      <c r="E79" s="12">
        <f t="shared" si="3"/>
        <v>98213.367901543388</v>
      </c>
      <c r="F79" s="3">
        <v>82496.433558956691</v>
      </c>
      <c r="G79" s="36">
        <v>2.053334931742154E-2</v>
      </c>
      <c r="H79" s="3">
        <f>H131*0.0205333493174215</f>
        <v>33.090313758979086</v>
      </c>
      <c r="I79" s="12">
        <f t="shared" si="4"/>
        <v>82529.523872715668</v>
      </c>
      <c r="J79" s="3"/>
      <c r="K79" s="23">
        <f t="shared" si="5"/>
        <v>180742.89177425904</v>
      </c>
    </row>
    <row r="80" spans="1:13">
      <c r="A80" t="s">
        <v>50</v>
      </c>
      <c r="B80" s="16">
        <v>74978.62674318823</v>
      </c>
      <c r="C80" s="36">
        <v>1.7025476236006132E-2</v>
      </c>
      <c r="D80" s="3">
        <f>D131*0.0170254762360061</f>
        <v>32.212371293282096</v>
      </c>
      <c r="E80" s="13">
        <f t="shared" si="3"/>
        <v>75010.83911448151</v>
      </c>
      <c r="F80" s="3">
        <v>63006.969798784085</v>
      </c>
      <c r="G80" s="36">
        <v>1.5682424857628285E-2</v>
      </c>
      <c r="H80" s="3">
        <f>H131*0.0156824248576283</f>
        <v>25.272854955048288</v>
      </c>
      <c r="I80" s="12">
        <f t="shared" si="4"/>
        <v>63032.242653739129</v>
      </c>
      <c r="J80" s="3"/>
      <c r="K80" s="23">
        <f t="shared" si="5"/>
        <v>138043.08176822064</v>
      </c>
    </row>
    <row r="81" spans="1:11">
      <c r="A81" t="s">
        <v>51</v>
      </c>
      <c r="B81" s="16">
        <v>147926.09102443259</v>
      </c>
      <c r="C81" s="36">
        <v>3.3589734259177564E-2</v>
      </c>
      <c r="D81" s="3">
        <f>D131*0.0335897342591776</f>
        <v>63.5521131156991</v>
      </c>
      <c r="E81" s="12">
        <f t="shared" si="3"/>
        <v>147989.64313754829</v>
      </c>
      <c r="F81" s="3">
        <v>124307.08795924112</v>
      </c>
      <c r="G81" s="36">
        <v>3.0940014611351919E-2</v>
      </c>
      <c r="H81" s="3">
        <f>H131*0.0309400146113519</f>
        <v>49.861071146750383</v>
      </c>
      <c r="I81" s="12">
        <f t="shared" si="4"/>
        <v>124356.94903038787</v>
      </c>
      <c r="J81" s="3"/>
      <c r="K81" s="23">
        <f t="shared" si="5"/>
        <v>272346.59216793615</v>
      </c>
    </row>
    <row r="82" spans="1:11">
      <c r="A82" t="s">
        <v>52</v>
      </c>
      <c r="B82" s="16">
        <v>86625.286834323633</v>
      </c>
      <c r="C82" s="36">
        <v>1.9670095685887977E-2</v>
      </c>
      <c r="D82" s="3">
        <f>D131*0.019670095685888</f>
        <v>37.21601773865256</v>
      </c>
      <c r="E82" s="13">
        <f t="shared" si="3"/>
        <v>86662.502852062287</v>
      </c>
      <c r="F82" s="3">
        <v>72794.035693339669</v>
      </c>
      <c r="G82" s="36">
        <v>1.8118424017057572E-2</v>
      </c>
      <c r="H82" s="3">
        <f>H131*0.0181184240170576</f>
        <v>29.198565040432804</v>
      </c>
      <c r="I82" s="12">
        <f t="shared" si="4"/>
        <v>72823.234258380107</v>
      </c>
      <c r="J82" s="3"/>
      <c r="K82" s="23">
        <f t="shared" si="5"/>
        <v>159485.73711044239</v>
      </c>
    </row>
    <row r="83" spans="1:11">
      <c r="A83" t="s">
        <v>53</v>
      </c>
      <c r="B83" s="16">
        <v>79276.23213759283</v>
      </c>
      <c r="C83" s="36">
        <v>1.800133804746315E-2</v>
      </c>
      <c r="D83" s="3">
        <f>D131*0.0180013380474632</f>
        <v>34.058711599176824</v>
      </c>
      <c r="E83" s="12">
        <f t="shared" si="3"/>
        <v>79310.29084919201</v>
      </c>
      <c r="F83" s="3">
        <v>66618.386879278187</v>
      </c>
      <c r="G83" s="36">
        <v>1.6581306000068134E-2</v>
      </c>
      <c r="H83" s="3">
        <f>H131*0.0165813060000681</f>
        <v>26.721437871334921</v>
      </c>
      <c r="I83" s="12">
        <f t="shared" si="4"/>
        <v>66645.108317149527</v>
      </c>
      <c r="J83" s="3"/>
      <c r="K83" s="23">
        <f t="shared" si="5"/>
        <v>145955.39916634152</v>
      </c>
    </row>
    <row r="84" spans="1:11">
      <c r="A84" t="s">
        <v>54</v>
      </c>
      <c r="B84" s="16">
        <v>118705.91738956672</v>
      </c>
      <c r="C84" s="36">
        <v>2.6954678464726406E-2</v>
      </c>
      <c r="D84" s="3">
        <f>D131*0.0269546784647264</f>
        <v>50.998521202040969</v>
      </c>
      <c r="E84" s="13">
        <f t="shared" si="3"/>
        <v>118756.91591076876</v>
      </c>
      <c r="F84" s="3">
        <v>99752.429149162534</v>
      </c>
      <c r="G84" s="36">
        <v>2.4828363901541257E-2</v>
      </c>
      <c r="H84" s="3">
        <f>H131*0.0248283639015413</f>
        <v>40.011901561867667</v>
      </c>
      <c r="I84" s="12">
        <f t="shared" si="4"/>
        <v>99792.441050724403</v>
      </c>
      <c r="J84" s="3"/>
      <c r="K84" s="23">
        <f t="shared" si="5"/>
        <v>218549.35696149315</v>
      </c>
    </row>
    <row r="85" spans="1:11">
      <c r="A85" s="33" t="s">
        <v>55</v>
      </c>
      <c r="B85" s="17">
        <v>22299.606195029206</v>
      </c>
      <c r="C85" s="37">
        <v>5.0635952115548298E-3</v>
      </c>
      <c r="D85" s="6">
        <f>D131*0.00506359521155483</f>
        <v>9.5803727762127213</v>
      </c>
      <c r="E85" s="14">
        <f t="shared" si="3"/>
        <v>22309.18656780542</v>
      </c>
      <c r="F85" s="6">
        <v>18739.081723481013</v>
      </c>
      <c r="G85" s="37">
        <v>4.6641544890660292E-3</v>
      </c>
      <c r="H85" s="6">
        <f>H131*0.00466415448906603</f>
        <v>7.5164715253052998</v>
      </c>
      <c r="I85" s="14">
        <f t="shared" si="4"/>
        <v>18746.598195006318</v>
      </c>
      <c r="J85" s="6"/>
      <c r="K85" s="24">
        <f t="shared" si="5"/>
        <v>41055.784762811738</v>
      </c>
    </row>
    <row r="86" spans="1:11">
      <c r="A86" s="41" t="s">
        <v>137</v>
      </c>
      <c r="B86" s="16">
        <f>SUM(B76:B85)</f>
        <v>1070289.7531787304</v>
      </c>
      <c r="C86" s="44">
        <f>SUM(C76:C85)*0.75</f>
        <v>0.18227387140070045</v>
      </c>
      <c r="D86" s="3">
        <f t="shared" ref="D86:K86" si="6">SUM(D76:D85)</f>
        <v>459.81864990506466</v>
      </c>
      <c r="E86" s="12">
        <f t="shared" si="6"/>
        <v>1070749.5718286356</v>
      </c>
      <c r="F86" s="3">
        <f t="shared" si="6"/>
        <v>899399.16325030371</v>
      </c>
      <c r="G86" s="44">
        <f>SUM(G76:G85)*0.75</f>
        <v>0.16789523254011701</v>
      </c>
      <c r="H86" s="3">
        <f t="shared" si="6"/>
        <v>360.75984406339995</v>
      </c>
      <c r="I86" s="12">
        <f t="shared" si="6"/>
        <v>899759.92309436714</v>
      </c>
      <c r="J86" s="3">
        <f t="shared" si="6"/>
        <v>0</v>
      </c>
      <c r="K86" s="23">
        <f t="shared" si="6"/>
        <v>1970509.4949230028</v>
      </c>
    </row>
    <row r="87" spans="1:11" ht="15">
      <c r="A87" s="32" t="s">
        <v>132</v>
      </c>
      <c r="B87" s="16"/>
      <c r="C87" s="36"/>
      <c r="D87" s="3"/>
      <c r="E87" s="12"/>
      <c r="F87" s="3"/>
      <c r="G87" s="36"/>
      <c r="H87" s="3"/>
      <c r="I87" s="12"/>
      <c r="J87" s="3"/>
      <c r="K87" s="23"/>
    </row>
    <row r="88" spans="1:11">
      <c r="A88" t="s">
        <v>86</v>
      </c>
      <c r="B88" s="16"/>
      <c r="C88" s="36"/>
      <c r="D88" s="3"/>
      <c r="E88" s="13">
        <f t="shared" si="3"/>
        <v>0</v>
      </c>
      <c r="F88" s="3">
        <v>3571.2714000000005</v>
      </c>
      <c r="G88" s="36">
        <v>8.8888888888888904E-4</v>
      </c>
      <c r="H88" s="3">
        <f>H131*0.000888888888888889</f>
        <v>1.4324799999992055</v>
      </c>
      <c r="I88" s="12">
        <f t="shared" si="4"/>
        <v>3572.7038799999996</v>
      </c>
      <c r="J88" s="3"/>
      <c r="K88" s="23">
        <f t="shared" si="5"/>
        <v>3572.7038799999996</v>
      </c>
    </row>
    <row r="89" spans="1:11">
      <c r="A89" t="s">
        <v>56</v>
      </c>
      <c r="B89" s="16">
        <v>40080.396698233497</v>
      </c>
      <c r="C89" s="36">
        <v>9.101098154981448E-3</v>
      </c>
      <c r="D89" s="3">
        <f>D131*0.00910109815498145</f>
        <v>17.219368720204418</v>
      </c>
      <c r="E89" s="12">
        <f t="shared" si="3"/>
        <v>40097.616066953698</v>
      </c>
      <c r="F89" s="3">
        <v>35712.714000000007</v>
      </c>
      <c r="G89" s="36">
        <v>8.8888888888888906E-3</v>
      </c>
      <c r="H89" s="3">
        <f>H131*0.00888888888888889</f>
        <v>14.324799999992056</v>
      </c>
      <c r="I89" s="12">
        <f t="shared" si="4"/>
        <v>35727.038800000002</v>
      </c>
      <c r="J89" s="3"/>
      <c r="K89" s="23">
        <f t="shared" si="5"/>
        <v>75824.654866953701</v>
      </c>
    </row>
    <row r="90" spans="1:11">
      <c r="A90" t="s">
        <v>57</v>
      </c>
      <c r="B90" s="16">
        <v>19812.318625348737</v>
      </c>
      <c r="C90" s="36">
        <v>4.4988041871105808E-3</v>
      </c>
      <c r="D90" s="3">
        <f>D131*0.00449880418711058</f>
        <v>8.5117825100540827</v>
      </c>
      <c r="E90" s="13">
        <f t="shared" si="3"/>
        <v>19820.83040785879</v>
      </c>
      <c r="F90" s="3">
        <v>17856.357000000004</v>
      </c>
      <c r="G90" s="36">
        <v>4.4444444444444453E-3</v>
      </c>
      <c r="H90" s="3">
        <f>H131*0.00444444444444445</f>
        <v>7.162399999996035</v>
      </c>
      <c r="I90" s="12">
        <f t="shared" si="4"/>
        <v>17863.519400000001</v>
      </c>
      <c r="J90" s="3"/>
      <c r="K90" s="23">
        <f t="shared" si="5"/>
        <v>37684.349807858787</v>
      </c>
    </row>
    <row r="91" spans="1:11">
      <c r="A91" t="s">
        <v>58</v>
      </c>
      <c r="B91" s="16">
        <v>19572.923333333336</v>
      </c>
      <c r="C91" s="36">
        <v>4.4444444444444453E-3</v>
      </c>
      <c r="D91" s="3">
        <f>D131*0.00444444444444445</f>
        <v>8.4089333333323495</v>
      </c>
      <c r="E91" s="12">
        <f t="shared" si="3"/>
        <v>19581.332266666668</v>
      </c>
      <c r="F91" s="3">
        <v>17856.357000000004</v>
      </c>
      <c r="G91" s="36">
        <v>4.4444444444444453E-3</v>
      </c>
      <c r="H91" s="3">
        <f>H131*0.00444444444444445</f>
        <v>7.162399999996035</v>
      </c>
      <c r="I91" s="12">
        <f t="shared" si="4"/>
        <v>17863.519400000001</v>
      </c>
      <c r="J91" s="3"/>
      <c r="K91" s="23">
        <f t="shared" si="5"/>
        <v>37444.851666666669</v>
      </c>
    </row>
    <row r="92" spans="1:11">
      <c r="A92" t="s">
        <v>59</v>
      </c>
      <c r="B92" s="16">
        <v>3914.5846666666675</v>
      </c>
      <c r="C92" s="36">
        <v>8.8888888888888904E-4</v>
      </c>
      <c r="D92" s="3">
        <f>D131*0.000888888888888889</f>
        <v>1.6817866666664683</v>
      </c>
      <c r="E92" s="13">
        <f t="shared" si="3"/>
        <v>3916.2664533333341</v>
      </c>
      <c r="F92" s="3">
        <v>3571.2714000000005</v>
      </c>
      <c r="G92" s="36">
        <v>8.8888888888888904E-4</v>
      </c>
      <c r="H92" s="3">
        <f>H131*0.000888888888888889</f>
        <v>1.4324799999992055</v>
      </c>
      <c r="I92" s="12">
        <f t="shared" si="4"/>
        <v>3572.7038799999996</v>
      </c>
      <c r="J92" s="3"/>
      <c r="K92" s="23">
        <f t="shared" si="5"/>
        <v>7488.9703333333337</v>
      </c>
    </row>
    <row r="93" spans="1:11">
      <c r="A93" t="s">
        <v>60</v>
      </c>
      <c r="B93" s="16">
        <v>9786.461666666668</v>
      </c>
      <c r="C93" s="36">
        <v>2.2222222222222227E-3</v>
      </c>
      <c r="D93" s="3">
        <f>D131*0.00222222222222222</f>
        <v>4.2044666666661659</v>
      </c>
      <c r="E93" s="12">
        <f t="shared" si="3"/>
        <v>9790.6661333333341</v>
      </c>
      <c r="F93" s="3">
        <v>8928.1785000000018</v>
      </c>
      <c r="G93" s="36">
        <v>2.2222222222222227E-3</v>
      </c>
      <c r="H93" s="3">
        <f>H131*0.00222222222222222</f>
        <v>3.5811999999980095</v>
      </c>
      <c r="I93" s="12">
        <f t="shared" si="4"/>
        <v>8931.7597000000005</v>
      </c>
      <c r="J93" s="3"/>
      <c r="K93" s="23">
        <f t="shared" si="5"/>
        <v>18722.425833333335</v>
      </c>
    </row>
    <row r="94" spans="1:11">
      <c r="A94" t="s">
        <v>61</v>
      </c>
      <c r="B94" s="16">
        <v>3914.5846666666675</v>
      </c>
      <c r="C94" s="36">
        <v>8.8888888888888904E-4</v>
      </c>
      <c r="D94" s="3">
        <f>D131*0.000888888888888889</f>
        <v>1.6817866666664683</v>
      </c>
      <c r="E94" s="13">
        <f t="shared" si="3"/>
        <v>3916.2664533333341</v>
      </c>
      <c r="F94" s="3">
        <v>3571.2714000000005</v>
      </c>
      <c r="G94" s="36">
        <v>8.8888888888888904E-4</v>
      </c>
      <c r="H94" s="3">
        <f>H131*0.000888888888888889</f>
        <v>1.4324799999992055</v>
      </c>
      <c r="I94" s="12">
        <f t="shared" si="4"/>
        <v>3572.7038799999996</v>
      </c>
      <c r="J94" s="3"/>
      <c r="K94" s="23">
        <f t="shared" si="5"/>
        <v>7488.9703333333337</v>
      </c>
    </row>
    <row r="95" spans="1:11">
      <c r="A95" t="s">
        <v>62</v>
      </c>
      <c r="B95" s="16">
        <v>3914.5846666666675</v>
      </c>
      <c r="C95" s="36">
        <v>8.8888888888888904E-4</v>
      </c>
      <c r="D95" s="3">
        <f>D131*0.000888888888888889</f>
        <v>1.6817866666664683</v>
      </c>
      <c r="E95" s="12">
        <f t="shared" si="3"/>
        <v>3916.2664533333341</v>
      </c>
      <c r="F95" s="3">
        <v>3571.2714000000005</v>
      </c>
      <c r="G95" s="36">
        <v>8.8888888888888904E-4</v>
      </c>
      <c r="H95" s="3">
        <f>H131*0.000888888888888889</f>
        <v>1.4324799999992055</v>
      </c>
      <c r="I95" s="12">
        <f t="shared" si="4"/>
        <v>3572.7038799999996</v>
      </c>
      <c r="J95" s="3"/>
      <c r="K95" s="23">
        <f t="shared" si="5"/>
        <v>7488.9703333333337</v>
      </c>
    </row>
    <row r="96" spans="1:11">
      <c r="A96" t="s">
        <v>63</v>
      </c>
      <c r="B96" s="16">
        <v>9786.461666666668</v>
      </c>
      <c r="C96" s="36">
        <v>2.2222222222222227E-3</v>
      </c>
      <c r="D96" s="3">
        <f>D131*0.00222222222222222</f>
        <v>4.2044666666661659</v>
      </c>
      <c r="E96" s="13">
        <f t="shared" si="3"/>
        <v>9790.6661333333341</v>
      </c>
      <c r="F96" s="3">
        <v>8928.1785000000018</v>
      </c>
      <c r="G96" s="36">
        <v>2.2222222222222227E-3</v>
      </c>
      <c r="H96" s="3">
        <f>H131*0.00222222222222222</f>
        <v>3.5811999999980095</v>
      </c>
      <c r="I96" s="12">
        <f t="shared" si="4"/>
        <v>8931.7597000000005</v>
      </c>
      <c r="J96" s="3"/>
      <c r="K96" s="23">
        <f t="shared" si="5"/>
        <v>18722.425833333335</v>
      </c>
    </row>
    <row r="97" spans="1:11">
      <c r="A97" t="s">
        <v>64</v>
      </c>
      <c r="B97" s="16">
        <v>3914.5846666666675</v>
      </c>
      <c r="C97" s="36">
        <v>8.8888888888888904E-4</v>
      </c>
      <c r="D97" s="3">
        <f>D131*0.000888888888888889</f>
        <v>1.6817866666664683</v>
      </c>
      <c r="E97" s="12">
        <f t="shared" si="3"/>
        <v>3916.2664533333341</v>
      </c>
      <c r="F97" s="3">
        <v>3571.2714000000005</v>
      </c>
      <c r="G97" s="36">
        <v>8.8888888888888904E-4</v>
      </c>
      <c r="H97" s="3">
        <f>H131*0.000888888888888889</f>
        <v>1.4324799999992055</v>
      </c>
      <c r="I97" s="12">
        <f t="shared" si="4"/>
        <v>3572.7038799999996</v>
      </c>
      <c r="J97" s="3"/>
      <c r="K97" s="23">
        <f t="shared" si="5"/>
        <v>7488.9703333333337</v>
      </c>
    </row>
    <row r="98" spans="1:11">
      <c r="A98" t="s">
        <v>65</v>
      </c>
      <c r="B98" s="16">
        <v>9786.461666666668</v>
      </c>
      <c r="C98" s="36">
        <v>2.2222222222222227E-3</v>
      </c>
      <c r="D98" s="3">
        <f>D131*0.00222222222222222</f>
        <v>4.2044666666661659</v>
      </c>
      <c r="E98" s="13">
        <f t="shared" si="3"/>
        <v>9790.6661333333341</v>
      </c>
      <c r="F98" s="3">
        <v>8928.1785000000018</v>
      </c>
      <c r="G98" s="36">
        <v>2.2222222222222227E-3</v>
      </c>
      <c r="H98" s="3">
        <f>H131*0.00222222222222222</f>
        <v>3.5811999999980095</v>
      </c>
      <c r="I98" s="12">
        <f t="shared" si="4"/>
        <v>8931.7597000000005</v>
      </c>
      <c r="J98" s="3"/>
      <c r="K98" s="23">
        <f t="shared" si="5"/>
        <v>18722.425833333335</v>
      </c>
    </row>
    <row r="99" spans="1:11">
      <c r="A99" t="s">
        <v>66</v>
      </c>
      <c r="B99" s="16">
        <v>9786.461666666668</v>
      </c>
      <c r="C99" s="36">
        <v>2.2222222222222227E-3</v>
      </c>
      <c r="D99" s="3">
        <f>D131*0.00222222222222222</f>
        <v>4.2044666666661659</v>
      </c>
      <c r="E99" s="12">
        <f t="shared" si="3"/>
        <v>9790.6661333333341</v>
      </c>
      <c r="F99" s="3">
        <v>8928.1785000000018</v>
      </c>
      <c r="G99" s="36">
        <v>2.2222222222222227E-3</v>
      </c>
      <c r="H99" s="3">
        <f>H131*0.00222222222222222</f>
        <v>3.5811999999980095</v>
      </c>
      <c r="I99" s="12">
        <f t="shared" si="4"/>
        <v>8931.7597000000005</v>
      </c>
      <c r="J99" s="3"/>
      <c r="K99" s="23">
        <f t="shared" si="5"/>
        <v>18722.425833333335</v>
      </c>
    </row>
    <row r="100" spans="1:11">
      <c r="A100" t="s">
        <v>67</v>
      </c>
      <c r="B100" s="16">
        <v>9786.461666666668</v>
      </c>
      <c r="C100" s="36">
        <v>2.2222222222222227E-3</v>
      </c>
      <c r="D100" s="3">
        <f>D131*0.00222222222222222</f>
        <v>4.2044666666661659</v>
      </c>
      <c r="E100" s="13">
        <f t="shared" si="3"/>
        <v>9790.6661333333341</v>
      </c>
      <c r="F100" s="3">
        <v>8928.1785000000018</v>
      </c>
      <c r="G100" s="36">
        <v>2.2222222222222227E-3</v>
      </c>
      <c r="H100" s="3">
        <f>H131*0.00222222222222222</f>
        <v>3.5811999999980095</v>
      </c>
      <c r="I100" s="12">
        <f t="shared" si="4"/>
        <v>8931.7597000000005</v>
      </c>
      <c r="J100" s="3"/>
      <c r="K100" s="23">
        <f t="shared" si="5"/>
        <v>18722.425833333335</v>
      </c>
    </row>
    <row r="101" spans="1:11">
      <c r="A101" t="s">
        <v>68</v>
      </c>
      <c r="B101" s="16">
        <v>10567.504171380569</v>
      </c>
      <c r="C101" s="36">
        <v>2.3995743715068893E-3</v>
      </c>
      <c r="D101" s="3">
        <f>D131*0.00239957437150689</f>
        <v>4.540018706634215</v>
      </c>
      <c r="E101" s="12">
        <f t="shared" si="3"/>
        <v>10572.044190087203</v>
      </c>
      <c r="F101" s="3">
        <v>8928.1785000000018</v>
      </c>
      <c r="G101" s="36">
        <v>2.2222222222222227E-3</v>
      </c>
      <c r="H101" s="3">
        <f>H131*0.00222222222222222</f>
        <v>3.5811999999980095</v>
      </c>
      <c r="I101" s="12">
        <f t="shared" si="4"/>
        <v>8931.7597000000005</v>
      </c>
      <c r="J101" s="3"/>
      <c r="K101" s="23">
        <f t="shared" si="5"/>
        <v>19503.803890087205</v>
      </c>
    </row>
    <row r="102" spans="1:11">
      <c r="A102" t="s">
        <v>69</v>
      </c>
      <c r="B102" s="16">
        <v>9786.461666666668</v>
      </c>
      <c r="C102" s="36">
        <v>2.2222222222222227E-3</v>
      </c>
      <c r="D102" s="3">
        <f>D131*0.00222222222222222</f>
        <v>4.2044666666661659</v>
      </c>
      <c r="E102" s="13">
        <f t="shared" si="3"/>
        <v>9790.6661333333341</v>
      </c>
      <c r="F102" s="3">
        <v>8928.1785000000018</v>
      </c>
      <c r="G102" s="36">
        <v>2.2222222222222227E-3</v>
      </c>
      <c r="H102" s="3">
        <f>H131*0.00222222222222222</f>
        <v>3.5811999999980095</v>
      </c>
      <c r="I102" s="12">
        <f t="shared" si="4"/>
        <v>8931.7597000000005</v>
      </c>
      <c r="J102" s="3"/>
      <c r="K102" s="23">
        <f t="shared" si="5"/>
        <v>18722.425833333335</v>
      </c>
    </row>
    <row r="103" spans="1:11">
      <c r="A103" t="s">
        <v>87</v>
      </c>
      <c r="B103" s="16"/>
      <c r="C103" s="36"/>
      <c r="D103" s="3"/>
      <c r="E103" s="12">
        <f t="shared" si="3"/>
        <v>0</v>
      </c>
      <c r="F103" s="3">
        <v>3571.2714000000005</v>
      </c>
      <c r="G103" s="36">
        <v>8.8888888888888904E-4</v>
      </c>
      <c r="H103" s="3">
        <f>H131*0.000888888888888889</f>
        <v>1.4324799999992055</v>
      </c>
      <c r="I103" s="12">
        <f t="shared" si="4"/>
        <v>3572.7038799999996</v>
      </c>
      <c r="J103" s="3"/>
      <c r="K103" s="23">
        <f t="shared" si="5"/>
        <v>3572.7038799999996</v>
      </c>
    </row>
    <row r="104" spans="1:11">
      <c r="A104" t="s">
        <v>70</v>
      </c>
      <c r="B104" s="16">
        <v>14663.287885785454</v>
      </c>
      <c r="C104" s="36">
        <v>3.3296083201982273E-3</v>
      </c>
      <c r="D104" s="3">
        <f>D131*0.00332960832019823</f>
        <v>6.2996522378975088</v>
      </c>
      <c r="E104" s="13">
        <f t="shared" si="3"/>
        <v>14669.587538023352</v>
      </c>
      <c r="F104" s="3">
        <v>12322.035986802002</v>
      </c>
      <c r="G104" s="36">
        <v>3.0669528160635834E-3</v>
      </c>
      <c r="H104" s="3">
        <f>H131*0.00306695281606358</f>
        <v>4.94251714119636</v>
      </c>
      <c r="I104" s="12">
        <f t="shared" si="4"/>
        <v>12326.978503943199</v>
      </c>
      <c r="J104" s="3"/>
      <c r="K104" s="23">
        <f t="shared" si="5"/>
        <v>26996.566041966551</v>
      </c>
    </row>
    <row r="105" spans="1:11">
      <c r="A105" t="s">
        <v>71</v>
      </c>
      <c r="B105" s="16">
        <v>3914.5846666666675</v>
      </c>
      <c r="C105" s="36">
        <v>8.8888888888888904E-4</v>
      </c>
      <c r="D105" s="3">
        <f>D131*0.000888888888888889</f>
        <v>1.6817866666664683</v>
      </c>
      <c r="E105" s="12">
        <f t="shared" si="3"/>
        <v>3916.2664533333341</v>
      </c>
      <c r="F105" s="3">
        <v>3571.2714000000005</v>
      </c>
      <c r="G105" s="36">
        <v>8.8888888888888904E-4</v>
      </c>
      <c r="H105" s="3">
        <f>H131*0.000888888888888889</f>
        <v>1.4324799999992055</v>
      </c>
      <c r="I105" s="12">
        <f t="shared" si="4"/>
        <v>3572.7038799999996</v>
      </c>
      <c r="J105" s="3"/>
      <c r="K105" s="23">
        <f t="shared" si="5"/>
        <v>7488.9703333333337</v>
      </c>
    </row>
    <row r="106" spans="1:11">
      <c r="A106" t="s">
        <v>72</v>
      </c>
      <c r="B106" s="16">
        <v>9786.461666666668</v>
      </c>
      <c r="C106" s="36">
        <v>2.2222222222222227E-3</v>
      </c>
      <c r="D106" s="3">
        <f>D131*0.00222222222222222</f>
        <v>4.2044666666661659</v>
      </c>
      <c r="E106" s="13">
        <f t="shared" si="3"/>
        <v>9790.6661333333341</v>
      </c>
      <c r="F106" s="3">
        <v>8928.1785000000018</v>
      </c>
      <c r="G106" s="36">
        <v>2.2222222222222227E-3</v>
      </c>
      <c r="H106" s="3">
        <f>H131*0.00222222222222222</f>
        <v>3.5811999999980095</v>
      </c>
      <c r="I106" s="12">
        <f t="shared" si="4"/>
        <v>8931.7597000000005</v>
      </c>
      <c r="J106" s="3"/>
      <c r="K106" s="23">
        <f t="shared" si="5"/>
        <v>18722.425833333335</v>
      </c>
    </row>
    <row r="107" spans="1:11">
      <c r="A107" t="s">
        <v>88</v>
      </c>
      <c r="B107" s="16"/>
      <c r="C107" s="36"/>
      <c r="D107" s="3"/>
      <c r="E107" s="12">
        <f t="shared" si="3"/>
        <v>0</v>
      </c>
      <c r="F107" s="3">
        <v>8928.1785000000018</v>
      </c>
      <c r="G107" s="36">
        <v>2.2222222222222227E-3</v>
      </c>
      <c r="H107" s="3">
        <f>H131*0.00222222222222222</f>
        <v>3.5811999999980095</v>
      </c>
      <c r="I107" s="12">
        <f t="shared" si="4"/>
        <v>8931.7597000000005</v>
      </c>
      <c r="J107" s="3"/>
      <c r="K107" s="23">
        <f t="shared" si="5"/>
        <v>8931.7597000000005</v>
      </c>
    </row>
    <row r="108" spans="1:11">
      <c r="A108" t="s">
        <v>73</v>
      </c>
      <c r="B108" s="16">
        <v>9786.461666666668</v>
      </c>
      <c r="C108" s="36">
        <v>2.2222222222222227E-3</v>
      </c>
      <c r="D108" s="3">
        <f>D131*0.00222222222222222</f>
        <v>4.2044666666661659</v>
      </c>
      <c r="E108" s="13">
        <f t="shared" si="3"/>
        <v>9790.6661333333341</v>
      </c>
      <c r="F108" s="3">
        <v>8928.1785000000018</v>
      </c>
      <c r="G108" s="36">
        <v>2.2222222222222227E-3</v>
      </c>
      <c r="H108" s="3">
        <f>H131*0.00222222222222222</f>
        <v>3.5811999999980095</v>
      </c>
      <c r="I108" s="12">
        <f t="shared" si="4"/>
        <v>8931.7597000000005</v>
      </c>
      <c r="J108" s="3"/>
      <c r="K108" s="23">
        <f t="shared" si="5"/>
        <v>18722.425833333335</v>
      </c>
    </row>
    <row r="109" spans="1:11">
      <c r="A109" t="s">
        <v>74</v>
      </c>
      <c r="B109" s="16">
        <v>11385.386953541667</v>
      </c>
      <c r="C109" s="36">
        <v>2.5852918816343662E-3</v>
      </c>
      <c r="D109" s="3">
        <f>D131*0.00258529188163437</f>
        <v>4.8913980929704666</v>
      </c>
      <c r="E109" s="12">
        <f t="shared" si="3"/>
        <v>11390.278351634637</v>
      </c>
      <c r="F109" s="3">
        <v>9567.5096102562547</v>
      </c>
      <c r="G109" s="36">
        <v>2.3813516348531925E-3</v>
      </c>
      <c r="H109" s="3">
        <f>H131*0.00238135163485319</f>
        <v>3.8376434136291806</v>
      </c>
      <c r="I109" s="12">
        <f t="shared" si="4"/>
        <v>9571.3472536698846</v>
      </c>
      <c r="J109" s="3"/>
      <c r="K109" s="23">
        <f t="shared" si="5"/>
        <v>20961.625605304522</v>
      </c>
    </row>
    <row r="110" spans="1:11">
      <c r="A110" t="s">
        <v>75</v>
      </c>
      <c r="B110" s="16">
        <v>96493.288315471422</v>
      </c>
      <c r="C110" s="36">
        <v>2.1910833240199327E-2</v>
      </c>
      <c r="D110" s="3">
        <f>D131*0.0219108332401993</f>
        <v>41.455515598784579</v>
      </c>
      <c r="E110" s="13">
        <f t="shared" si="3"/>
        <v>96534.743831070213</v>
      </c>
      <c r="F110" s="3">
        <v>81086.437118970236</v>
      </c>
      <c r="G110" s="36">
        <v>2.0182401425621197E-2</v>
      </c>
      <c r="H110" s="3">
        <f>H131*0.0201824014256212</f>
        <v>32.524747193427544</v>
      </c>
      <c r="I110" s="12">
        <f t="shared" si="4"/>
        <v>81118.961866163663</v>
      </c>
      <c r="J110" s="3"/>
      <c r="K110" s="23">
        <f t="shared" si="5"/>
        <v>177653.70569723388</v>
      </c>
    </row>
    <row r="111" spans="1:11">
      <c r="A111" t="s">
        <v>76</v>
      </c>
      <c r="B111" s="16">
        <v>3914.5846666666675</v>
      </c>
      <c r="C111" s="36">
        <v>8.8888888888888904E-4</v>
      </c>
      <c r="D111" s="3">
        <f>D131*0.000888888888888889</f>
        <v>1.6817866666664683</v>
      </c>
      <c r="E111" s="12">
        <f t="shared" si="3"/>
        <v>3916.2664533333341</v>
      </c>
      <c r="F111" s="3">
        <v>3571.2714000000005</v>
      </c>
      <c r="G111" s="36">
        <v>8.8888888888888904E-4</v>
      </c>
      <c r="H111" s="3">
        <f>H131*0.000888888888888889</f>
        <v>1.4324799999992055</v>
      </c>
      <c r="I111" s="12">
        <f t="shared" si="4"/>
        <v>3572.7038799999996</v>
      </c>
      <c r="J111" s="3"/>
      <c r="K111" s="23">
        <f t="shared" si="5"/>
        <v>7488.9703333333337</v>
      </c>
    </row>
    <row r="112" spans="1:11">
      <c r="A112" t="s">
        <v>89</v>
      </c>
      <c r="B112" s="16"/>
      <c r="C112" s="36"/>
      <c r="D112" s="3"/>
      <c r="E112" s="13">
        <f t="shared" si="3"/>
        <v>0</v>
      </c>
      <c r="F112" s="3">
        <v>112893.02705692685</v>
      </c>
      <c r="G112" s="36">
        <v>2.8099056650786883E-2</v>
      </c>
      <c r="H112" s="3">
        <f>H131*0.0280990566507869</f>
        <v>45.282753754984</v>
      </c>
      <c r="I112" s="12">
        <f t="shared" si="4"/>
        <v>112938.30981068184</v>
      </c>
      <c r="J112" s="3"/>
      <c r="K112" s="23">
        <f t="shared" si="5"/>
        <v>112938.30981068184</v>
      </c>
    </row>
    <row r="113" spans="1:13">
      <c r="A113" t="s">
        <v>77</v>
      </c>
      <c r="B113" s="16">
        <v>3914.5846666666675</v>
      </c>
      <c r="C113" s="36">
        <v>8.8888888888888904E-4</v>
      </c>
      <c r="D113" s="3">
        <f>D131*0.000888888888888889</f>
        <v>1.6817866666664683</v>
      </c>
      <c r="E113" s="12">
        <f t="shared" si="3"/>
        <v>3916.2664533333341</v>
      </c>
      <c r="F113" s="3">
        <v>3571.2714000000005</v>
      </c>
      <c r="G113" s="36">
        <v>8.8888888888888904E-4</v>
      </c>
      <c r="H113" s="3">
        <f>H131*0.000888888888888889</f>
        <v>1.4324799999992055</v>
      </c>
      <c r="I113" s="12">
        <f t="shared" si="4"/>
        <v>3572.7038799999996</v>
      </c>
      <c r="J113" s="3"/>
      <c r="K113" s="23">
        <f t="shared" si="5"/>
        <v>7488.9703333333337</v>
      </c>
    </row>
    <row r="114" spans="1:13">
      <c r="A114" t="s">
        <v>90</v>
      </c>
      <c r="B114" s="16"/>
      <c r="C114" s="36"/>
      <c r="D114" s="3"/>
      <c r="E114" s="13">
        <f t="shared" si="3"/>
        <v>0</v>
      </c>
      <c r="F114" s="3">
        <v>3571.2714000000005</v>
      </c>
      <c r="G114" s="36">
        <v>8.8888888888888904E-4</v>
      </c>
      <c r="H114" s="3">
        <f>H131*0.000888888888888889</f>
        <v>1.4324799999992055</v>
      </c>
      <c r="I114" s="12">
        <f t="shared" si="4"/>
        <v>3572.7038799999996</v>
      </c>
      <c r="J114" s="3"/>
      <c r="K114" s="23">
        <f t="shared" si="5"/>
        <v>3572.7038799999996</v>
      </c>
    </row>
    <row r="115" spans="1:13">
      <c r="A115" t="s">
        <v>91</v>
      </c>
      <c r="B115" s="16"/>
      <c r="C115" s="36"/>
      <c r="D115" s="3"/>
      <c r="E115" s="12">
        <f t="shared" si="3"/>
        <v>0</v>
      </c>
      <c r="F115" s="3">
        <v>3571.2714000000005</v>
      </c>
      <c r="G115" s="36">
        <v>8.8888888888888904E-4</v>
      </c>
      <c r="H115" s="3">
        <f>H131*0.000888888888888889</f>
        <v>1.4324799999992055</v>
      </c>
      <c r="I115" s="12">
        <f t="shared" si="4"/>
        <v>3572.7038799999996</v>
      </c>
      <c r="J115" s="3"/>
      <c r="K115" s="23">
        <f t="shared" si="5"/>
        <v>3572.7038799999996</v>
      </c>
    </row>
    <row r="116" spans="1:13">
      <c r="A116" t="s">
        <v>78</v>
      </c>
      <c r="B116" s="16">
        <v>10702.225517507572</v>
      </c>
      <c r="C116" s="36">
        <v>2.4301656903479804E-3</v>
      </c>
      <c r="D116" s="3">
        <f>D131*0.00243016569034798</f>
        <v>4.5978977877947385</v>
      </c>
      <c r="E116" s="13">
        <f t="shared" si="3"/>
        <v>10706.823415295366</v>
      </c>
      <c r="F116" s="3">
        <v>8928.1785000000018</v>
      </c>
      <c r="G116" s="36">
        <v>2.2222222222222227E-3</v>
      </c>
      <c r="H116" s="3">
        <f>H131*0.00222222222222222</f>
        <v>3.5811999999980095</v>
      </c>
      <c r="I116" s="12">
        <f t="shared" si="4"/>
        <v>8931.7597000000005</v>
      </c>
      <c r="J116" s="3"/>
      <c r="K116" s="23">
        <f t="shared" si="5"/>
        <v>19638.583115295369</v>
      </c>
    </row>
    <row r="117" spans="1:13">
      <c r="A117" t="s">
        <v>79</v>
      </c>
      <c r="B117" s="16">
        <v>9786.461666666668</v>
      </c>
      <c r="C117" s="36">
        <v>2.2222222222222227E-3</v>
      </c>
      <c r="D117" s="3">
        <f>D131*0.00222222222222222</f>
        <v>4.2044666666661659</v>
      </c>
      <c r="E117" s="12">
        <f t="shared" si="3"/>
        <v>9790.6661333333341</v>
      </c>
      <c r="F117" s="3">
        <v>8928.1785000000018</v>
      </c>
      <c r="G117" s="36">
        <v>2.2222222222222227E-3</v>
      </c>
      <c r="H117" s="3">
        <f>H131*0.00222222222222222</f>
        <v>3.5811999999980095</v>
      </c>
      <c r="I117" s="12">
        <f t="shared" si="4"/>
        <v>8931.7597000000005</v>
      </c>
      <c r="J117" s="3"/>
      <c r="K117" s="23">
        <f t="shared" si="5"/>
        <v>18722.425833333335</v>
      </c>
    </row>
    <row r="118" spans="1:13">
      <c r="A118" t="s">
        <v>80</v>
      </c>
      <c r="B118" s="16">
        <v>9786.461666666668</v>
      </c>
      <c r="C118" s="36">
        <v>2.2222222222222227E-3</v>
      </c>
      <c r="D118" s="3">
        <f>D131*0.00222222222222222</f>
        <v>4.2044666666661659</v>
      </c>
      <c r="E118" s="13">
        <f t="shared" si="3"/>
        <v>9790.6661333333341</v>
      </c>
      <c r="F118" s="3">
        <v>8928.1785000000018</v>
      </c>
      <c r="G118" s="36">
        <v>2.2222222222222227E-3</v>
      </c>
      <c r="H118" s="3">
        <f>H131*0.00222222222222222</f>
        <v>3.5811999999980095</v>
      </c>
      <c r="I118" s="12">
        <f t="shared" si="4"/>
        <v>8931.7597000000005</v>
      </c>
      <c r="J118" s="3"/>
      <c r="K118" s="23">
        <f t="shared" si="5"/>
        <v>18722.425833333335</v>
      </c>
    </row>
    <row r="119" spans="1:13">
      <c r="A119" t="s">
        <v>81</v>
      </c>
      <c r="B119" s="16">
        <v>3914.5846666666675</v>
      </c>
      <c r="C119" s="36">
        <v>8.8888888888888904E-4</v>
      </c>
      <c r="D119" s="3">
        <f>D131*0.000888888888888889</f>
        <v>1.6817866666664683</v>
      </c>
      <c r="E119" s="12">
        <f t="shared" si="3"/>
        <v>3916.2664533333341</v>
      </c>
      <c r="F119" s="3">
        <v>3571.2714000000005</v>
      </c>
      <c r="G119" s="36">
        <v>8.8888888888888904E-4</v>
      </c>
      <c r="H119" s="3">
        <f>H131*0.000888888888888889</f>
        <v>1.4324799999992055</v>
      </c>
      <c r="I119" s="12">
        <f t="shared" si="4"/>
        <v>3572.7038799999996</v>
      </c>
      <c r="J119" s="3"/>
      <c r="K119" s="23">
        <f t="shared" si="5"/>
        <v>7488.9703333333337</v>
      </c>
    </row>
    <row r="120" spans="1:13">
      <c r="A120" t="s">
        <v>82</v>
      </c>
      <c r="B120" s="16">
        <v>14118.032697678056</v>
      </c>
      <c r="C120" s="36">
        <v>3.2057966467799095E-3</v>
      </c>
      <c r="D120" s="3">
        <f>D131*0.00320579664677991</f>
        <v>6.0653993136733408</v>
      </c>
      <c r="E120" s="13">
        <f t="shared" si="3"/>
        <v>14124.098096991729</v>
      </c>
      <c r="F120" s="3">
        <v>11863.840382774959</v>
      </c>
      <c r="G120" s="36">
        <v>2.9529080023993595E-3</v>
      </c>
      <c r="H120" s="3">
        <f>H131*0.00295290800239936</f>
        <v>4.7587293621840248</v>
      </c>
      <c r="I120" s="12">
        <f t="shared" si="4"/>
        <v>11868.599112137143</v>
      </c>
      <c r="J120" s="3"/>
      <c r="K120" s="23">
        <f t="shared" si="5"/>
        <v>25992.69720912887</v>
      </c>
    </row>
    <row r="121" spans="1:13">
      <c r="A121" t="s">
        <v>83</v>
      </c>
      <c r="B121" s="16">
        <v>3914.5846666666675</v>
      </c>
      <c r="C121" s="36">
        <v>8.8888888888888904E-4</v>
      </c>
      <c r="D121" s="3">
        <f>D131*0.000888888888888889</f>
        <v>1.6817866666664683</v>
      </c>
      <c r="E121" s="12">
        <f t="shared" si="3"/>
        <v>3916.2664533333341</v>
      </c>
      <c r="F121" s="3">
        <v>3571.2714000000005</v>
      </c>
      <c r="G121" s="36">
        <v>8.8888888888888904E-4</v>
      </c>
      <c r="H121" s="3">
        <f>H131*0.000888888888888889</f>
        <v>1.4324799999992055</v>
      </c>
      <c r="I121" s="12">
        <f t="shared" si="4"/>
        <v>3572.7038799999996</v>
      </c>
      <c r="J121" s="3"/>
      <c r="K121" s="23">
        <f t="shared" si="5"/>
        <v>7488.9703333333337</v>
      </c>
    </row>
    <row r="122" spans="1:13">
      <c r="A122" t="s">
        <v>84</v>
      </c>
      <c r="B122" s="16">
        <v>3914.5846666666675</v>
      </c>
      <c r="C122" s="36">
        <v>8.8888888888888904E-4</v>
      </c>
      <c r="D122" s="3">
        <f>D131*0.000888888888888889</f>
        <v>1.6817866666664683</v>
      </c>
      <c r="E122" s="13">
        <f t="shared" si="3"/>
        <v>3916.2664533333341</v>
      </c>
      <c r="F122" s="3">
        <v>3571.2714000000005</v>
      </c>
      <c r="G122" s="36">
        <v>8.8888888888888904E-4</v>
      </c>
      <c r="H122" s="3">
        <f>H131*0.000888888888888889</f>
        <v>1.4324799999992055</v>
      </c>
      <c r="I122" s="12">
        <f t="shared" si="4"/>
        <v>3572.7038799999996</v>
      </c>
      <c r="J122" s="3"/>
      <c r="K122" s="23">
        <f t="shared" si="5"/>
        <v>7488.9703333333337</v>
      </c>
    </row>
    <row r="123" spans="1:13">
      <c r="A123" t="s">
        <v>85</v>
      </c>
      <c r="B123" s="17">
        <v>3914.5846666666675</v>
      </c>
      <c r="C123" s="37">
        <v>8.8888888888888904E-4</v>
      </c>
      <c r="D123" s="6">
        <f>D131*0.000888888888888889</f>
        <v>1.6817866666664683</v>
      </c>
      <c r="E123" s="14">
        <f t="shared" si="3"/>
        <v>3916.2664533333341</v>
      </c>
      <c r="F123" s="6">
        <v>3571.2714000000005</v>
      </c>
      <c r="G123" s="37">
        <v>8.8888888888888904E-4</v>
      </c>
      <c r="H123" s="6">
        <f>H131*0.000888888888888889</f>
        <v>1.4324799999992055</v>
      </c>
      <c r="I123" s="14">
        <f t="shared" si="4"/>
        <v>3572.7038799999996</v>
      </c>
      <c r="J123" s="6"/>
      <c r="K123" s="24">
        <f t="shared" si="5"/>
        <v>7488.9703333333337</v>
      </c>
    </row>
    <row r="124" spans="1:13">
      <c r="A124" s="41" t="s">
        <v>138</v>
      </c>
      <c r="B124" s="16">
        <f>SUM(B88:B123)</f>
        <v>378320.41219828051</v>
      </c>
      <c r="C124" s="43">
        <f>SUM(C88:C123)*0.75</f>
        <v>6.4429212702902361E-2</v>
      </c>
      <c r="D124" s="3">
        <f t="shared" ref="D124:K124" si="7">SUM(D88:D123)</f>
        <v>162.53428630133843</v>
      </c>
      <c r="E124" s="12">
        <f t="shared" si="7"/>
        <v>378482.94648458163</v>
      </c>
      <c r="F124" s="3">
        <f t="shared" si="7"/>
        <v>468793.66965573054</v>
      </c>
      <c r="G124" s="43">
        <f>SUM(G88:G123)*0.75</f>
        <v>8.7512002897293148E-2</v>
      </c>
      <c r="H124" s="3">
        <f t="shared" si="7"/>
        <v>188.03879086536736</v>
      </c>
      <c r="I124" s="12">
        <f t="shared" si="7"/>
        <v>468981.70844659558</v>
      </c>
      <c r="J124" s="3">
        <f t="shared" si="7"/>
        <v>0</v>
      </c>
      <c r="K124" s="23">
        <f t="shared" si="7"/>
        <v>847464.65493117773</v>
      </c>
    </row>
    <row r="125" spans="1:13">
      <c r="A125" s="40" t="s">
        <v>271</v>
      </c>
      <c r="B125" s="16"/>
      <c r="C125" s="43"/>
      <c r="D125" s="3"/>
      <c r="E125" s="12"/>
      <c r="F125" s="3"/>
      <c r="G125" s="43"/>
      <c r="H125" s="3"/>
      <c r="I125" s="12"/>
      <c r="J125" s="3"/>
      <c r="K125" s="23"/>
    </row>
    <row r="126" spans="1:13" ht="15.75" thickBot="1">
      <c r="A126" s="5" t="s">
        <v>3</v>
      </c>
      <c r="B126" s="19">
        <f>B124+B86+B74+B5</f>
        <v>5871877</v>
      </c>
      <c r="C126" s="38">
        <v>1</v>
      </c>
      <c r="D126" s="18">
        <f t="shared" ref="D126:H126" si="8">SUM(D2:D123)</f>
        <v>4882.8257136980601</v>
      </c>
      <c r="E126" s="30">
        <f>E124+E86+E74+E5</f>
        <v>5874399.6800000006</v>
      </c>
      <c r="F126" s="18">
        <f>F124+F86+F74+F5</f>
        <v>5356907.0999999996</v>
      </c>
      <c r="G126" s="38">
        <v>1</v>
      </c>
      <c r="H126" s="18">
        <f t="shared" si="8"/>
        <v>4109.4012091322456</v>
      </c>
      <c r="I126" s="30">
        <f>I124+I86+I74+I5</f>
        <v>5359055.8199999984</v>
      </c>
      <c r="J126" s="31">
        <f>J74</f>
        <v>5781184.8639999963</v>
      </c>
      <c r="K126" s="28">
        <f>E126+I126+J126</f>
        <v>17014640.363999996</v>
      </c>
      <c r="M126" s="18">
        <f>SUM(M7:M73)</f>
        <v>52400993.090279818</v>
      </c>
    </row>
    <row r="127" spans="1:13" ht="15" thickTop="1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3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2:11">
      <c r="B129" s="3"/>
      <c r="C129" s="3"/>
      <c r="D129" s="6" t="s">
        <v>123</v>
      </c>
      <c r="E129" s="3"/>
      <c r="F129" s="3"/>
      <c r="G129" s="3"/>
      <c r="H129" s="6" t="s">
        <v>124</v>
      </c>
      <c r="I129" s="3"/>
      <c r="J129" s="3"/>
      <c r="K129" s="3"/>
    </row>
    <row r="130" spans="2:11">
      <c r="B130" s="10"/>
      <c r="C130" s="10" t="s">
        <v>3</v>
      </c>
      <c r="D130" s="3">
        <f>47837668.46-47835145.78</f>
        <v>2522.679999999702</v>
      </c>
      <c r="E130" s="3"/>
      <c r="F130" s="10"/>
      <c r="G130" s="10" t="s">
        <v>3</v>
      </c>
      <c r="H130" s="3">
        <f>38541271.72-38539123</f>
        <v>2148.7199999988079</v>
      </c>
      <c r="I130" s="3"/>
      <c r="J130" s="3"/>
      <c r="K130" s="3"/>
    </row>
    <row r="131" spans="2:11">
      <c r="B131" s="9"/>
      <c r="C131" s="9">
        <v>0.75</v>
      </c>
      <c r="D131" s="3">
        <f>0.75*D130</f>
        <v>1892.0099999997765</v>
      </c>
      <c r="E131" s="3"/>
      <c r="F131" s="9"/>
      <c r="G131" s="9">
        <v>0.75</v>
      </c>
      <c r="H131" s="3">
        <f>0.75*H130</f>
        <v>1611.5399999991059</v>
      </c>
      <c r="I131" s="3"/>
      <c r="J131" s="3"/>
      <c r="K131" s="3"/>
    </row>
    <row r="132" spans="2:11">
      <c r="B132" s="9"/>
      <c r="C132" s="9">
        <v>0.25</v>
      </c>
      <c r="D132" s="3">
        <f>0.25*D130</f>
        <v>630.66999999992549</v>
      </c>
      <c r="E132" s="3"/>
      <c r="F132" s="9"/>
      <c r="G132" s="9">
        <v>0.25</v>
      </c>
      <c r="H132" s="3">
        <f>0.25*H130</f>
        <v>537.17999999970198</v>
      </c>
      <c r="I132" s="3"/>
      <c r="J132" s="3"/>
      <c r="K132" s="3"/>
    </row>
    <row r="133" spans="2:11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2:11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2:11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2:11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2:11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2:11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2:11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2:11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2:1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2:11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2:11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2:11">
      <c r="B144" s="3"/>
      <c r="C144" s="3"/>
      <c r="D144" s="3"/>
      <c r="E144" s="3"/>
      <c r="F144" s="3"/>
      <c r="G144" s="3"/>
      <c r="H144" s="3"/>
      <c r="I144" s="3"/>
      <c r="J144" s="3"/>
      <c r="K144" s="3"/>
    </row>
  </sheetData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6AB42-BB44-4C76-92C4-6836E83C8ED4}">
  <sheetPr>
    <tabColor rgb="FFFFFF00"/>
  </sheetPr>
  <dimension ref="A1:P137"/>
  <sheetViews>
    <sheetView topLeftCell="A81" workbookViewId="0">
      <selection activeCell="E81" sqref="E81"/>
    </sheetView>
  </sheetViews>
  <sheetFormatPr defaultRowHeight="14.25"/>
  <cols>
    <col min="1" max="1" width="45.75" customWidth="1"/>
    <col min="2" max="2" width="13" customWidth="1"/>
    <col min="3" max="3" width="22.875" customWidth="1"/>
    <col min="4" max="4" width="18.375" customWidth="1"/>
    <col min="5" max="5" width="19.25" customWidth="1"/>
    <col min="6" max="6" width="22" customWidth="1"/>
    <col min="7" max="7" width="22.75" customWidth="1"/>
    <col min="8" max="8" width="22" customWidth="1"/>
    <col min="9" max="9" width="21.625" customWidth="1"/>
    <col min="10" max="10" width="20.125" customWidth="1"/>
    <col min="11" max="11" width="24.25" customWidth="1"/>
    <col min="12" max="12" width="22.125" customWidth="1"/>
    <col min="13" max="13" width="26" customWidth="1"/>
    <col min="14" max="14" width="21.625" customWidth="1"/>
    <col min="15" max="15" width="12.875" customWidth="1"/>
    <col min="16" max="16" width="29.25" customWidth="1"/>
  </cols>
  <sheetData>
    <row r="1" spans="1:16">
      <c r="A1" t="s">
        <v>139</v>
      </c>
      <c r="B1" t="s">
        <v>140</v>
      </c>
      <c r="C1" s="45" t="s">
        <v>141</v>
      </c>
      <c r="D1" s="45" t="s">
        <v>142</v>
      </c>
      <c r="E1" s="45" t="s">
        <v>143</v>
      </c>
      <c r="F1" s="45" t="s">
        <v>144</v>
      </c>
      <c r="G1" s="45" t="s">
        <v>145</v>
      </c>
      <c r="H1" s="45" t="s">
        <v>146</v>
      </c>
      <c r="I1" s="45" t="s">
        <v>147</v>
      </c>
      <c r="J1" s="45" t="s">
        <v>148</v>
      </c>
      <c r="K1" s="66" t="s">
        <v>281</v>
      </c>
      <c r="L1" t="s">
        <v>149</v>
      </c>
      <c r="M1" t="s">
        <v>274</v>
      </c>
      <c r="N1" t="s">
        <v>275</v>
      </c>
      <c r="O1" t="s">
        <v>270</v>
      </c>
      <c r="P1" t="s">
        <v>273</v>
      </c>
    </row>
    <row r="2" spans="1:16">
      <c r="A2" t="s">
        <v>150</v>
      </c>
      <c r="B2">
        <v>1</v>
      </c>
      <c r="C2" s="46">
        <v>179137.48344551932</v>
      </c>
      <c r="D2" s="46">
        <v>19763.49772772516</v>
      </c>
      <c r="E2" s="46">
        <v>39145.846666666672</v>
      </c>
      <c r="F2" s="46">
        <v>35712.714000000007</v>
      </c>
      <c r="G2" s="46"/>
      <c r="H2" s="46"/>
      <c r="I2" s="46">
        <v>9827.2589811014404</v>
      </c>
      <c r="J2" s="46"/>
      <c r="K2" s="46"/>
      <c r="L2" s="46">
        <f>SUM(Table1137[[#This Row],[County Payment]:[Reductions/ COPA Bonus]])</f>
        <v>283586.80082101258</v>
      </c>
      <c r="M2" s="46">
        <f>+Table1137[[#This Row],[Total Payment 4]]-Table1137[[#This Row],[MNK Litigating Payment]]-Table1137[[#This Row],[MNK County Payment]]</f>
        <v>253996.04411218598</v>
      </c>
      <c r="N2" s="44">
        <f>+Table1137[[#This Row],[Total Payment  Less MNK]]/86374268.64</f>
        <v>2.9406448021090411E-3</v>
      </c>
      <c r="O2" s="46">
        <f>+Table1137[[#This Row],[Percentage of Total]]*4660</f>
        <v>13.703404777828132</v>
      </c>
      <c r="P2" s="46">
        <f>+Table1137[[#This Row],[Total Payment 4]]+Table1137[[#This Row],[Interest]]</f>
        <v>283600.50422579038</v>
      </c>
    </row>
    <row r="3" spans="1:16">
      <c r="A3" t="s">
        <v>151</v>
      </c>
      <c r="B3">
        <v>2</v>
      </c>
      <c r="C3" s="46">
        <v>6001106.1071520848</v>
      </c>
      <c r="D3" s="46">
        <v>662077.21930295078</v>
      </c>
      <c r="E3" s="46">
        <v>398296.81228561688</v>
      </c>
      <c r="F3" s="46">
        <v>334701.71851222572</v>
      </c>
      <c r="G3" s="46"/>
      <c r="H3" s="46"/>
      <c r="I3" s="46">
        <v>118339.11606967493</v>
      </c>
      <c r="J3" s="46"/>
      <c r="K3" s="47"/>
      <c r="L3" s="46">
        <f>SUM(Table1137[[#This Row],[County Payment]:[Reductions/ COPA Bonus]])</f>
        <v>7514520.9733225526</v>
      </c>
      <c r="M3" s="46">
        <f>+Table1137[[#This Row],[Total Payment 4]]-Table1137[[#This Row],[MNK Litigating Payment]]-Table1137[[#This Row],[MNK County Payment]]</f>
        <v>6734104.6379499277</v>
      </c>
      <c r="N3" s="44">
        <f>+Table1137[[#This Row],[Total Payment  Less MNK]]/86374268.64</f>
        <v>7.796424495374954E-2</v>
      </c>
      <c r="O3" s="46">
        <f>+Table1137[[#This Row],[Percentage of Total]]*4660</f>
        <v>363.31338148447287</v>
      </c>
      <c r="P3" s="46">
        <f>+Table1137[[#This Row],[Total Payment 4]]+Table1137[[#This Row],[Interest]]</f>
        <v>7514884.2867040373</v>
      </c>
    </row>
    <row r="4" spans="1:16">
      <c r="A4" t="s">
        <v>152</v>
      </c>
      <c r="B4">
        <v>3</v>
      </c>
      <c r="C4" s="46">
        <v>315573.61744267523</v>
      </c>
      <c r="D4" s="46">
        <v>34815.932161708166</v>
      </c>
      <c r="E4" s="46">
        <v>20879.579218425773</v>
      </c>
      <c r="F4" s="46">
        <v>17856.357000000004</v>
      </c>
      <c r="G4" s="46"/>
      <c r="H4" s="46"/>
      <c r="I4" s="46"/>
      <c r="J4" s="46"/>
      <c r="K4" s="46"/>
      <c r="L4" s="46">
        <f>SUM(Table1137[[#This Row],[County Payment]:[Reductions/ COPA Bonus]])</f>
        <v>389125.48582280922</v>
      </c>
      <c r="M4" s="46">
        <f>+Table1137[[#This Row],[Total Payment 4]]-Table1137[[#This Row],[MNK Litigating Payment]]-Table1137[[#This Row],[MNK County Payment]]</f>
        <v>354309.55366110103</v>
      </c>
      <c r="N4" s="44">
        <f>+Table1137[[#This Row],[Total Payment  Less MNK]]/86374268.64</f>
        <v>4.1020266711354813E-3</v>
      </c>
      <c r="O4" s="46">
        <f>+Table1137[[#This Row],[Percentage of Total]]*4660</f>
        <v>19.115444287491343</v>
      </c>
      <c r="P4" s="46">
        <f>+Table1137[[#This Row],[Total Payment 4]]+Table1137[[#This Row],[Interest]]</f>
        <v>389144.6012670967</v>
      </c>
    </row>
    <row r="5" spans="1:16">
      <c r="A5" t="s">
        <v>153</v>
      </c>
      <c r="B5">
        <v>4</v>
      </c>
      <c r="C5" s="46">
        <v>663433.60827273701</v>
      </c>
      <c r="D5" s="46">
        <v>73193.886379353964</v>
      </c>
      <c r="E5" s="46">
        <v>53574.825623531717</v>
      </c>
      <c r="F5" s="46">
        <v>45020.662109467819</v>
      </c>
      <c r="G5" s="46"/>
      <c r="H5" s="46"/>
      <c r="I5" s="46"/>
      <c r="J5" s="46"/>
      <c r="K5" s="46"/>
      <c r="L5" s="46">
        <f>SUM(Table1137[[#This Row],[County Payment]:[Reductions/ COPA Bonus]])</f>
        <v>835222.98238509044</v>
      </c>
      <c r="M5" s="46">
        <f>+Table1137[[#This Row],[Total Payment 4]]-Table1137[[#This Row],[MNK Litigating Payment]]-Table1137[[#This Row],[MNK County Payment]]</f>
        <v>762029.0960057365</v>
      </c>
      <c r="N5" s="44">
        <f>+Table1137[[#This Row],[Total Payment  Less MNK]]/86374268.64</f>
        <v>8.8224086641104146E-3</v>
      </c>
      <c r="O5" s="46">
        <f>+Table1137[[#This Row],[Percentage of Total]]*4660</f>
        <v>41.112424374754532</v>
      </c>
      <c r="P5" s="46">
        <f>+Table1137[[#This Row],[Total Payment 4]]+Table1137[[#This Row],[Interest]]</f>
        <v>835264.09480946523</v>
      </c>
    </row>
    <row r="6" spans="1:16">
      <c r="A6" t="s">
        <v>154</v>
      </c>
      <c r="B6">
        <v>5</v>
      </c>
      <c r="C6" s="46">
        <v>99983.755213480865</v>
      </c>
      <c r="D6" s="46">
        <v>11030.794231136015</v>
      </c>
      <c r="E6" s="46">
        <v>15152.807292398233</v>
      </c>
      <c r="F6" s="46">
        <v>12733.395007473475</v>
      </c>
      <c r="G6" s="46"/>
      <c r="H6" s="46"/>
      <c r="I6" s="46">
        <v>4502.0943317785241</v>
      </c>
      <c r="J6" s="46"/>
      <c r="K6" s="46"/>
      <c r="L6" s="46">
        <f>SUM(Table1137[[#This Row],[County Payment]:[Reductions/ COPA Bonus]])</f>
        <v>143402.8460762671</v>
      </c>
      <c r="M6" s="46">
        <f>+Table1137[[#This Row],[Total Payment 4]]-Table1137[[#This Row],[MNK Litigating Payment]]-Table1137[[#This Row],[MNK County Payment]]</f>
        <v>127869.95751335257</v>
      </c>
      <c r="N6" s="44">
        <f>+Table1137[[#This Row],[Total Payment  Less MNK]]/86374268.64</f>
        <v>1.4804172530398234E-3</v>
      </c>
      <c r="O6" s="46">
        <f>+Table1137[[#This Row],[Percentage of Total]]*4660</f>
        <v>6.8987443991655768</v>
      </c>
      <c r="P6" s="46">
        <f>+Table1137[[#This Row],[Total Payment 4]]+Table1137[[#This Row],[Interest]]</f>
        <v>143409.74482066627</v>
      </c>
    </row>
    <row r="7" spans="1:16">
      <c r="A7" t="s">
        <v>155</v>
      </c>
      <c r="B7">
        <v>6</v>
      </c>
      <c r="C7" s="46">
        <v>984735.47377787286</v>
      </c>
      <c r="D7" s="46">
        <v>108641.79246069529</v>
      </c>
      <c r="E7" s="46"/>
      <c r="F7" s="46"/>
      <c r="G7" s="46"/>
      <c r="H7" s="46"/>
      <c r="I7" s="46">
        <v>40580.924650332898</v>
      </c>
      <c r="J7" s="46"/>
      <c r="K7" s="46"/>
      <c r="L7" s="46">
        <f>SUM(Table1137[[#This Row],[County Payment]:[Reductions/ COPA Bonus]])</f>
        <v>1133958.190888901</v>
      </c>
      <c r="M7" s="46">
        <f>+Table1137[[#This Row],[Total Payment 4]]-Table1137[[#This Row],[MNK Litigating Payment]]-Table1137[[#This Row],[MNK County Payment]]</f>
        <v>984735.47377787286</v>
      </c>
      <c r="N7" s="44">
        <f>+Table1137[[#This Row],[Total Payment  Less MNK]]/86374268.64</f>
        <v>1.1400796664133385E-2</v>
      </c>
      <c r="O7" s="46">
        <f>+Table1137[[#This Row],[Percentage of Total]]*4660</f>
        <v>53.127712454861573</v>
      </c>
      <c r="P7" s="46">
        <f>+Table1137[[#This Row],[Total Payment 4]]+Table1137[[#This Row],[Interest]]</f>
        <v>1134011.3186013559</v>
      </c>
    </row>
    <row r="8" spans="1:16">
      <c r="A8" t="s">
        <v>156</v>
      </c>
      <c r="B8">
        <v>7</v>
      </c>
      <c r="C8" s="46">
        <v>420244.10065467242</v>
      </c>
      <c r="D8" s="46">
        <v>46363.793711015562</v>
      </c>
      <c r="E8" s="46"/>
      <c r="F8" s="46"/>
      <c r="G8" s="46"/>
      <c r="H8" s="46"/>
      <c r="I8" s="46"/>
      <c r="J8" s="46"/>
      <c r="K8" s="46"/>
      <c r="L8" s="46">
        <f>SUM(Table1137[[#This Row],[County Payment]:[Reductions/ COPA Bonus]])</f>
        <v>466607.89436568797</v>
      </c>
      <c r="M8" s="46">
        <f>+Table1137[[#This Row],[Total Payment 4]]-Table1137[[#This Row],[MNK Litigating Payment]]-Table1137[[#This Row],[MNK County Payment]]</f>
        <v>420244.10065467242</v>
      </c>
      <c r="N8" s="44">
        <f>+Table1137[[#This Row],[Total Payment  Less MNK]]/86374268.64</f>
        <v>4.865385343014725E-3</v>
      </c>
      <c r="O8" s="46">
        <f>+Table1137[[#This Row],[Percentage of Total]]*4660</f>
        <v>22.672695698448617</v>
      </c>
      <c r="P8" s="46">
        <f>+Table1137[[#This Row],[Total Payment 4]]+Table1137[[#This Row],[Interest]]</f>
        <v>466630.56706138642</v>
      </c>
    </row>
    <row r="9" spans="1:16">
      <c r="A9" t="s">
        <v>157</v>
      </c>
      <c r="B9">
        <v>8</v>
      </c>
      <c r="C9" s="46">
        <v>117168.42454137413</v>
      </c>
      <c r="D9" s="46">
        <v>12926.70773109772</v>
      </c>
      <c r="E9" s="46">
        <v>19572.923333333336</v>
      </c>
      <c r="F9" s="46">
        <v>8928.1785000000018</v>
      </c>
      <c r="G9" s="46"/>
      <c r="H9" s="46"/>
      <c r="I9" s="46"/>
      <c r="J9" s="46"/>
      <c r="K9" s="46"/>
      <c r="L9" s="46">
        <f>SUM(Table1137[[#This Row],[County Payment]:[Reductions/ COPA Bonus]])</f>
        <v>158596.2341058052</v>
      </c>
      <c r="M9" s="46">
        <f>+Table1137[[#This Row],[Total Payment 4]]-Table1137[[#This Row],[MNK Litigating Payment]]-Table1137[[#This Row],[MNK County Payment]]</f>
        <v>145669.52637470746</v>
      </c>
      <c r="N9" s="44">
        <f>+Table1137[[#This Row],[Total Payment  Less MNK]]/86374268.64</f>
        <v>1.6864921540678353E-3</v>
      </c>
      <c r="O9" s="46">
        <f>+Table1137[[#This Row],[Percentage of Total]]*4660</f>
        <v>7.8590534379561126</v>
      </c>
      <c r="P9" s="46">
        <f>+Table1137[[#This Row],[Total Payment 4]]+Table1137[[#This Row],[Interest]]</f>
        <v>158604.09315924314</v>
      </c>
    </row>
    <row r="10" spans="1:16">
      <c r="A10" t="s">
        <v>158</v>
      </c>
      <c r="B10">
        <v>9</v>
      </c>
      <c r="C10" s="46">
        <v>3021903.7283002241</v>
      </c>
      <c r="D10" s="46">
        <v>333394.14129834645</v>
      </c>
      <c r="E10" s="46">
        <v>205916.0039769756</v>
      </c>
      <c r="F10" s="46">
        <v>173037.89102595553</v>
      </c>
      <c r="G10" s="46"/>
      <c r="H10" s="46"/>
      <c r="I10" s="46">
        <v>61180.298570305473</v>
      </c>
      <c r="J10" s="46"/>
      <c r="K10" s="46"/>
      <c r="L10" s="46">
        <f>SUM(Table1137[[#This Row],[County Payment]:[Reductions/ COPA Bonus]])</f>
        <v>3795432.0631718067</v>
      </c>
      <c r="M10" s="46">
        <f>+Table1137[[#This Row],[Total Payment 4]]-Table1137[[#This Row],[MNK Litigating Payment]]-Table1137[[#This Row],[MNK County Payment]]</f>
        <v>3400857.6233031545</v>
      </c>
      <c r="N10" s="44">
        <f>+Table1137[[#This Row],[Total Payment  Less MNK]]/86374268.64</f>
        <v>3.9373504133246161E-2</v>
      </c>
      <c r="O10" s="46">
        <f>+Table1137[[#This Row],[Percentage of Total]]*4660</f>
        <v>183.48052926092711</v>
      </c>
      <c r="P10" s="46">
        <f>+Table1137[[#This Row],[Total Payment 4]]+Table1137[[#This Row],[Interest]]</f>
        <v>3795615.5437010676</v>
      </c>
    </row>
    <row r="11" spans="1:16">
      <c r="A11" t="s">
        <v>159</v>
      </c>
      <c r="B11">
        <v>10</v>
      </c>
      <c r="C11" s="46">
        <v>712904.72584750527</v>
      </c>
      <c r="D11" s="46">
        <v>78651.830194191061</v>
      </c>
      <c r="E11" s="46"/>
      <c r="F11" s="46"/>
      <c r="G11" s="46"/>
      <c r="H11" s="46"/>
      <c r="I11" s="46"/>
      <c r="J11" s="46"/>
      <c r="K11" s="46"/>
      <c r="L11" s="46">
        <f>SUM(Table1137[[#This Row],[County Payment]:[Reductions/ COPA Bonus]])</f>
        <v>791556.55604169634</v>
      </c>
      <c r="M11" s="46">
        <f>+Table1137[[#This Row],[Total Payment 4]]-Table1137[[#This Row],[MNK Litigating Payment]]-Table1137[[#This Row],[MNK County Payment]]</f>
        <v>712904.72584750527</v>
      </c>
      <c r="N11" s="44">
        <f>+Table1137[[#This Row],[Total Payment  Less MNK]]/86374268.64</f>
        <v>8.2536701852588355E-3</v>
      </c>
      <c r="O11" s="46">
        <f>+Table1137[[#This Row],[Percentage of Total]]*4660</f>
        <v>38.462103063306174</v>
      </c>
      <c r="P11" s="46">
        <f>+Table1137[[#This Row],[Total Payment 4]]+Table1137[[#This Row],[Interest]]</f>
        <v>791595.0181447597</v>
      </c>
    </row>
    <row r="12" spans="1:16">
      <c r="A12" t="s">
        <v>160</v>
      </c>
      <c r="B12">
        <v>11</v>
      </c>
      <c r="C12" s="46">
        <v>826427.94245430746</v>
      </c>
      <c r="D12" s="46">
        <v>91176.377208579215</v>
      </c>
      <c r="E12" s="46">
        <v>42509.521300859175</v>
      </c>
      <c r="F12" s="46">
        <v>35712.714000000007</v>
      </c>
      <c r="G12" s="46"/>
      <c r="H12" s="46"/>
      <c r="I12" s="46"/>
      <c r="J12" s="46"/>
      <c r="K12" s="46"/>
      <c r="L12" s="46">
        <f>SUM(Table1137[[#This Row],[County Payment]:[Reductions/ COPA Bonus]])</f>
        <v>995826.55496374588</v>
      </c>
      <c r="M12" s="46">
        <f>+Table1137[[#This Row],[Total Payment 4]]-Table1137[[#This Row],[MNK Litigating Payment]]-Table1137[[#This Row],[MNK County Payment]]</f>
        <v>904650.17775516666</v>
      </c>
      <c r="N12" s="44">
        <f>+Table1137[[#This Row],[Total Payment  Less MNK]]/86374268.64</f>
        <v>1.0473607383301447E-2</v>
      </c>
      <c r="O12" s="46">
        <f>+Table1137[[#This Row],[Percentage of Total]]*4660</f>
        <v>48.807010406184745</v>
      </c>
      <c r="P12" s="46">
        <f>+Table1137[[#This Row],[Total Payment 4]]+Table1137[[#This Row],[Interest]]</f>
        <v>995875.36197415204</v>
      </c>
    </row>
    <row r="13" spans="1:16">
      <c r="A13" t="s">
        <v>161</v>
      </c>
      <c r="B13">
        <v>12</v>
      </c>
      <c r="C13" s="46">
        <v>74859.488531894865</v>
      </c>
      <c r="D13" s="46">
        <v>8258.9377892467946</v>
      </c>
      <c r="E13" s="46"/>
      <c r="F13" s="46"/>
      <c r="G13" s="46"/>
      <c r="H13" s="46"/>
      <c r="I13" s="46"/>
      <c r="J13" s="46"/>
      <c r="K13" s="46"/>
      <c r="L13" s="46">
        <f>SUM(Table1137[[#This Row],[County Payment]:[Reductions/ COPA Bonus]])</f>
        <v>83118.426321141655</v>
      </c>
      <c r="M13" s="46">
        <f>+Table1137[[#This Row],[Total Payment 4]]-Table1137[[#This Row],[MNK Litigating Payment]]-Table1137[[#This Row],[MNK County Payment]]</f>
        <v>74859.488531894865</v>
      </c>
      <c r="N13" s="44">
        <f>+Table1137[[#This Row],[Total Payment  Less MNK]]/86374268.64</f>
        <v>8.6668737936181344E-4</v>
      </c>
      <c r="O13" s="46">
        <f>+Table1137[[#This Row],[Percentage of Total]]*4660</f>
        <v>4.038763187826051</v>
      </c>
      <c r="P13" s="46">
        <f>+Table1137[[#This Row],[Total Payment 4]]+Table1137[[#This Row],[Interest]]</f>
        <v>83122.46508432948</v>
      </c>
    </row>
    <row r="14" spans="1:16">
      <c r="A14" t="s">
        <v>7</v>
      </c>
      <c r="B14">
        <v>13</v>
      </c>
      <c r="C14" s="46">
        <v>335362.04950068484</v>
      </c>
      <c r="D14" s="46">
        <v>36999.108035855454</v>
      </c>
      <c r="E14" s="46">
        <v>20621.920662830635</v>
      </c>
      <c r="F14" s="46">
        <v>17856.357000000004</v>
      </c>
      <c r="G14" s="46">
        <v>73398.460000000006</v>
      </c>
      <c r="H14" s="46">
        <v>66961.34</v>
      </c>
      <c r="I14" s="46">
        <v>6127.0383985608096</v>
      </c>
      <c r="J14" s="46"/>
      <c r="K14" s="46"/>
      <c r="L14" s="46">
        <f>SUM(Table1137[[#This Row],[County Payment]:[Reductions/ COPA Bonus]])</f>
        <v>557326.27359793184</v>
      </c>
      <c r="M14" s="46">
        <f>+Table1137[[#This Row],[Total Payment 4]]-Table1137[[#This Row],[MNK Litigating Payment]]-Table1137[[#This Row],[MNK County Payment]]</f>
        <v>514200.12716351554</v>
      </c>
      <c r="N14" s="44">
        <f>+Table1137[[#This Row],[Total Payment  Less MNK]]/86374268.64</f>
        <v>5.9531633119425222E-3</v>
      </c>
      <c r="O14" s="46">
        <f>+Table1137[[#This Row],[Percentage of Total]]*4660</f>
        <v>27.741741033652154</v>
      </c>
      <c r="P14" s="46">
        <f>+Table1137[[#This Row],[Total Payment 4]]+Table1137[[#This Row],[Interest]]</f>
        <v>557354.01533896546</v>
      </c>
    </row>
    <row r="15" spans="1:16">
      <c r="A15" t="s">
        <v>162</v>
      </c>
      <c r="B15">
        <v>14</v>
      </c>
      <c r="C15" s="46">
        <v>130187.16333246742</v>
      </c>
      <c r="D15" s="46">
        <v>14363.011343087839</v>
      </c>
      <c r="E15" s="46"/>
      <c r="F15" s="46"/>
      <c r="G15" s="46"/>
      <c r="H15" s="46"/>
      <c r="I15" s="46"/>
      <c r="J15" s="46"/>
      <c r="K15" s="46"/>
      <c r="L15" s="46">
        <f>SUM(Table1137[[#This Row],[County Payment]:[Reductions/ COPA Bonus]])</f>
        <v>144550.17467555526</v>
      </c>
      <c r="M15" s="46">
        <f>+Table1137[[#This Row],[Total Payment 4]]-Table1137[[#This Row],[MNK Litigating Payment]]-Table1137[[#This Row],[MNK County Payment]]</f>
        <v>130187.16333246742</v>
      </c>
      <c r="N15" s="44">
        <f>+Table1137[[#This Row],[Total Payment  Less MNK]]/86374268.64</f>
        <v>1.5072447545121978E-3</v>
      </c>
      <c r="O15" s="46">
        <f>+Table1137[[#This Row],[Percentage of Total]]*4660</f>
        <v>7.0237605560268417</v>
      </c>
      <c r="P15" s="46">
        <f>+Table1137[[#This Row],[Total Payment 4]]+Table1137[[#This Row],[Interest]]</f>
        <v>144557.1984361113</v>
      </c>
    </row>
    <row r="16" spans="1:16">
      <c r="A16" t="s">
        <v>163</v>
      </c>
      <c r="B16">
        <v>15</v>
      </c>
      <c r="C16" s="46">
        <v>1161269.1944932756</v>
      </c>
      <c r="D16" s="46">
        <v>128118.02781423487</v>
      </c>
      <c r="E16" s="46">
        <v>170205.29254792054</v>
      </c>
      <c r="F16" s="46">
        <v>143029.02297599518</v>
      </c>
      <c r="G16" s="46"/>
      <c r="H16" s="46"/>
      <c r="I16" s="46">
        <v>50570.185974919739</v>
      </c>
      <c r="J16" s="46"/>
      <c r="K16" s="46"/>
      <c r="L16" s="46">
        <f>SUM(Table1137[[#This Row],[County Payment]:[Reductions/ COPA Bonus]])</f>
        <v>1653191.7238063458</v>
      </c>
      <c r="M16" s="46">
        <f>+Table1137[[#This Row],[Total Payment 4]]-Table1137[[#This Row],[MNK Litigating Payment]]-Table1137[[#This Row],[MNK County Payment]]</f>
        <v>1474503.5100171913</v>
      </c>
      <c r="N16" s="44">
        <f>+Table1137[[#This Row],[Total Payment  Less MNK]]/86374268.64</f>
        <v>1.7071096904597665E-2</v>
      </c>
      <c r="O16" s="46">
        <f>+Table1137[[#This Row],[Percentage of Total]]*4660</f>
        <v>79.551311575425117</v>
      </c>
      <c r="P16" s="46">
        <f>+Table1137[[#This Row],[Total Payment 4]]+Table1137[[#This Row],[Interest]]</f>
        <v>1653271.2751179212</v>
      </c>
    </row>
    <row r="17" spans="1:16">
      <c r="A17" t="s">
        <v>164</v>
      </c>
      <c r="B17">
        <v>16</v>
      </c>
      <c r="C17" s="46">
        <v>76550.040361410633</v>
      </c>
      <c r="D17" s="46">
        <v>8445.4493813413555</v>
      </c>
      <c r="E17" s="46">
        <v>11860.892792235798</v>
      </c>
      <c r="F17" s="46">
        <v>9967.0925756840443</v>
      </c>
      <c r="G17" s="46"/>
      <c r="H17" s="46"/>
      <c r="I17" s="46"/>
      <c r="J17" s="46"/>
      <c r="K17" s="46"/>
      <c r="L17" s="46">
        <f>SUM(Table1137[[#This Row],[County Payment]:[Reductions/ COPA Bonus]])</f>
        <v>106823.47511067183</v>
      </c>
      <c r="M17" s="46">
        <f>+Table1137[[#This Row],[Total Payment 4]]-Table1137[[#This Row],[MNK Litigating Payment]]-Table1137[[#This Row],[MNK County Payment]]</f>
        <v>98378.025729330475</v>
      </c>
      <c r="N17" s="44">
        <f>+Table1137[[#This Row],[Total Payment  Less MNK]]/86374268.64</f>
        <v>1.1389737624217812E-3</v>
      </c>
      <c r="O17" s="46">
        <f>+Table1137[[#This Row],[Percentage of Total]]*4660</f>
        <v>5.3076177328855003</v>
      </c>
      <c r="P17" s="46">
        <f>+Table1137[[#This Row],[Total Payment 4]]+Table1137[[#This Row],[Interest]]</f>
        <v>106828.78272840472</v>
      </c>
    </row>
    <row r="18" spans="1:16">
      <c r="A18" t="s">
        <v>165</v>
      </c>
      <c r="B18">
        <v>17</v>
      </c>
      <c r="C18" s="46">
        <v>155703.84345293764</v>
      </c>
      <c r="D18" s="46">
        <v>17178.16113686829</v>
      </c>
      <c r="E18" s="46">
        <v>25658.205878684788</v>
      </c>
      <c r="F18" s="46">
        <v>21561.421875950105</v>
      </c>
      <c r="G18" s="46"/>
      <c r="H18" s="46"/>
      <c r="I18" s="46"/>
      <c r="J18" s="46"/>
      <c r="K18" s="46"/>
      <c r="L18" s="46">
        <f>SUM(Table1137[[#This Row],[County Payment]:[Reductions/ COPA Bonus]])</f>
        <v>220101.63234444082</v>
      </c>
      <c r="M18" s="46">
        <f>+Table1137[[#This Row],[Total Payment 4]]-Table1137[[#This Row],[MNK Litigating Payment]]-Table1137[[#This Row],[MNK County Payment]]</f>
        <v>202923.47120757253</v>
      </c>
      <c r="N18" s="44">
        <f>+Table1137[[#This Row],[Total Payment  Less MNK]]/86374268.64</f>
        <v>2.3493509629973122E-3</v>
      </c>
      <c r="O18" s="46">
        <f>+Table1137[[#This Row],[Percentage of Total]]*4660</f>
        <v>10.947975487567474</v>
      </c>
      <c r="P18" s="46">
        <f>+Table1137[[#This Row],[Total Payment 4]]+Table1137[[#This Row],[Interest]]</f>
        <v>220112.58031992838</v>
      </c>
    </row>
    <row r="19" spans="1:16">
      <c r="A19" t="s">
        <v>166</v>
      </c>
      <c r="B19">
        <v>18</v>
      </c>
      <c r="C19" s="46">
        <v>74859.488531894851</v>
      </c>
      <c r="D19" s="46">
        <v>8258.9377892467946</v>
      </c>
      <c r="E19" s="46">
        <v>11927.457239849376</v>
      </c>
      <c r="F19" s="46">
        <v>10023.028838091548</v>
      </c>
      <c r="G19" s="46"/>
      <c r="H19" s="46"/>
      <c r="I19" s="46">
        <v>3543.8012637431052</v>
      </c>
      <c r="J19" s="46"/>
      <c r="K19" s="46"/>
      <c r="L19" s="46">
        <f>SUM(Table1137[[#This Row],[County Payment]:[Reductions/ COPA Bonus]])</f>
        <v>108612.71366282567</v>
      </c>
      <c r="M19" s="46">
        <f>+Table1137[[#This Row],[Total Payment 4]]-Table1137[[#This Row],[MNK Litigating Payment]]-Table1137[[#This Row],[MNK County Payment]]</f>
        <v>96809.974609835772</v>
      </c>
      <c r="N19" s="44">
        <f>+Table1137[[#This Row],[Total Payment  Less MNK]]/86374268.64</f>
        <v>1.1208196160054429E-3</v>
      </c>
      <c r="O19" s="46">
        <f>+Table1137[[#This Row],[Percentage of Total]]*4660</f>
        <v>5.2230194105853638</v>
      </c>
      <c r="P19" s="46">
        <f>+Table1137[[#This Row],[Total Payment 4]]+Table1137[[#This Row],[Interest]]</f>
        <v>108617.93668223625</v>
      </c>
    </row>
    <row r="20" spans="1:16">
      <c r="A20" t="s">
        <v>167</v>
      </c>
      <c r="B20">
        <v>19</v>
      </c>
      <c r="C20" s="46">
        <v>170805.5475124309</v>
      </c>
      <c r="D20" s="46">
        <v>18844.269692844206</v>
      </c>
      <c r="E20" s="46">
        <v>20614.91387887131</v>
      </c>
      <c r="F20" s="46">
        <v>17856.357000000004</v>
      </c>
      <c r="G20" s="46"/>
      <c r="H20" s="46"/>
      <c r="I20" s="46">
        <v>6124.9565927449921</v>
      </c>
      <c r="J20" s="46"/>
      <c r="K20" s="46"/>
      <c r="L20" s="46">
        <f>SUM(Table1137[[#This Row],[County Payment]:[Reductions/ COPA Bonus]])</f>
        <v>234246.04467689144</v>
      </c>
      <c r="M20" s="46">
        <f>+Table1137[[#This Row],[Total Payment 4]]-Table1137[[#This Row],[MNK Litigating Payment]]-Table1137[[#This Row],[MNK County Payment]]</f>
        <v>209276.81839130222</v>
      </c>
      <c r="N20" s="44">
        <f>+Table1137[[#This Row],[Total Payment  Less MNK]]/86374268.64</f>
        <v>2.4229069801279444E-3</v>
      </c>
      <c r="O20" s="46">
        <f>+Table1137[[#This Row],[Percentage of Total]]*4660</f>
        <v>11.290746527396221</v>
      </c>
      <c r="P20" s="46">
        <f>+Table1137[[#This Row],[Total Payment 4]]+Table1137[[#This Row],[Interest]]</f>
        <v>234257.33542341884</v>
      </c>
    </row>
    <row r="21" spans="1:16">
      <c r="A21" t="s">
        <v>168</v>
      </c>
      <c r="B21">
        <v>20</v>
      </c>
      <c r="C21" s="46">
        <v>349422.23349623388</v>
      </c>
      <c r="D21" s="46">
        <v>38550.309990369577</v>
      </c>
      <c r="E21" s="46"/>
      <c r="F21" s="46"/>
      <c r="G21" s="46"/>
      <c r="H21" s="46"/>
      <c r="I21" s="46"/>
      <c r="J21" s="46"/>
      <c r="K21" s="46"/>
      <c r="L21" s="46">
        <f>SUM(Table1137[[#This Row],[County Payment]:[Reductions/ COPA Bonus]])</f>
        <v>387972.54348660348</v>
      </c>
      <c r="M21" s="46">
        <f>+Table1137[[#This Row],[Total Payment 4]]-Table1137[[#This Row],[MNK Litigating Payment]]-Table1137[[#This Row],[MNK County Payment]]</f>
        <v>349422.23349623388</v>
      </c>
      <c r="N21" s="44">
        <f>+Table1137[[#This Row],[Total Payment  Less MNK]]/86374268.64</f>
        <v>4.0454436141461707E-3</v>
      </c>
      <c r="O21" s="46">
        <f>+Table1137[[#This Row],[Percentage of Total]]*4660</f>
        <v>18.851767241921156</v>
      </c>
      <c r="P21" s="46">
        <f>+Table1137[[#This Row],[Total Payment 4]]+Table1137[[#This Row],[Interest]]</f>
        <v>387991.39525384537</v>
      </c>
    </row>
    <row r="22" spans="1:16">
      <c r="A22" t="s">
        <v>169</v>
      </c>
      <c r="B22">
        <v>21</v>
      </c>
      <c r="C22" s="46">
        <v>545744.46112913499</v>
      </c>
      <c r="D22" s="46">
        <v>60209.729476994238</v>
      </c>
      <c r="E22" s="46">
        <v>82638.328506448001</v>
      </c>
      <c r="F22" s="46">
        <v>69443.665409633541</v>
      </c>
      <c r="G22" s="46"/>
      <c r="H22" s="46"/>
      <c r="I22" s="46"/>
      <c r="J22" s="46"/>
      <c r="K22" s="46"/>
      <c r="L22" s="46">
        <f>SUM(Table1137[[#This Row],[County Payment]:[Reductions/ COPA Bonus]])</f>
        <v>758036.18452221074</v>
      </c>
      <c r="M22" s="46">
        <f>+Table1137[[#This Row],[Total Payment 4]]-Table1137[[#This Row],[MNK Litigating Payment]]-Table1137[[#This Row],[MNK County Payment]]</f>
        <v>697826.45504521648</v>
      </c>
      <c r="N22" s="44">
        <f>+Table1137[[#This Row],[Total Payment  Less MNK]]/86374268.64</f>
        <v>8.0791011725227201E-3</v>
      </c>
      <c r="O22" s="46">
        <f>+Table1137[[#This Row],[Percentage of Total]]*4660</f>
        <v>37.648611463955874</v>
      </c>
      <c r="P22" s="46">
        <f>+Table1137[[#This Row],[Total Payment 4]]+Table1137[[#This Row],[Interest]]</f>
        <v>758073.83313367469</v>
      </c>
    </row>
    <row r="23" spans="1:16">
      <c r="A23" t="s">
        <v>170</v>
      </c>
      <c r="B23">
        <v>22</v>
      </c>
      <c r="C23" s="46">
        <v>838925.88378368434</v>
      </c>
      <c r="D23" s="46">
        <v>92555.223390369545</v>
      </c>
      <c r="E23" s="46"/>
      <c r="F23" s="46">
        <v>76651.681769245872</v>
      </c>
      <c r="G23" s="46"/>
      <c r="H23" s="46"/>
      <c r="I23" s="46"/>
      <c r="J23" s="46"/>
      <c r="K23" s="46"/>
      <c r="L23" s="46">
        <f>SUM(Table1137[[#This Row],[County Payment]:[Reductions/ COPA Bonus]])</f>
        <v>1008132.7889432998</v>
      </c>
      <c r="M23" s="46">
        <f>+Table1137[[#This Row],[Total Payment 4]]-Table1137[[#This Row],[MNK Litigating Payment]]-Table1137[[#This Row],[MNK County Payment]]</f>
        <v>915577.56555293023</v>
      </c>
      <c r="N23" s="44">
        <f>+Table1137[[#This Row],[Total Payment  Less MNK]]/86374268.64</f>
        <v>1.0600119456512833E-2</v>
      </c>
      <c r="O23" s="46">
        <f>+Table1137[[#This Row],[Percentage of Total]]*4660</f>
        <v>49.396556667349799</v>
      </c>
      <c r="P23" s="46">
        <f>+Table1137[[#This Row],[Total Payment 4]]+Table1137[[#This Row],[Interest]]</f>
        <v>1008182.1854999672</v>
      </c>
    </row>
    <row r="24" spans="1:16">
      <c r="A24" t="s">
        <v>6</v>
      </c>
      <c r="B24">
        <v>23</v>
      </c>
      <c r="C24" s="46">
        <v>3368201.5513236024</v>
      </c>
      <c r="D24" s="46">
        <v>371599.74800220627</v>
      </c>
      <c r="E24" s="46">
        <v>183714.6905116773</v>
      </c>
      <c r="F24" s="46">
        <v>154381.40786852731</v>
      </c>
      <c r="G24" s="46">
        <v>366992.31</v>
      </c>
      <c r="H24" s="46">
        <v>334806.69</v>
      </c>
      <c r="I24" s="46">
        <v>54584.002215352084</v>
      </c>
      <c r="J24" s="46"/>
      <c r="K24" s="46"/>
      <c r="L24" s="46">
        <f>SUM(Table1137[[#This Row],[County Payment]:[Reductions/ COPA Bonus]])</f>
        <v>4834280.399921366</v>
      </c>
      <c r="M24" s="46">
        <f>+Table1137[[#This Row],[Total Payment 4]]-Table1137[[#This Row],[MNK Litigating Payment]]-Table1137[[#This Row],[MNK County Payment]]</f>
        <v>4408096.6497038081</v>
      </c>
      <c r="N24" s="44">
        <f>+Table1137[[#This Row],[Total Payment  Less MNK]]/86374268.64</f>
        <v>5.1034836174142895E-2</v>
      </c>
      <c r="O24" s="46">
        <f>+Table1137[[#This Row],[Percentage of Total]]*4660</f>
        <v>237.8223365715059</v>
      </c>
      <c r="P24" s="46">
        <f>+Table1137[[#This Row],[Total Payment 4]]+Table1137[[#This Row],[Interest]]</f>
        <v>4834518.2222579373</v>
      </c>
    </row>
    <row r="25" spans="1:16">
      <c r="A25" t="s">
        <v>171</v>
      </c>
      <c r="B25">
        <v>24</v>
      </c>
      <c r="C25" s="46">
        <v>87485.739024615439</v>
      </c>
      <c r="D25" s="46">
        <v>9651.9397904078942</v>
      </c>
      <c r="E25" s="46"/>
      <c r="F25" s="46"/>
      <c r="G25" s="46"/>
      <c r="H25" s="46"/>
      <c r="I25" s="46"/>
      <c r="J25" s="46"/>
      <c r="K25" s="46"/>
      <c r="L25" s="46">
        <f>SUM(Table1137[[#This Row],[County Payment]:[Reductions/ COPA Bonus]])</f>
        <v>97137.678815023333</v>
      </c>
      <c r="M25" s="46">
        <f>+Table1137[[#This Row],[Total Payment 4]]-Table1137[[#This Row],[MNK Litigating Payment]]-Table1137[[#This Row],[MNK County Payment]]</f>
        <v>87485.739024615439</v>
      </c>
      <c r="N25" s="44">
        <f>+Table1137[[#This Row],[Total Payment  Less MNK]]/86374268.64</f>
        <v>1.0128680728892529E-3</v>
      </c>
      <c r="O25" s="46">
        <f>+Table1137[[#This Row],[Percentage of Total]]*4660</f>
        <v>4.7199652196639184</v>
      </c>
      <c r="P25" s="46">
        <f>+Table1137[[#This Row],[Total Payment 4]]+Table1137[[#This Row],[Interest]]</f>
        <v>97142.398780242991</v>
      </c>
    </row>
    <row r="26" spans="1:16">
      <c r="A26" t="s">
        <v>172</v>
      </c>
      <c r="B26">
        <v>25</v>
      </c>
      <c r="C26" s="46">
        <v>1068055.2074061998</v>
      </c>
      <c r="D26" s="46">
        <v>117834.11410419381</v>
      </c>
      <c r="E26" s="46">
        <v>86271.345989357535</v>
      </c>
      <c r="F26" s="46">
        <v>72496.607731559052</v>
      </c>
      <c r="G26" s="46"/>
      <c r="H26" s="46"/>
      <c r="I26" s="46">
        <v>25632.328734784442</v>
      </c>
      <c r="J26" s="46"/>
      <c r="K26" s="46"/>
      <c r="L26" s="46">
        <f>SUM(Table1137[[#This Row],[County Payment]:[Reductions/ COPA Bonus]])</f>
        <v>1370289.6039660946</v>
      </c>
      <c r="M26" s="46">
        <f>+Table1137[[#This Row],[Total Payment 4]]-Table1137[[#This Row],[MNK Litigating Payment]]-Table1137[[#This Row],[MNK County Payment]]</f>
        <v>1226823.1611271163</v>
      </c>
      <c r="N26" s="44">
        <f>+Table1137[[#This Row],[Total Payment  Less MNK]]/86374268.64</f>
        <v>1.4203572203203275E-2</v>
      </c>
      <c r="O26" s="46">
        <f>+Table1137[[#This Row],[Percentage of Total]]*4660</f>
        <v>66.188646466927267</v>
      </c>
      <c r="P26" s="46">
        <f>+Table1137[[#This Row],[Total Payment 4]]+Table1137[[#This Row],[Interest]]</f>
        <v>1370355.7926125615</v>
      </c>
    </row>
    <row r="27" spans="1:16">
      <c r="A27" t="s">
        <v>173</v>
      </c>
      <c r="B27">
        <v>26</v>
      </c>
      <c r="C27" s="46">
        <v>701969.02718430047</v>
      </c>
      <c r="D27" s="46">
        <v>77445.339785124524</v>
      </c>
      <c r="E27" s="46">
        <v>41022.809140762583</v>
      </c>
      <c r="F27" s="46">
        <v>35712.714000000007</v>
      </c>
      <c r="G27" s="46"/>
      <c r="H27" s="46"/>
      <c r="I27" s="46"/>
      <c r="J27" s="46"/>
      <c r="K27" s="46"/>
      <c r="L27" s="46">
        <f>SUM(Table1137[[#This Row],[County Payment]:[Reductions/ COPA Bonus]])</f>
        <v>856149.89011018758</v>
      </c>
      <c r="M27" s="46">
        <f>+Table1137[[#This Row],[Total Payment 4]]-Table1137[[#This Row],[MNK Litigating Payment]]-Table1137[[#This Row],[MNK County Payment]]</f>
        <v>778704.55032506306</v>
      </c>
      <c r="N27" s="44">
        <f>+Table1137[[#This Row],[Total Payment  Less MNK]]/86374268.64</f>
        <v>9.0154691042378821E-3</v>
      </c>
      <c r="O27" s="46">
        <f>+Table1137[[#This Row],[Percentage of Total]]*4660</f>
        <v>42.01208602574853</v>
      </c>
      <c r="P27" s="46">
        <f>+Table1137[[#This Row],[Total Payment 4]]+Table1137[[#This Row],[Interest]]</f>
        <v>856191.90219621337</v>
      </c>
    </row>
    <row r="28" spans="1:16">
      <c r="A28" t="s">
        <v>174</v>
      </c>
      <c r="B28">
        <v>27</v>
      </c>
      <c r="C28" s="46">
        <v>74859.488531894851</v>
      </c>
      <c r="D28" s="46">
        <v>8258.9377892467946</v>
      </c>
      <c r="E28" s="46"/>
      <c r="F28" s="46"/>
      <c r="G28" s="46"/>
      <c r="H28" s="46"/>
      <c r="I28" s="46"/>
      <c r="J28" s="46"/>
      <c r="K28" s="46"/>
      <c r="L28" s="46">
        <f>SUM(Table1137[[#This Row],[County Payment]:[Reductions/ COPA Bonus]])</f>
        <v>83118.42632114164</v>
      </c>
      <c r="M28" s="46">
        <f>+Table1137[[#This Row],[Total Payment 4]]-Table1137[[#This Row],[MNK Litigating Payment]]-Table1137[[#This Row],[MNK County Payment]]</f>
        <v>74859.488531894851</v>
      </c>
      <c r="N28" s="44">
        <f>+Table1137[[#This Row],[Total Payment  Less MNK]]/86374268.64</f>
        <v>8.6668737936181322E-4</v>
      </c>
      <c r="O28" s="46">
        <f>+Table1137[[#This Row],[Percentage of Total]]*4660</f>
        <v>4.0387631878260493</v>
      </c>
      <c r="P28" s="46">
        <f>+Table1137[[#This Row],[Total Payment 4]]+Table1137[[#This Row],[Interest]]</f>
        <v>83122.465084329466</v>
      </c>
    </row>
    <row r="29" spans="1:16">
      <c r="A29" t="s">
        <v>175</v>
      </c>
      <c r="B29">
        <v>28</v>
      </c>
      <c r="C29" s="46">
        <v>267664.74253407901</v>
      </c>
      <c r="D29" s="46">
        <v>29530.344119594847</v>
      </c>
      <c r="E29" s="46">
        <v>49662.810742969101</v>
      </c>
      <c r="F29" s="46">
        <v>41733.2692331453</v>
      </c>
      <c r="G29" s="46"/>
      <c r="H29" s="46"/>
      <c r="I29" s="46"/>
      <c r="J29" s="46"/>
      <c r="K29" s="46"/>
      <c r="L29" s="46">
        <f>SUM(Table1137[[#This Row],[County Payment]:[Reductions/ COPA Bonus]])</f>
        <v>388591.16662978823</v>
      </c>
      <c r="M29" s="46">
        <f>+Table1137[[#This Row],[Total Payment 4]]-Table1137[[#This Row],[MNK Litigating Payment]]-Table1137[[#This Row],[MNK County Payment]]</f>
        <v>359060.82251019339</v>
      </c>
      <c r="N29" s="44">
        <f>+Table1137[[#This Row],[Total Payment  Less MNK]]/86374268.64</f>
        <v>4.1570345910160568E-3</v>
      </c>
      <c r="O29" s="46">
        <f>+Table1137[[#This Row],[Percentage of Total]]*4660</f>
        <v>19.371781194134826</v>
      </c>
      <c r="P29" s="46">
        <f>+Table1137[[#This Row],[Total Payment 4]]+Table1137[[#This Row],[Interest]]</f>
        <v>388610.53841098235</v>
      </c>
    </row>
    <row r="30" spans="1:16">
      <c r="A30" t="s">
        <v>176</v>
      </c>
      <c r="B30">
        <v>29</v>
      </c>
      <c r="C30" s="46">
        <v>74859.488531894851</v>
      </c>
      <c r="D30" s="46">
        <v>8258.9377892467946</v>
      </c>
      <c r="E30" s="46"/>
      <c r="F30" s="46"/>
      <c r="G30" s="46"/>
      <c r="H30" s="46"/>
      <c r="I30" s="46"/>
      <c r="J30" s="46"/>
      <c r="K30" s="46"/>
      <c r="L30" s="46">
        <f>SUM(Table1137[[#This Row],[County Payment]:[Reductions/ COPA Bonus]])</f>
        <v>83118.42632114164</v>
      </c>
      <c r="M30" s="46">
        <f>+Table1137[[#This Row],[Total Payment 4]]-Table1137[[#This Row],[MNK Litigating Payment]]-Table1137[[#This Row],[MNK County Payment]]</f>
        <v>74859.488531894851</v>
      </c>
      <c r="N30" s="44">
        <f>+Table1137[[#This Row],[Total Payment  Less MNK]]/86374268.64</f>
        <v>8.6668737936181322E-4</v>
      </c>
      <c r="O30" s="46">
        <f>+Table1137[[#This Row],[Percentage of Total]]*4660</f>
        <v>4.0387631878260493</v>
      </c>
      <c r="P30" s="46">
        <f>+Table1137[[#This Row],[Total Payment 4]]+Table1137[[#This Row],[Interest]]</f>
        <v>83122.465084329466</v>
      </c>
    </row>
    <row r="31" spans="1:16">
      <c r="A31" t="s">
        <v>177</v>
      </c>
      <c r="B31">
        <v>30</v>
      </c>
      <c r="C31" s="46">
        <v>106753.44848039719</v>
      </c>
      <c r="D31" s="46">
        <v>11777.66649329318</v>
      </c>
      <c r="E31" s="46">
        <v>11450.99593061534</v>
      </c>
      <c r="F31" s="46">
        <v>9622.6429598062387</v>
      </c>
      <c r="G31" s="46"/>
      <c r="H31" s="46"/>
      <c r="I31" s="46"/>
      <c r="J31" s="46"/>
      <c r="K31" s="46"/>
      <c r="L31" s="46">
        <f>SUM(Table1137[[#This Row],[County Payment]:[Reductions/ COPA Bonus]])</f>
        <v>139604.75386411196</v>
      </c>
      <c r="M31" s="46">
        <f>+Table1137[[#This Row],[Total Payment 4]]-Table1137[[#This Row],[MNK Litigating Payment]]-Table1137[[#This Row],[MNK County Payment]]</f>
        <v>127827.08737081879</v>
      </c>
      <c r="N31" s="44">
        <f>+Table1137[[#This Row],[Total Payment  Less MNK]]/86374268.64</f>
        <v>1.479920923019219E-3</v>
      </c>
      <c r="O31" s="46">
        <f>+Table1137[[#This Row],[Percentage of Total]]*4660</f>
        <v>6.8964315012695607</v>
      </c>
      <c r="P31" s="46">
        <f>+Table1137[[#This Row],[Total Payment 4]]+Table1137[[#This Row],[Interest]]</f>
        <v>139611.65029561322</v>
      </c>
    </row>
    <row r="32" spans="1:16">
      <c r="A32" t="s">
        <v>178</v>
      </c>
      <c r="B32">
        <v>31</v>
      </c>
      <c r="C32" s="46">
        <v>93213.987087076021</v>
      </c>
      <c r="D32" s="46">
        <v>10283.913710041059</v>
      </c>
      <c r="E32" s="46">
        <v>14042.869015205304</v>
      </c>
      <c r="F32" s="46">
        <v>11800.677904649736</v>
      </c>
      <c r="G32" s="46"/>
      <c r="H32" s="46"/>
      <c r="I32" s="46"/>
      <c r="J32" s="46"/>
      <c r="K32" s="46"/>
      <c r="L32" s="46">
        <f>SUM(Table1137[[#This Row],[County Payment]:[Reductions/ COPA Bonus]])</f>
        <v>129341.44771697212</v>
      </c>
      <c r="M32" s="46">
        <f>+Table1137[[#This Row],[Total Payment 4]]-Table1137[[#This Row],[MNK Litigating Payment]]-Table1137[[#This Row],[MNK County Payment]]</f>
        <v>119057.53400693106</v>
      </c>
      <c r="N32" s="44">
        <f>+Table1137[[#This Row],[Total Payment  Less MNK]]/86374268.64</f>
        <v>1.37839122555297E-3</v>
      </c>
      <c r="O32" s="46">
        <f>+Table1137[[#This Row],[Percentage of Total]]*4660</f>
        <v>6.4233031110768408</v>
      </c>
      <c r="P32" s="46">
        <f>+Table1137[[#This Row],[Total Payment 4]]+Table1137[[#This Row],[Interest]]</f>
        <v>129347.8710200832</v>
      </c>
    </row>
    <row r="33" spans="1:16">
      <c r="A33" t="s">
        <v>179</v>
      </c>
      <c r="B33">
        <v>32</v>
      </c>
      <c r="C33" s="46">
        <v>355671.27902041085</v>
      </c>
      <c r="D33" s="46">
        <v>39239.741340202534</v>
      </c>
      <c r="E33" s="46">
        <v>26513.033521722322</v>
      </c>
      <c r="F33" s="46">
        <v>22279.761245814927</v>
      </c>
      <c r="G33" s="46"/>
      <c r="H33" s="46"/>
      <c r="I33" s="46">
        <v>7877.3639519775315</v>
      </c>
      <c r="J33" s="46"/>
      <c r="K33" s="46"/>
      <c r="L33" s="46">
        <f>SUM(Table1137[[#This Row],[County Payment]:[Reductions/ COPA Bonus]])</f>
        <v>451581.17908012809</v>
      </c>
      <c r="M33" s="46">
        <f>+Table1137[[#This Row],[Total Payment 4]]-Table1137[[#This Row],[MNK Litigating Payment]]-Table1137[[#This Row],[MNK County Payment]]</f>
        <v>404464.07378794806</v>
      </c>
      <c r="N33" s="44">
        <f>+Table1137[[#This Row],[Total Payment  Less MNK]]/86374268.64</f>
        <v>4.6826917339667104E-3</v>
      </c>
      <c r="O33" s="46">
        <f>+Table1137[[#This Row],[Percentage of Total]]*4660</f>
        <v>21.82134348028487</v>
      </c>
      <c r="P33" s="46">
        <f>+Table1137[[#This Row],[Total Payment 4]]+Table1137[[#This Row],[Interest]]</f>
        <v>451603.00042360835</v>
      </c>
    </row>
    <row r="34" spans="1:16">
      <c r="A34" t="s">
        <v>180</v>
      </c>
      <c r="B34">
        <v>33</v>
      </c>
      <c r="C34" s="46">
        <v>98421.437687820231</v>
      </c>
      <c r="D34" s="46">
        <v>10858.430199474435</v>
      </c>
      <c r="E34" s="46"/>
      <c r="F34" s="46"/>
      <c r="G34" s="46"/>
      <c r="H34" s="46"/>
      <c r="I34" s="46"/>
      <c r="J34" s="46"/>
      <c r="K34" s="46"/>
      <c r="L34" s="46">
        <f>SUM(Table1137[[#This Row],[County Payment]:[Reductions/ COPA Bonus]])</f>
        <v>109279.86788729466</v>
      </c>
      <c r="M34" s="46">
        <f>+Table1137[[#This Row],[Total Payment 4]]-Table1137[[#This Row],[MNK Litigating Payment]]-Table1137[[#This Row],[MNK County Payment]]</f>
        <v>98421.437687820231</v>
      </c>
      <c r="N34" s="44">
        <f>+Table1137[[#This Row],[Total Payment  Less MNK]]/86374268.64</f>
        <v>1.1394763653285647E-3</v>
      </c>
      <c r="O34" s="46">
        <f>+Table1137[[#This Row],[Percentage of Total]]*4660</f>
        <v>5.3099598624311115</v>
      </c>
      <c r="P34" s="46">
        <f>+Table1137[[#This Row],[Total Payment 4]]+Table1137[[#This Row],[Interest]]</f>
        <v>109285.17784715709</v>
      </c>
    </row>
    <row r="35" spans="1:16">
      <c r="A35" t="s">
        <v>181</v>
      </c>
      <c r="B35">
        <v>34</v>
      </c>
      <c r="C35" s="46">
        <v>74859.488531894851</v>
      </c>
      <c r="D35" s="46">
        <v>8258.9377892467946</v>
      </c>
      <c r="E35" s="46"/>
      <c r="F35" s="46"/>
      <c r="G35" s="46"/>
      <c r="H35" s="46"/>
      <c r="I35" s="46"/>
      <c r="J35" s="46"/>
      <c r="K35" s="46"/>
      <c r="L35" s="46">
        <f>SUM(Table1137[[#This Row],[County Payment]:[Reductions/ COPA Bonus]])</f>
        <v>83118.42632114164</v>
      </c>
      <c r="M35" s="46">
        <f>+Table1137[[#This Row],[Total Payment 4]]-Table1137[[#This Row],[MNK Litigating Payment]]-Table1137[[#This Row],[MNK County Payment]]</f>
        <v>74859.488531894851</v>
      </c>
      <c r="N35" s="44">
        <f>+Table1137[[#This Row],[Total Payment  Less MNK]]/86374268.64</f>
        <v>8.6668737936181322E-4</v>
      </c>
      <c r="O35" s="46">
        <f>+Table1137[[#This Row],[Percentage of Total]]*4660</f>
        <v>4.0387631878260493</v>
      </c>
      <c r="P35" s="46">
        <f>+Table1137[[#This Row],[Total Payment 4]]+Table1137[[#This Row],[Interest]]</f>
        <v>83122.465084329466</v>
      </c>
    </row>
    <row r="36" spans="1:16">
      <c r="A36" t="s">
        <v>182</v>
      </c>
      <c r="B36">
        <v>35</v>
      </c>
      <c r="C36" s="46">
        <v>725402.74203637068</v>
      </c>
      <c r="D36" s="46">
        <v>80030.684634919176</v>
      </c>
      <c r="E36" s="46">
        <v>68760.755894646747</v>
      </c>
      <c r="F36" s="46">
        <v>57781.891429335468</v>
      </c>
      <c r="G36" s="46"/>
      <c r="H36" s="46"/>
      <c r="I36" s="46"/>
      <c r="J36" s="46"/>
      <c r="K36" s="46"/>
      <c r="L36" s="46">
        <f>SUM(Table1137[[#This Row],[County Payment]:[Reductions/ COPA Bonus]])</f>
        <v>931976.07399527205</v>
      </c>
      <c r="M36" s="46">
        <f>+Table1137[[#This Row],[Total Payment 4]]-Table1137[[#This Row],[MNK Litigating Payment]]-Table1137[[#This Row],[MNK County Payment]]</f>
        <v>851945.38936035288</v>
      </c>
      <c r="N36" s="44">
        <f>+Table1137[[#This Row],[Total Payment  Less MNK]]/86374268.64</f>
        <v>9.8634165333565116E-3</v>
      </c>
      <c r="O36" s="46">
        <f>+Table1137[[#This Row],[Percentage of Total]]*4660</f>
        <v>45.963521045441347</v>
      </c>
      <c r="P36" s="46">
        <f>+Table1137[[#This Row],[Total Payment 4]]+Table1137[[#This Row],[Interest]]</f>
        <v>932022.03751631745</v>
      </c>
    </row>
    <row r="37" spans="1:16">
      <c r="A37" t="s">
        <v>183</v>
      </c>
      <c r="B37">
        <v>36</v>
      </c>
      <c r="C37" s="46">
        <v>1180016.1813468295</v>
      </c>
      <c r="D37" s="46">
        <v>130186.30534585814</v>
      </c>
      <c r="E37" s="46"/>
      <c r="F37" s="46"/>
      <c r="G37" s="46"/>
      <c r="H37" s="46"/>
      <c r="I37" s="46"/>
      <c r="J37" s="46"/>
      <c r="K37" s="46"/>
      <c r="L37" s="46">
        <f>SUM(Table1137[[#This Row],[County Payment]:[Reductions/ COPA Bonus]])</f>
        <v>1310202.4866926877</v>
      </c>
      <c r="M37" s="46">
        <f>+Table1137[[#This Row],[Total Payment 4]]-Table1137[[#This Row],[MNK Litigating Payment]]-Table1137[[#This Row],[MNK County Payment]]</f>
        <v>1180016.1813468295</v>
      </c>
      <c r="N37" s="44">
        <f>+Table1137[[#This Row],[Total Payment  Less MNK]]/86374268.64</f>
        <v>1.366166336255799E-2</v>
      </c>
      <c r="O37" s="46">
        <f>+Table1137[[#This Row],[Percentage of Total]]*4660</f>
        <v>63.663351269520234</v>
      </c>
      <c r="P37" s="46">
        <f>+Table1137[[#This Row],[Total Payment 4]]+Table1137[[#This Row],[Interest]]</f>
        <v>1310266.1500439572</v>
      </c>
    </row>
    <row r="38" spans="1:16">
      <c r="A38" t="s">
        <v>184</v>
      </c>
      <c r="B38">
        <v>37</v>
      </c>
      <c r="C38" s="46">
        <v>515020.33040792053</v>
      </c>
      <c r="D38" s="46">
        <v>56820.063193780406</v>
      </c>
      <c r="E38" s="46">
        <v>27412.449789955561</v>
      </c>
      <c r="F38" s="46">
        <v>23035.569882364209</v>
      </c>
      <c r="G38" s="46"/>
      <c r="H38" s="46"/>
      <c r="I38" s="46"/>
      <c r="J38" s="46"/>
      <c r="K38" s="46"/>
      <c r="L38" s="46">
        <f>SUM(Table1137[[#This Row],[County Payment]:[Reductions/ COPA Bonus]])</f>
        <v>622288.41327402066</v>
      </c>
      <c r="M38" s="46">
        <f>+Table1137[[#This Row],[Total Payment 4]]-Table1137[[#This Row],[MNK Litigating Payment]]-Table1137[[#This Row],[MNK County Payment]]</f>
        <v>565468.35008024029</v>
      </c>
      <c r="N38" s="44">
        <f>+Table1137[[#This Row],[Total Payment  Less MNK]]/86374268.64</f>
        <v>6.5467222933841595E-3</v>
      </c>
      <c r="O38" s="46">
        <f>+Table1137[[#This Row],[Percentage of Total]]*4660</f>
        <v>30.507725887170182</v>
      </c>
      <c r="P38" s="46">
        <f>+Table1137[[#This Row],[Total Payment 4]]+Table1137[[#This Row],[Interest]]</f>
        <v>622318.92099990777</v>
      </c>
    </row>
    <row r="39" spans="1:16">
      <c r="A39" t="s">
        <v>185</v>
      </c>
      <c r="B39">
        <v>38</v>
      </c>
      <c r="C39" s="46">
        <v>314011.37477650313</v>
      </c>
      <c r="D39" s="46">
        <v>34643.57638898438</v>
      </c>
      <c r="E39" s="46"/>
      <c r="F39" s="46"/>
      <c r="G39" s="46"/>
      <c r="H39" s="46"/>
      <c r="I39" s="46"/>
      <c r="J39" s="46"/>
      <c r="K39" s="46"/>
      <c r="L39" s="46">
        <f>SUM(Table1137[[#This Row],[County Payment]:[Reductions/ COPA Bonus]])</f>
        <v>348654.95116548752</v>
      </c>
      <c r="M39" s="46">
        <f>+Table1137[[#This Row],[Total Payment 4]]-Table1137[[#This Row],[MNK Litigating Payment]]-Table1137[[#This Row],[MNK County Payment]]</f>
        <v>314011.37477650313</v>
      </c>
      <c r="N39" s="44">
        <f>+Table1137[[#This Row],[Total Payment  Less MNK]]/86374268.64</f>
        <v>3.6354736163992729E-3</v>
      </c>
      <c r="O39" s="46">
        <f>+Table1137[[#This Row],[Percentage of Total]]*4660</f>
        <v>16.941307052420612</v>
      </c>
      <c r="P39" s="46">
        <f>+Table1137[[#This Row],[Total Payment 4]]+Table1137[[#This Row],[Interest]]</f>
        <v>348671.89247253997</v>
      </c>
    </row>
    <row r="40" spans="1:16">
      <c r="A40" t="s">
        <v>186</v>
      </c>
      <c r="B40">
        <v>39</v>
      </c>
      <c r="C40" s="46">
        <v>1097217.1703207307</v>
      </c>
      <c r="D40" s="46">
        <v>121051.43287362164</v>
      </c>
      <c r="E40" s="46">
        <v>119292.72633875201</v>
      </c>
      <c r="F40" s="46">
        <v>100245.54372520845</v>
      </c>
      <c r="G40" s="46"/>
      <c r="H40" s="46"/>
      <c r="I40" s="46">
        <v>35443.406407044764</v>
      </c>
      <c r="J40" s="46">
        <v>206470.89</v>
      </c>
      <c r="K40" s="46"/>
      <c r="L40" s="46">
        <f>SUM(Table1137[[#This Row],[County Payment]:[Reductions/ COPA Bonus]])</f>
        <v>1679721.1696653576</v>
      </c>
      <c r="M40" s="46">
        <f>+Table1137[[#This Row],[Total Payment 4]]-Table1137[[#This Row],[MNK Litigating Payment]]-Table1137[[#This Row],[MNK County Payment]]</f>
        <v>1523226.3303846912</v>
      </c>
      <c r="N40" s="44">
        <f>+Table1137[[#This Row],[Total Payment  Less MNK]]/86374268.64</f>
        <v>1.7635186431891638E-2</v>
      </c>
      <c r="O40" s="46">
        <f>+Table1137[[#This Row],[Percentage of Total]]*4660</f>
        <v>82.179968772615027</v>
      </c>
      <c r="P40" s="46">
        <f>+Table1137[[#This Row],[Total Payment 4]]+Table1137[[#This Row],[Interest]]</f>
        <v>1679803.3496341303</v>
      </c>
    </row>
    <row r="41" spans="1:16">
      <c r="A41" t="s">
        <v>187</v>
      </c>
      <c r="B41">
        <v>40</v>
      </c>
      <c r="C41" s="46">
        <v>1709096.6957502994</v>
      </c>
      <c r="D41" s="46">
        <v>188557.57049415269</v>
      </c>
      <c r="E41" s="46">
        <v>103698.49165691638</v>
      </c>
      <c r="F41" s="46">
        <v>87141.202977558874</v>
      </c>
      <c r="G41" s="46"/>
      <c r="H41" s="46"/>
      <c r="I41" s="46">
        <v>30810.158308869766</v>
      </c>
      <c r="J41" s="46"/>
      <c r="K41" s="46"/>
      <c r="L41" s="46">
        <f>SUM(Table1137[[#This Row],[County Payment]:[Reductions/ COPA Bonus]])</f>
        <v>2119304.119187797</v>
      </c>
      <c r="M41" s="46">
        <f>+Table1137[[#This Row],[Total Payment 4]]-Table1137[[#This Row],[MNK Litigating Payment]]-Table1137[[#This Row],[MNK County Payment]]</f>
        <v>1899936.3903847747</v>
      </c>
      <c r="N41" s="44">
        <f>+Table1137[[#This Row],[Total Payment  Less MNK]]/86374268.64</f>
        <v>2.1996555459167295E-2</v>
      </c>
      <c r="O41" s="46">
        <f>+Table1137[[#This Row],[Percentage of Total]]*4660</f>
        <v>102.50394843971959</v>
      </c>
      <c r="P41" s="46">
        <f>+Table1137[[#This Row],[Total Payment 4]]+Table1137[[#This Row],[Interest]]</f>
        <v>2119406.6231362368</v>
      </c>
    </row>
    <row r="42" spans="1:16">
      <c r="A42" t="s">
        <v>188</v>
      </c>
      <c r="B42">
        <v>41</v>
      </c>
      <c r="C42" s="46">
        <v>334320.52943674056</v>
      </c>
      <c r="D42" s="46">
        <v>36884.201434393661</v>
      </c>
      <c r="E42" s="46">
        <v>39145.846666666672</v>
      </c>
      <c r="F42" s="46">
        <v>35712.714000000007</v>
      </c>
      <c r="G42" s="46"/>
      <c r="H42" s="46"/>
      <c r="I42" s="46">
        <v>10805.329204387122</v>
      </c>
      <c r="J42" s="46"/>
      <c r="K42" s="46"/>
      <c r="L42" s="46">
        <f>SUM(Table1137[[#This Row],[County Payment]:[Reductions/ COPA Bonus]])</f>
        <v>456868.62074218807</v>
      </c>
      <c r="M42" s="46">
        <f>+Table1137[[#This Row],[Total Payment 4]]-Table1137[[#This Row],[MNK Litigating Payment]]-Table1137[[#This Row],[MNK County Payment]]</f>
        <v>409179.09010340727</v>
      </c>
      <c r="N42" s="44">
        <f>+Table1137[[#This Row],[Total Payment  Less MNK]]/86374268.64</f>
        <v>4.7372799393396664E-3</v>
      </c>
      <c r="O42" s="46">
        <f>+Table1137[[#This Row],[Percentage of Total]]*4660</f>
        <v>22.075724517322847</v>
      </c>
      <c r="P42" s="46">
        <f>+Table1137[[#This Row],[Total Payment 4]]+Table1137[[#This Row],[Interest]]</f>
        <v>456890.69646670541</v>
      </c>
    </row>
    <row r="43" spans="1:16">
      <c r="A43" t="s">
        <v>189</v>
      </c>
      <c r="B43">
        <v>42</v>
      </c>
      <c r="C43" s="46">
        <v>93734.709689303883</v>
      </c>
      <c r="D43" s="46">
        <v>10341.362881303059</v>
      </c>
      <c r="E43" s="46"/>
      <c r="F43" s="46"/>
      <c r="G43" s="46"/>
      <c r="H43" s="46"/>
      <c r="I43" s="46"/>
      <c r="J43" s="46"/>
      <c r="K43" s="46"/>
      <c r="L43" s="46">
        <f>SUM(Table1137[[#This Row],[County Payment]:[Reductions/ COPA Bonus]])</f>
        <v>104076.07257060695</v>
      </c>
      <c r="M43" s="46">
        <f>+Table1137[[#This Row],[Total Payment 4]]-Table1137[[#This Row],[MNK Litigating Payment]]-Table1137[[#This Row],[MNK County Payment]]</f>
        <v>93734.709689303883</v>
      </c>
      <c r="N43" s="44">
        <f>+Table1137[[#This Row],[Total Payment  Less MNK]]/86374268.64</f>
        <v>1.0852156685688596E-3</v>
      </c>
      <c r="O43" s="46">
        <f>+Table1137[[#This Row],[Percentage of Total]]*4660</f>
        <v>5.0571050155308859</v>
      </c>
      <c r="P43" s="46">
        <f>+Table1137[[#This Row],[Total Payment 4]]+Table1137[[#This Row],[Interest]]</f>
        <v>104081.12967562248</v>
      </c>
    </row>
    <row r="44" spans="1:16">
      <c r="A44" t="s">
        <v>190</v>
      </c>
      <c r="B44">
        <v>43</v>
      </c>
      <c r="C44" s="46">
        <v>484816.922288934</v>
      </c>
      <c r="D44" s="46">
        <v>53487.846081828582</v>
      </c>
      <c r="E44" s="46">
        <v>39145.846666666672</v>
      </c>
      <c r="F44" s="46">
        <v>35712.714000000007</v>
      </c>
      <c r="G44" s="46"/>
      <c r="H44" s="46"/>
      <c r="I44" s="46">
        <v>10470.726233263074</v>
      </c>
      <c r="J44" s="46"/>
      <c r="K44" s="46"/>
      <c r="L44" s="46">
        <f>SUM(Table1137[[#This Row],[County Payment]:[Reductions/ COPA Bonus]])</f>
        <v>623634.05527069233</v>
      </c>
      <c r="M44" s="46">
        <f>+Table1137[[#This Row],[Total Payment 4]]-Table1137[[#This Row],[MNK Litigating Payment]]-Table1137[[#This Row],[MNK County Payment]]</f>
        <v>559675.48295560072</v>
      </c>
      <c r="N44" s="44">
        <f>+Table1137[[#This Row],[Total Payment  Less MNK]]/86374268.64</f>
        <v>6.4796552464979661E-3</v>
      </c>
      <c r="O44" s="46">
        <f>+Table1137[[#This Row],[Percentage of Total]]*4660</f>
        <v>30.195193448680524</v>
      </c>
      <c r="P44" s="46">
        <f>+Table1137[[#This Row],[Total Payment 4]]+Table1137[[#This Row],[Interest]]</f>
        <v>623664.25046414102</v>
      </c>
    </row>
    <row r="45" spans="1:16">
      <c r="A45" t="s">
        <v>191</v>
      </c>
      <c r="B45">
        <v>44</v>
      </c>
      <c r="C45" s="46">
        <v>90089.501754731798</v>
      </c>
      <c r="D45" s="46">
        <v>9939.2021645934765</v>
      </c>
      <c r="E45" s="46"/>
      <c r="F45" s="46"/>
      <c r="G45" s="46"/>
      <c r="H45" s="46"/>
      <c r="I45" s="46"/>
      <c r="J45" s="46"/>
      <c r="K45" s="46"/>
      <c r="L45" s="46">
        <f>SUM(Table1137[[#This Row],[County Payment]:[Reductions/ COPA Bonus]])</f>
        <v>100028.70391932527</v>
      </c>
      <c r="M45" s="46">
        <f>+Table1137[[#This Row],[Total Payment 4]]-Table1137[[#This Row],[MNK Litigating Payment]]-Table1137[[#This Row],[MNK County Payment]]</f>
        <v>90089.501754731798</v>
      </c>
      <c r="N45" s="44">
        <f>+Table1137[[#This Row],[Total Payment  Less MNK]]/86374268.64</f>
        <v>1.0430131933182156E-3</v>
      </c>
      <c r="O45" s="46">
        <f>+Table1137[[#This Row],[Percentage of Total]]*4660</f>
        <v>4.8604414808628844</v>
      </c>
      <c r="P45" s="46">
        <f>+Table1137[[#This Row],[Total Payment 4]]+Table1137[[#This Row],[Interest]]</f>
        <v>100033.56436080614</v>
      </c>
    </row>
    <row r="46" spans="1:16">
      <c r="A46" t="s">
        <v>192</v>
      </c>
      <c r="B46">
        <v>45</v>
      </c>
      <c r="C46" s="46">
        <v>430659.00185616082</v>
      </c>
      <c r="D46" s="46">
        <v>47512.826689882306</v>
      </c>
      <c r="E46" s="46">
        <v>53610.496523688278</v>
      </c>
      <c r="F46" s="46">
        <v>45050.637522815392</v>
      </c>
      <c r="G46" s="46"/>
      <c r="H46" s="46"/>
      <c r="I46" s="46"/>
      <c r="J46" s="46"/>
      <c r="K46" s="46"/>
      <c r="L46" s="46">
        <f>SUM(Table1137[[#This Row],[County Payment]:[Reductions/ COPA Bonus]])</f>
        <v>576832.96259254683</v>
      </c>
      <c r="M46" s="46">
        <f>+Table1137[[#This Row],[Total Payment 4]]-Table1137[[#This Row],[MNK Litigating Payment]]-Table1137[[#This Row],[MNK County Payment]]</f>
        <v>529320.13590266451</v>
      </c>
      <c r="N46" s="44">
        <f>+Table1137[[#This Row],[Total Payment  Less MNK]]/86374268.64</f>
        <v>6.1282155465630867E-3</v>
      </c>
      <c r="O46" s="46">
        <f>+Table1137[[#This Row],[Percentage of Total]]*4660</f>
        <v>28.557484446983985</v>
      </c>
      <c r="P46" s="46">
        <f>+Table1137[[#This Row],[Total Payment 4]]+Table1137[[#This Row],[Interest]]</f>
        <v>576861.52007699385</v>
      </c>
    </row>
    <row r="47" spans="1:16">
      <c r="A47" t="s">
        <v>193</v>
      </c>
      <c r="B47">
        <v>46</v>
      </c>
      <c r="C47" s="46">
        <v>2628217.8278299663</v>
      </c>
      <c r="D47" s="46">
        <v>289960.40398257319</v>
      </c>
      <c r="E47" s="46"/>
      <c r="F47" s="46"/>
      <c r="G47" s="46"/>
      <c r="H47" s="46"/>
      <c r="I47" s="46"/>
      <c r="J47" s="46"/>
      <c r="K47" s="46"/>
      <c r="L47" s="46">
        <f>SUM(Table1137[[#This Row],[County Payment]:[Reductions/ COPA Bonus]])</f>
        <v>2918178.2318125395</v>
      </c>
      <c r="M47" s="46">
        <f>+Table1137[[#This Row],[Total Payment 4]]-Table1137[[#This Row],[MNK Litigating Payment]]-Table1137[[#This Row],[MNK County Payment]]</f>
        <v>2628217.8278299663</v>
      </c>
      <c r="N47" s="44">
        <f>+Table1137[[#This Row],[Total Payment  Less MNK]]/86374268.64</f>
        <v>3.0428249862052507E-2</v>
      </c>
      <c r="O47" s="46">
        <f>+Table1137[[#This Row],[Percentage of Total]]*4660</f>
        <v>141.79564435716469</v>
      </c>
      <c r="P47" s="46">
        <f>+Table1137[[#This Row],[Total Payment 4]]+Table1137[[#This Row],[Interest]]</f>
        <v>2918320.0274568968</v>
      </c>
    </row>
    <row r="48" spans="1:16">
      <c r="A48" t="s">
        <v>194</v>
      </c>
      <c r="B48">
        <v>47</v>
      </c>
      <c r="C48" s="46">
        <v>74859.488531894851</v>
      </c>
      <c r="D48" s="46">
        <v>8258.9377892467946</v>
      </c>
      <c r="E48" s="46"/>
      <c r="F48" s="46"/>
      <c r="G48" s="46"/>
      <c r="H48" s="46"/>
      <c r="I48" s="46"/>
      <c r="J48" s="46"/>
      <c r="K48" s="46"/>
      <c r="L48" s="46">
        <f>SUM(Table1137[[#This Row],[County Payment]:[Reductions/ COPA Bonus]])</f>
        <v>83118.42632114164</v>
      </c>
      <c r="M48" s="46">
        <f>+Table1137[[#This Row],[Total Payment 4]]-Table1137[[#This Row],[MNK Litigating Payment]]-Table1137[[#This Row],[MNK County Payment]]</f>
        <v>74859.488531894851</v>
      </c>
      <c r="N48" s="44">
        <f>+Table1137[[#This Row],[Total Payment  Less MNK]]/86374268.64</f>
        <v>8.6668737936181322E-4</v>
      </c>
      <c r="O48" s="46">
        <f>+Table1137[[#This Row],[Percentage of Total]]*4660</f>
        <v>4.0387631878260493</v>
      </c>
      <c r="P48" s="46">
        <f>+Table1137[[#This Row],[Total Payment 4]]+Table1137[[#This Row],[Interest]]</f>
        <v>83122.465084329466</v>
      </c>
    </row>
    <row r="49" spans="1:16">
      <c r="A49" t="s">
        <v>195</v>
      </c>
      <c r="B49">
        <v>48</v>
      </c>
      <c r="C49" s="46">
        <v>877982.02529747563</v>
      </c>
      <c r="D49" s="46">
        <v>96864.125967402098</v>
      </c>
      <c r="E49" s="46"/>
      <c r="F49" s="46">
        <v>83757.460558333478</v>
      </c>
      <c r="G49" s="46"/>
      <c r="H49" s="46"/>
      <c r="I49" s="46">
        <v>29613.782357534546</v>
      </c>
      <c r="J49" s="46"/>
      <c r="K49" s="46"/>
      <c r="L49" s="46">
        <f>SUM(Table1137[[#This Row],[County Payment]:[Reductions/ COPA Bonus]])</f>
        <v>1088217.3941807458</v>
      </c>
      <c r="M49" s="46">
        <f>+Table1137[[#This Row],[Total Payment 4]]-Table1137[[#This Row],[MNK Litigating Payment]]-Table1137[[#This Row],[MNK County Payment]]</f>
        <v>961739.48585580906</v>
      </c>
      <c r="N49" s="44">
        <f>+Table1137[[#This Row],[Total Payment  Less MNK]]/86374268.64</f>
        <v>1.1134560106832865E-2</v>
      </c>
      <c r="O49" s="46">
        <f>+Table1137[[#This Row],[Percentage of Total]]*4660</f>
        <v>51.887050097841154</v>
      </c>
      <c r="P49" s="46">
        <f>+Table1137[[#This Row],[Total Payment 4]]+Table1137[[#This Row],[Interest]]</f>
        <v>1088269.2812308436</v>
      </c>
    </row>
    <row r="50" spans="1:16">
      <c r="A50" t="s">
        <v>196</v>
      </c>
      <c r="B50">
        <v>49</v>
      </c>
      <c r="C50" s="46">
        <v>300992.63598540978</v>
      </c>
      <c r="D50" s="46">
        <v>33207.272776994258</v>
      </c>
      <c r="E50" s="46">
        <v>29188.66952364421</v>
      </c>
      <c r="F50" s="46">
        <v>24528.18488450137</v>
      </c>
      <c r="G50" s="46"/>
      <c r="H50" s="46"/>
      <c r="I50" s="46">
        <v>8672.3298910083959</v>
      </c>
      <c r="J50" s="46"/>
      <c r="K50" s="46"/>
      <c r="L50" s="46">
        <f>SUM(Table1137[[#This Row],[County Payment]:[Reductions/ COPA Bonus]])</f>
        <v>396589.09306155803</v>
      </c>
      <c r="M50" s="46">
        <f>+Table1137[[#This Row],[Total Payment 4]]-Table1137[[#This Row],[MNK Litigating Payment]]-Table1137[[#This Row],[MNK County Payment]]</f>
        <v>354709.49039355537</v>
      </c>
      <c r="N50" s="44">
        <f>+Table1137[[#This Row],[Total Payment  Less MNK]]/86374268.64</f>
        <v>4.1066569474753163E-3</v>
      </c>
      <c r="O50" s="46">
        <f>+Table1137[[#This Row],[Percentage of Total]]*4660</f>
        <v>19.137021375234973</v>
      </c>
      <c r="P50" s="46">
        <f>+Table1137[[#This Row],[Total Payment 4]]+Table1137[[#This Row],[Interest]]</f>
        <v>396608.23008293327</v>
      </c>
    </row>
    <row r="51" spans="1:16">
      <c r="A51" t="s">
        <v>197</v>
      </c>
      <c r="B51">
        <v>50</v>
      </c>
      <c r="C51" s="46">
        <v>120292.90987371835</v>
      </c>
      <c r="D51" s="46">
        <v>13271.419276545303</v>
      </c>
      <c r="E51" s="46"/>
      <c r="F51" s="46"/>
      <c r="G51" s="46"/>
      <c r="H51" s="46"/>
      <c r="I51" s="46"/>
      <c r="J51" s="46"/>
      <c r="K51" s="46"/>
      <c r="L51" s="46">
        <f>SUM(Table1137[[#This Row],[County Payment]:[Reductions/ COPA Bonus]])</f>
        <v>133564.32915026366</v>
      </c>
      <c r="M51" s="46">
        <f>+Table1137[[#This Row],[Total Payment 4]]-Table1137[[#This Row],[MNK Litigating Payment]]-Table1137[[#This Row],[MNK County Payment]]</f>
        <v>120292.90987371835</v>
      </c>
      <c r="N51" s="44">
        <f>+Table1137[[#This Row],[Total Payment  Less MNK]]/86374268.64</f>
        <v>1.3926938168945676E-3</v>
      </c>
      <c r="O51" s="46">
        <f>+Table1137[[#This Row],[Percentage of Total]]*4660</f>
        <v>6.4899531867286848</v>
      </c>
      <c r="P51" s="46">
        <f>+Table1137[[#This Row],[Total Payment 4]]+Table1137[[#This Row],[Interest]]</f>
        <v>133570.8191034504</v>
      </c>
    </row>
    <row r="52" spans="1:16">
      <c r="A52" t="s">
        <v>5</v>
      </c>
      <c r="B52">
        <v>51</v>
      </c>
      <c r="C52" s="46">
        <v>12053245.57454511</v>
      </c>
      <c r="D52" s="46">
        <v>1329784.7381934626</v>
      </c>
      <c r="E52" s="46">
        <v>510793.59516418452</v>
      </c>
      <c r="F52" s="46">
        <v>429236.41071948502</v>
      </c>
      <c r="G52" s="46">
        <v>1027578.48</v>
      </c>
      <c r="H52" s="46">
        <v>937458.74</v>
      </c>
      <c r="I52" s="46">
        <v>149896.07490120048</v>
      </c>
      <c r="J52" s="46"/>
      <c r="K52" s="46"/>
      <c r="L52" s="46">
        <f>SUM(Table1137[[#This Row],[County Payment]:[Reductions/ COPA Bonus]])</f>
        <v>16437993.613523444</v>
      </c>
      <c r="M52" s="46">
        <f>+Table1137[[#This Row],[Total Payment 4]]-Table1137[[#This Row],[MNK Litigating Payment]]-Table1137[[#This Row],[MNK County Payment]]</f>
        <v>14958312.800428782</v>
      </c>
      <c r="N52" s="44">
        <f>+Table1137[[#This Row],[Total Payment  Less MNK]]/86374268.64</f>
        <v>0.17318019632413506</v>
      </c>
      <c r="O52" s="46">
        <f>+Table1137[[#This Row],[Percentage of Total]]*4660</f>
        <v>807.01971487046933</v>
      </c>
      <c r="P52" s="46">
        <f>+Table1137[[#This Row],[Total Payment 4]]+Table1137[[#This Row],[Interest]]</f>
        <v>16438800.633238314</v>
      </c>
    </row>
    <row r="53" spans="1:16">
      <c r="A53" t="s">
        <v>198</v>
      </c>
      <c r="B53">
        <v>52</v>
      </c>
      <c r="C53" s="46">
        <v>147371.83266036067</v>
      </c>
      <c r="D53" s="46">
        <v>16258.924843049545</v>
      </c>
      <c r="E53" s="46">
        <v>19572.923333333336</v>
      </c>
      <c r="F53" s="46">
        <v>17856.357000000004</v>
      </c>
      <c r="G53" s="46"/>
      <c r="H53" s="46"/>
      <c r="I53" s="46"/>
      <c r="J53" s="46"/>
      <c r="K53" s="46"/>
      <c r="L53" s="46">
        <f>SUM(Table1137[[#This Row],[County Payment]:[Reductions/ COPA Bonus]])</f>
        <v>201060.03783674358</v>
      </c>
      <c r="M53" s="46">
        <f>+Table1137[[#This Row],[Total Payment 4]]-Table1137[[#This Row],[MNK Litigating Payment]]-Table1137[[#This Row],[MNK County Payment]]</f>
        <v>184801.11299369403</v>
      </c>
      <c r="N53" s="44">
        <f>+Table1137[[#This Row],[Total Payment  Less MNK]]/86374268.64</f>
        <v>2.1395389611219523E-3</v>
      </c>
      <c r="O53" s="46">
        <f>+Table1137[[#This Row],[Percentage of Total]]*4660</f>
        <v>9.9702515588282985</v>
      </c>
      <c r="P53" s="46">
        <f>+Table1137[[#This Row],[Total Payment 4]]+Table1137[[#This Row],[Interest]]</f>
        <v>201070.00808830239</v>
      </c>
    </row>
    <row r="54" spans="1:16">
      <c r="A54" t="s">
        <v>199</v>
      </c>
      <c r="B54">
        <v>53</v>
      </c>
      <c r="C54" s="46">
        <v>74859.488531894851</v>
      </c>
      <c r="D54" s="46">
        <v>8258.9377892467946</v>
      </c>
      <c r="E54" s="46"/>
      <c r="F54" s="46"/>
      <c r="G54" s="46"/>
      <c r="H54" s="46"/>
      <c r="I54" s="46"/>
      <c r="J54" s="46"/>
      <c r="K54" s="46"/>
      <c r="L54" s="46">
        <f>SUM(Table1137[[#This Row],[County Payment]:[Reductions/ COPA Bonus]])</f>
        <v>83118.42632114164</v>
      </c>
      <c r="M54" s="46">
        <f>+Table1137[[#This Row],[Total Payment 4]]-Table1137[[#This Row],[MNK Litigating Payment]]-Table1137[[#This Row],[MNK County Payment]]</f>
        <v>74859.488531894851</v>
      </c>
      <c r="N54" s="44">
        <f>+Table1137[[#This Row],[Total Payment  Less MNK]]/86374268.64</f>
        <v>8.6668737936181322E-4</v>
      </c>
      <c r="O54" s="46">
        <f>+Table1137[[#This Row],[Percentage of Total]]*4660</f>
        <v>4.0387631878260493</v>
      </c>
      <c r="P54" s="46">
        <f>+Table1137[[#This Row],[Total Payment 4]]+Table1137[[#This Row],[Interest]]</f>
        <v>83122.465084329466</v>
      </c>
    </row>
    <row r="55" spans="1:16">
      <c r="A55" t="s">
        <v>200</v>
      </c>
      <c r="B55">
        <v>54</v>
      </c>
      <c r="C55" s="46">
        <v>513458.08774174849</v>
      </c>
      <c r="D55" s="46">
        <v>56647.707421056621</v>
      </c>
      <c r="E55" s="46">
        <v>45559.701754424917</v>
      </c>
      <c r="F55" s="46">
        <v>38285.293785317968</v>
      </c>
      <c r="G55" s="46"/>
      <c r="H55" s="46"/>
      <c r="I55" s="46"/>
      <c r="J55" s="46"/>
      <c r="K55" s="46"/>
      <c r="L55" s="46">
        <f>SUM(Table1137[[#This Row],[County Payment]:[Reductions/ COPA Bonus]])</f>
        <v>653950.79070254799</v>
      </c>
      <c r="M55" s="46">
        <f>+Table1137[[#This Row],[Total Payment 4]]-Table1137[[#This Row],[MNK Litigating Payment]]-Table1137[[#This Row],[MNK County Payment]]</f>
        <v>597303.08328149142</v>
      </c>
      <c r="N55" s="44">
        <f>+Table1137[[#This Row],[Total Payment  Less MNK]]/86374268.64</f>
        <v>6.915289619076205E-3</v>
      </c>
      <c r="O55" s="46">
        <f>+Table1137[[#This Row],[Percentage of Total]]*4660</f>
        <v>32.225249624895113</v>
      </c>
      <c r="P55" s="46">
        <f>+Table1137[[#This Row],[Total Payment 4]]+Table1137[[#This Row],[Interest]]</f>
        <v>653983.01595217292</v>
      </c>
    </row>
    <row r="56" spans="1:16">
      <c r="A56" t="s">
        <v>201</v>
      </c>
      <c r="B56">
        <v>55</v>
      </c>
      <c r="C56" s="46">
        <v>74859.488531894851</v>
      </c>
      <c r="D56" s="46">
        <v>8258.9377892467946</v>
      </c>
      <c r="E56" s="46"/>
      <c r="F56" s="46"/>
      <c r="G56" s="46"/>
      <c r="H56" s="46"/>
      <c r="I56" s="46"/>
      <c r="J56" s="46"/>
      <c r="K56" s="46"/>
      <c r="L56" s="46">
        <f>SUM(Table1137[[#This Row],[County Payment]:[Reductions/ COPA Bonus]])</f>
        <v>83118.42632114164</v>
      </c>
      <c r="M56" s="46">
        <f>+Table1137[[#This Row],[Total Payment 4]]-Table1137[[#This Row],[MNK Litigating Payment]]-Table1137[[#This Row],[MNK County Payment]]</f>
        <v>74859.488531894851</v>
      </c>
      <c r="N56" s="44">
        <f>+Table1137[[#This Row],[Total Payment  Less MNK]]/86374268.64</f>
        <v>8.6668737936181322E-4</v>
      </c>
      <c r="O56" s="46">
        <f>+Table1137[[#This Row],[Percentage of Total]]*4660</f>
        <v>4.0387631878260493</v>
      </c>
      <c r="P56" s="46">
        <f>+Table1137[[#This Row],[Total Payment 4]]+Table1137[[#This Row],[Interest]]</f>
        <v>83122.465084329466</v>
      </c>
    </row>
    <row r="57" spans="1:16">
      <c r="A57" t="s">
        <v>202</v>
      </c>
      <c r="B57">
        <v>56</v>
      </c>
      <c r="C57" s="46">
        <v>221318.11029165494</v>
      </c>
      <c r="D57" s="46">
        <v>24417.111850205318</v>
      </c>
      <c r="E57" s="46"/>
      <c r="F57" s="46"/>
      <c r="G57" s="46"/>
      <c r="H57" s="46"/>
      <c r="I57" s="46"/>
      <c r="J57" s="46"/>
      <c r="K57" s="46"/>
      <c r="L57" s="46">
        <f>SUM(Table1137[[#This Row],[County Payment]:[Reductions/ COPA Bonus]])</f>
        <v>245735.22214186026</v>
      </c>
      <c r="M57" s="46">
        <f>+Table1137[[#This Row],[Total Payment 4]]-Table1137[[#This Row],[MNK Litigating Payment]]-Table1137[[#This Row],[MNK County Payment]]</f>
        <v>221318.11029165494</v>
      </c>
      <c r="N57" s="44">
        <f>+Table1137[[#This Row],[Total Payment  Less MNK]]/86374268.64</f>
        <v>2.5623153026520947E-3</v>
      </c>
      <c r="O57" s="46">
        <f>+Table1137[[#This Row],[Percentage of Total]]*4660</f>
        <v>11.940389310358761</v>
      </c>
      <c r="P57" s="46">
        <f>+Table1137[[#This Row],[Total Payment 4]]+Table1137[[#This Row],[Interest]]</f>
        <v>245747.16253117062</v>
      </c>
    </row>
    <row r="58" spans="1:16">
      <c r="A58" t="s">
        <v>203</v>
      </c>
      <c r="B58">
        <v>57</v>
      </c>
      <c r="C58" s="46">
        <v>74859.488531894851</v>
      </c>
      <c r="D58" s="46">
        <v>8258.9377892467946</v>
      </c>
      <c r="E58" s="46"/>
      <c r="F58" s="46"/>
      <c r="G58" s="46"/>
      <c r="H58" s="46"/>
      <c r="I58" s="46"/>
      <c r="J58" s="46"/>
      <c r="K58" s="46"/>
      <c r="L58" s="46">
        <f>SUM(Table1137[[#This Row],[County Payment]:[Reductions/ COPA Bonus]])</f>
        <v>83118.42632114164</v>
      </c>
      <c r="M58" s="46">
        <f>+Table1137[[#This Row],[Total Payment 4]]-Table1137[[#This Row],[MNK Litigating Payment]]-Table1137[[#This Row],[MNK County Payment]]</f>
        <v>74859.488531894851</v>
      </c>
      <c r="N58" s="44">
        <f>+Table1137[[#This Row],[Total Payment  Less MNK]]/86374268.64</f>
        <v>8.6668737936181322E-4</v>
      </c>
      <c r="O58" s="46">
        <f>+Table1137[[#This Row],[Percentage of Total]]*4660</f>
        <v>4.0387631878260493</v>
      </c>
      <c r="P58" s="46">
        <f>+Table1137[[#This Row],[Total Payment 4]]+Table1137[[#This Row],[Interest]]</f>
        <v>83122.465084329466</v>
      </c>
    </row>
    <row r="59" spans="1:16">
      <c r="A59" t="s">
        <v>204</v>
      </c>
      <c r="B59">
        <v>58</v>
      </c>
      <c r="C59" s="46">
        <v>86444.293820159699</v>
      </c>
      <c r="D59" s="46">
        <v>9537.041447883892</v>
      </c>
      <c r="E59" s="46"/>
      <c r="F59" s="46"/>
      <c r="G59" s="46"/>
      <c r="H59" s="46"/>
      <c r="I59" s="46"/>
      <c r="J59" s="46"/>
      <c r="K59" s="46"/>
      <c r="L59" s="46">
        <f>SUM(Table1137[[#This Row],[County Payment]:[Reductions/ COPA Bonus]])</f>
        <v>95981.335268043593</v>
      </c>
      <c r="M59" s="46">
        <f>+Table1137[[#This Row],[Total Payment 4]]-Table1137[[#This Row],[MNK Litigating Payment]]-Table1137[[#This Row],[MNK County Payment]]</f>
        <v>86444.293820159699</v>
      </c>
      <c r="N59" s="44">
        <f>+Table1137[[#This Row],[Total Payment  Less MNK]]/86374268.64</f>
        <v>1.0008107180675713E-3</v>
      </c>
      <c r="O59" s="46">
        <f>+Table1137[[#This Row],[Percentage of Total]]*4660</f>
        <v>4.6637779461948821</v>
      </c>
      <c r="P59" s="46">
        <f>+Table1137[[#This Row],[Total Payment 4]]+Table1137[[#This Row],[Interest]]</f>
        <v>95985.999045989782</v>
      </c>
    </row>
    <row r="60" spans="1:16">
      <c r="A60" t="s">
        <v>205</v>
      </c>
      <c r="B60">
        <v>59</v>
      </c>
      <c r="C60" s="46">
        <v>77591.560425354895</v>
      </c>
      <c r="D60" s="46">
        <v>8560.3559828031466</v>
      </c>
      <c r="E60" s="46">
        <v>13072.429436838922</v>
      </c>
      <c r="F60" s="46">
        <v>10985.186079024503</v>
      </c>
      <c r="G60" s="46"/>
      <c r="H60" s="46"/>
      <c r="I60" s="46"/>
      <c r="J60" s="46"/>
      <c r="K60" s="46"/>
      <c r="L60" s="46">
        <f>SUM(Table1137[[#This Row],[County Payment]:[Reductions/ COPA Bonus]])</f>
        <v>110209.53192402146</v>
      </c>
      <c r="M60" s="46">
        <f>+Table1137[[#This Row],[Total Payment 4]]-Table1137[[#This Row],[MNK Litigating Payment]]-Table1137[[#This Row],[MNK County Payment]]</f>
        <v>101649.17594121832</v>
      </c>
      <c r="N60" s="44">
        <f>+Table1137[[#This Row],[Total Payment  Less MNK]]/86374268.64</f>
        <v>1.1768455761389162E-3</v>
      </c>
      <c r="O60" s="46">
        <f>+Table1137[[#This Row],[Percentage of Total]]*4660</f>
        <v>5.4841003848073493</v>
      </c>
      <c r="P60" s="46">
        <f>+Table1137[[#This Row],[Total Payment 4]]+Table1137[[#This Row],[Interest]]</f>
        <v>110215.01602440627</v>
      </c>
    </row>
    <row r="61" spans="1:16">
      <c r="A61" t="s">
        <v>206</v>
      </c>
      <c r="B61">
        <v>60</v>
      </c>
      <c r="C61" s="46">
        <v>74859.488531894851</v>
      </c>
      <c r="D61" s="46">
        <v>8258.9377892467946</v>
      </c>
      <c r="E61" s="46"/>
      <c r="F61" s="46"/>
      <c r="G61" s="46"/>
      <c r="H61" s="46"/>
      <c r="I61" s="46"/>
      <c r="J61" s="46"/>
      <c r="K61" s="46"/>
      <c r="L61" s="46">
        <f>SUM(Table1137[[#This Row],[County Payment]:[Reductions/ COPA Bonus]])</f>
        <v>83118.42632114164</v>
      </c>
      <c r="M61" s="46">
        <f>+Table1137[[#This Row],[Total Payment 4]]-Table1137[[#This Row],[MNK Litigating Payment]]-Table1137[[#This Row],[MNK County Payment]]</f>
        <v>74859.488531894851</v>
      </c>
      <c r="N61" s="44">
        <f>+Table1137[[#This Row],[Total Payment  Less MNK]]/86374268.64</f>
        <v>8.6668737936181322E-4</v>
      </c>
      <c r="O61" s="46">
        <f>+Table1137[[#This Row],[Percentage of Total]]*4660</f>
        <v>4.0387631878260493</v>
      </c>
      <c r="P61" s="46">
        <f>+Table1137[[#This Row],[Total Payment 4]]+Table1137[[#This Row],[Interest]]</f>
        <v>83122.465084329466</v>
      </c>
    </row>
    <row r="62" spans="1:16">
      <c r="A62" t="s">
        <v>207</v>
      </c>
      <c r="B62">
        <v>61</v>
      </c>
      <c r="C62" s="46">
        <v>174971.47804923088</v>
      </c>
      <c r="D62" s="46">
        <v>19303.879580815788</v>
      </c>
      <c r="E62" s="46"/>
      <c r="F62" s="46"/>
      <c r="G62" s="46"/>
      <c r="H62" s="46"/>
      <c r="I62" s="46"/>
      <c r="J62" s="46"/>
      <c r="K62" s="46"/>
      <c r="L62" s="46">
        <f>SUM(Table1137[[#This Row],[County Payment]:[Reductions/ COPA Bonus]])</f>
        <v>194275.35763004667</v>
      </c>
      <c r="M62" s="46">
        <f>+Table1137[[#This Row],[Total Payment 4]]-Table1137[[#This Row],[MNK Litigating Payment]]-Table1137[[#This Row],[MNK County Payment]]</f>
        <v>174971.47804923088</v>
      </c>
      <c r="N62" s="44">
        <f>+Table1137[[#This Row],[Total Payment  Less MNK]]/86374268.64</f>
        <v>2.0257361457785058E-3</v>
      </c>
      <c r="O62" s="46">
        <f>+Table1137[[#This Row],[Percentage of Total]]*4660</f>
        <v>9.4399304393278367</v>
      </c>
      <c r="P62" s="46">
        <f>+Table1137[[#This Row],[Total Payment 4]]+Table1137[[#This Row],[Interest]]</f>
        <v>194284.79756048598</v>
      </c>
    </row>
    <row r="63" spans="1:16">
      <c r="A63" t="s">
        <v>208</v>
      </c>
      <c r="B63">
        <v>62</v>
      </c>
      <c r="C63" s="46">
        <v>74859.488531894851</v>
      </c>
      <c r="D63" s="46">
        <v>8258.9377892467946</v>
      </c>
      <c r="E63" s="46"/>
      <c r="F63" s="46"/>
      <c r="G63" s="46"/>
      <c r="H63" s="46"/>
      <c r="I63" s="46"/>
      <c r="J63" s="46"/>
      <c r="K63" s="46"/>
      <c r="L63" s="46">
        <f>SUM(Table1137[[#This Row],[County Payment]:[Reductions/ COPA Bonus]])</f>
        <v>83118.42632114164</v>
      </c>
      <c r="M63" s="46">
        <f>+Table1137[[#This Row],[Total Payment 4]]-Table1137[[#This Row],[MNK Litigating Payment]]-Table1137[[#This Row],[MNK County Payment]]</f>
        <v>74859.488531894851</v>
      </c>
      <c r="N63" s="44">
        <f>+Table1137[[#This Row],[Total Payment  Less MNK]]/86374268.64</f>
        <v>8.6668737936181322E-4</v>
      </c>
      <c r="O63" s="46">
        <f>+Table1137[[#This Row],[Percentage of Total]]*4660</f>
        <v>4.0387631878260493</v>
      </c>
      <c r="P63" s="46">
        <f>+Table1137[[#This Row],[Total Payment 4]]+Table1137[[#This Row],[Interest]]</f>
        <v>83122.465084329466</v>
      </c>
    </row>
    <row r="64" spans="1:16">
      <c r="A64" t="s">
        <v>209</v>
      </c>
      <c r="B64">
        <v>63</v>
      </c>
      <c r="C64" s="46">
        <v>857672.87063723814</v>
      </c>
      <c r="D64" s="46">
        <v>94623.500921992832</v>
      </c>
      <c r="E64" s="46">
        <v>66675.600686387901</v>
      </c>
      <c r="F64" s="46">
        <v>56029.667936598868</v>
      </c>
      <c r="G64" s="46"/>
      <c r="H64" s="46"/>
      <c r="I64" s="46"/>
      <c r="J64" s="46"/>
      <c r="K64" s="46"/>
      <c r="L64" s="46">
        <f>SUM(Table1137[[#This Row],[County Payment]:[Reductions/ COPA Bonus]])</f>
        <v>1075001.6401822176</v>
      </c>
      <c r="M64" s="46">
        <f>+Table1137[[#This Row],[Total Payment 4]]-Table1137[[#This Row],[MNK Litigating Payment]]-Table1137[[#This Row],[MNK County Payment]]</f>
        <v>980378.13926022477</v>
      </c>
      <c r="N64" s="44">
        <f>+Table1137[[#This Row],[Total Payment  Less MNK]]/86374268.64</f>
        <v>1.1350349527662579E-2</v>
      </c>
      <c r="O64" s="46">
        <f>+Table1137[[#This Row],[Percentage of Total]]*4660</f>
        <v>52.892628798907623</v>
      </c>
      <c r="P64" s="46">
        <f>+Table1137[[#This Row],[Total Payment 4]]+Table1137[[#This Row],[Interest]]</f>
        <v>1075054.5328110165</v>
      </c>
    </row>
    <row r="65" spans="1:16">
      <c r="A65" t="s">
        <v>210</v>
      </c>
      <c r="B65">
        <v>64</v>
      </c>
      <c r="C65" s="46">
        <v>164035.77938602606</v>
      </c>
      <c r="D65" s="46">
        <v>18097.389171749248</v>
      </c>
      <c r="E65" s="46"/>
      <c r="F65" s="46"/>
      <c r="G65" s="46"/>
      <c r="H65" s="46"/>
      <c r="I65" s="46"/>
      <c r="J65" s="46"/>
      <c r="K65" s="46"/>
      <c r="L65" s="46">
        <f>SUM(Table1137[[#This Row],[County Payment]:[Reductions/ COPA Bonus]])</f>
        <v>182133.16855777529</v>
      </c>
      <c r="M65" s="46">
        <f>+Table1137[[#This Row],[Total Payment 4]]-Table1137[[#This Row],[MNK Litigating Payment]]-Table1137[[#This Row],[MNK County Payment]]</f>
        <v>164035.77938602606</v>
      </c>
      <c r="N65" s="44">
        <f>+Table1137[[#This Row],[Total Payment  Less MNK]]/86374268.64</f>
        <v>1.8991278533391938E-3</v>
      </c>
      <c r="O65" s="46">
        <f>+Table1137[[#This Row],[Percentage of Total]]*4660</f>
        <v>8.8499357965606436</v>
      </c>
      <c r="P65" s="46">
        <f>+Table1137[[#This Row],[Total Payment 4]]+Table1137[[#This Row],[Interest]]</f>
        <v>182142.01849357184</v>
      </c>
    </row>
    <row r="66" spans="1:16">
      <c r="A66" t="s">
        <v>211</v>
      </c>
      <c r="B66">
        <v>65</v>
      </c>
      <c r="C66" s="46">
        <v>1680455.5302974849</v>
      </c>
      <c r="D66" s="46">
        <v>185397.70915492467</v>
      </c>
      <c r="E66" s="46">
        <v>112956.68269844326</v>
      </c>
      <c r="F66" s="46">
        <v>94921.16092934749</v>
      </c>
      <c r="G66" s="46"/>
      <c r="H66" s="46"/>
      <c r="I66" s="46"/>
      <c r="J66" s="46"/>
      <c r="K66" s="46"/>
      <c r="L66" s="46">
        <f>SUM(Table1137[[#This Row],[County Payment]:[Reductions/ COPA Bonus]])</f>
        <v>2073731.0830802002</v>
      </c>
      <c r="M66" s="46">
        <f>+Table1137[[#This Row],[Total Payment 4]]-Table1137[[#This Row],[MNK Litigating Payment]]-Table1137[[#This Row],[MNK County Payment]]</f>
        <v>1888333.3739252756</v>
      </c>
      <c r="N66" s="44">
        <f>+Table1137[[#This Row],[Total Payment  Less MNK]]/86374268.64</f>
        <v>2.1862221280224962E-2</v>
      </c>
      <c r="O66" s="46">
        <f>+Table1137[[#This Row],[Percentage of Total]]*4660</f>
        <v>101.87795116584833</v>
      </c>
      <c r="P66" s="46">
        <f>+Table1137[[#This Row],[Total Payment 4]]+Table1137[[#This Row],[Interest]]</f>
        <v>2073832.9610313661</v>
      </c>
    </row>
    <row r="67" spans="1:16">
      <c r="A67" t="s">
        <v>212</v>
      </c>
      <c r="B67">
        <v>66</v>
      </c>
      <c r="C67" s="46">
        <v>106232.72587816931</v>
      </c>
      <c r="D67" s="46">
        <v>11720.21732203118</v>
      </c>
      <c r="E67" s="46">
        <v>9786.461666666668</v>
      </c>
      <c r="F67" s="46">
        <v>8928.1785000000018</v>
      </c>
      <c r="G67" s="46"/>
      <c r="H67" s="46"/>
      <c r="I67" s="46">
        <v>2466.8452642061156</v>
      </c>
      <c r="J67" s="46"/>
      <c r="K67" s="46"/>
      <c r="L67" s="46">
        <f>SUM(Table1137[[#This Row],[County Payment]:[Reductions/ COPA Bonus]])</f>
        <v>139134.42863107327</v>
      </c>
      <c r="M67" s="46">
        <f>+Table1137[[#This Row],[Total Payment 4]]-Table1137[[#This Row],[MNK Litigating Payment]]-Table1137[[#This Row],[MNK County Payment]]</f>
        <v>124947.36604483597</v>
      </c>
      <c r="N67" s="44">
        <f>+Table1137[[#This Row],[Total Payment  Less MNK]]/86374268.64</f>
        <v>1.4465808858608702E-3</v>
      </c>
      <c r="O67" s="46">
        <f>+Table1137[[#This Row],[Percentage of Total]]*4660</f>
        <v>6.7410669281116551</v>
      </c>
      <c r="P67" s="46">
        <f>+Table1137[[#This Row],[Total Payment 4]]+Table1137[[#This Row],[Interest]]</f>
        <v>139141.16969800138</v>
      </c>
    </row>
    <row r="68" spans="1:16">
      <c r="A68" t="s">
        <v>213</v>
      </c>
      <c r="B68">
        <v>67</v>
      </c>
      <c r="C68" s="46">
        <v>1338844.5101321116</v>
      </c>
      <c r="D68" s="46">
        <v>147709.17802817404</v>
      </c>
      <c r="E68" s="46">
        <v>145371.02076481629</v>
      </c>
      <c r="F68" s="46">
        <v>122159.97962084996</v>
      </c>
      <c r="G68" s="46"/>
      <c r="H68" s="46"/>
      <c r="I68" s="46"/>
      <c r="J68" s="46"/>
      <c r="K68" s="46"/>
      <c r="L68" s="46">
        <f>SUM(Table1137[[#This Row],[County Payment]:[Reductions/ COPA Bonus]])</f>
        <v>1754084.6885459519</v>
      </c>
      <c r="M68" s="46">
        <f>+Table1137[[#This Row],[Total Payment 4]]-Table1137[[#This Row],[MNK Litigating Payment]]-Table1137[[#This Row],[MNK County Payment]]</f>
        <v>1606375.5105177779</v>
      </c>
      <c r="N68" s="44">
        <f>+Table1137[[#This Row],[Total Payment  Less MNK]]/86374268.64</f>
        <v>1.8597847898579645E-2</v>
      </c>
      <c r="O68" s="46">
        <f>+Table1137[[#This Row],[Percentage of Total]]*4660</f>
        <v>86.665971207381148</v>
      </c>
      <c r="P68" s="46">
        <f>+Table1137[[#This Row],[Total Payment 4]]+Table1137[[#This Row],[Interest]]</f>
        <v>1754171.3545171593</v>
      </c>
    </row>
    <row r="69" spans="1:16">
      <c r="A69" t="s">
        <v>269</v>
      </c>
      <c r="C69" s="46">
        <f>SUM(Table1137[County Payment])</f>
        <v>52400993.090279818</v>
      </c>
      <c r="D69" s="46">
        <f>SUM(Table1137[MNK County Payment])</f>
        <v>5781184.8639999963</v>
      </c>
      <c r="E69" s="46">
        <f t="shared" ref="E69:J69" si="0">SUM(E2:E68)</f>
        <v>2955297.5846229889</v>
      </c>
      <c r="F69" s="46">
        <f t="shared" si="0"/>
        <v>2649487.4920939654</v>
      </c>
      <c r="G69" s="46">
        <f t="shared" si="0"/>
        <v>1467969.25</v>
      </c>
      <c r="H69" s="46">
        <f t="shared" si="0"/>
        <v>1339226.77</v>
      </c>
      <c r="I69" s="46">
        <f t="shared" si="0"/>
        <v>667068.0223027902</v>
      </c>
      <c r="J69" s="46">
        <f t="shared" si="0"/>
        <v>206470.89</v>
      </c>
      <c r="K69" s="46"/>
      <c r="L69" s="46">
        <f>SUM(L2:L68)</f>
        <v>67467697.963299572</v>
      </c>
      <c r="M69" s="46">
        <f>SUM(M2:M68)</f>
        <v>61019445.076996766</v>
      </c>
      <c r="N69" s="48">
        <f>SUM(N2:N68)</f>
        <v>0.70645397104686547</v>
      </c>
      <c r="O69" s="49">
        <f>SUM(O2:O68)</f>
        <v>3292.0755050783937</v>
      </c>
      <c r="P69" s="46">
        <f>SUM(P2:P68)</f>
        <v>67470990.038804621</v>
      </c>
    </row>
    <row r="70" spans="1:16" ht="15">
      <c r="E70" s="52">
        <f>Table1137[[#Totals],[Dist Litigating]]/F130</f>
        <v>3.5555704264314675E-2</v>
      </c>
      <c r="F70" s="55" t="s">
        <v>214</v>
      </c>
    </row>
    <row r="72" spans="1:16">
      <c r="A72" t="s">
        <v>215</v>
      </c>
      <c r="B72" t="s">
        <v>140</v>
      </c>
      <c r="C72" t="s">
        <v>143</v>
      </c>
      <c r="D72" t="s">
        <v>144</v>
      </c>
      <c r="E72" t="s">
        <v>216</v>
      </c>
      <c r="F72" t="s">
        <v>146</v>
      </c>
      <c r="G72" t="s">
        <v>217</v>
      </c>
      <c r="H72" t="s">
        <v>218</v>
      </c>
      <c r="I72" t="s">
        <v>149</v>
      </c>
      <c r="J72" t="s">
        <v>278</v>
      </c>
      <c r="K72" s="46" t="s">
        <v>275</v>
      </c>
      <c r="L72" t="s">
        <v>270</v>
      </c>
      <c r="M72" t="s">
        <v>273</v>
      </c>
    </row>
    <row r="73" spans="1:16">
      <c r="A73" t="s">
        <v>46</v>
      </c>
      <c r="B73">
        <v>68</v>
      </c>
      <c r="C73" s="46">
        <v>178962.07629058108</v>
      </c>
      <c r="D73" s="46">
        <v>150387.63212601433</v>
      </c>
      <c r="E73" s="46"/>
      <c r="F73" s="46"/>
      <c r="G73" s="46">
        <v>29725.821361440336</v>
      </c>
      <c r="H73" s="46"/>
      <c r="I73" s="46">
        <f>SUM(Table2158[[#This Row],[Dist Litigating]:[MNK Bellwether]])</f>
        <v>359075.52977803577</v>
      </c>
      <c r="J73" s="46">
        <f>+Table2158[[#This Row],[Total Payment 4]]-Table2158[[#This Row],[MNK Litigating]]-Table2158[[#This Row],[MNK Bellwether]]</f>
        <v>329349.70841659541</v>
      </c>
      <c r="K73" s="44">
        <f>+Table2158[[#This Row],[Total Payment less MNK]]/86374268.64</f>
        <v>3.8130535123752501E-3</v>
      </c>
      <c r="L73" s="46">
        <f>+Table2158[[#This Row],[Percentage of Total]]*4660</f>
        <v>17.768829367668665</v>
      </c>
      <c r="M73" s="46">
        <f>+Table2158[[#This Row],[Total Payment 4]]+Table2158[[#This Row],[Interest]]</f>
        <v>359093.29860740341</v>
      </c>
    </row>
    <row r="74" spans="1:16">
      <c r="A74" t="s">
        <v>47</v>
      </c>
      <c r="B74">
        <v>69</v>
      </c>
      <c r="C74" s="46">
        <v>159666.86330377465</v>
      </c>
      <c r="D74" s="46">
        <v>134173.23937533272</v>
      </c>
      <c r="E74" s="46"/>
      <c r="F74" s="46"/>
      <c r="G74" s="46">
        <v>27292.001107676042</v>
      </c>
      <c r="H74" s="46"/>
      <c r="I74" s="46">
        <f>SUM(Table2158[[#This Row],[Dist Litigating]:[MNK Bellwether]])</f>
        <v>321132.10378678341</v>
      </c>
      <c r="J74" s="46">
        <f>+Table2158[[#This Row],[Total Payment 4]]-Table2158[[#This Row],[MNK Litigating]]-Table2158[[#This Row],[MNK Bellwether]]</f>
        <v>293840.10267910734</v>
      </c>
      <c r="K74" s="44">
        <f>+Table2158[[#This Row],[Total Payment less MNK]]/86374268.64</f>
        <v>3.4019402688525891E-3</v>
      </c>
      <c r="L74" s="46">
        <f>+Table2158[[#This Row],[Percentage of Total]]*4660</f>
        <v>15.853041652853065</v>
      </c>
      <c r="M74" s="46">
        <f>+Table2158[[#This Row],[Total Payment 4]]+Table2158[[#This Row],[Interest]]</f>
        <v>321147.95682843629</v>
      </c>
    </row>
    <row r="75" spans="1:16">
      <c r="A75" t="s">
        <v>48</v>
      </c>
      <c r="B75">
        <v>70</v>
      </c>
      <c r="C75" s="46">
        <v>103677.86173627451</v>
      </c>
      <c r="D75" s="46">
        <v>87123.866986713358</v>
      </c>
      <c r="E75" s="46"/>
      <c r="F75" s="46"/>
      <c r="G75" s="46">
        <v>17721.703203522382</v>
      </c>
      <c r="H75" s="46">
        <v>103235.44</v>
      </c>
      <c r="I75" s="46">
        <f>SUM(Table2158[[#This Row],[Dist Litigating]:[MNK Bellwether]])</f>
        <v>311758.87192651024</v>
      </c>
      <c r="J75" s="46">
        <f>+Table2158[[#This Row],[Total Payment 4]]-Table2158[[#This Row],[MNK Litigating]]-Table2158[[#This Row],[MNK Bellwether]]</f>
        <v>190801.72872298787</v>
      </c>
      <c r="K75" s="44">
        <f>+Table2158[[#This Row],[Total Payment less MNK]]/86374268.64</f>
        <v>2.2090112220600317E-3</v>
      </c>
      <c r="L75" s="46">
        <f>+Table2158[[#This Row],[Percentage of Total]]*4660</f>
        <v>10.293992294799748</v>
      </c>
      <c r="M75" s="46">
        <f>+Table2158[[#This Row],[Total Payment 4]]+Table2158[[#This Row],[Interest]]</f>
        <v>311769.16591880505</v>
      </c>
    </row>
    <row r="76" spans="1:16">
      <c r="A76" t="s">
        <v>49</v>
      </c>
      <c r="B76">
        <v>71</v>
      </c>
      <c r="C76" s="46">
        <v>98171.191523967078</v>
      </c>
      <c r="D76" s="46">
        <v>82496.433558956691</v>
      </c>
      <c r="E76" s="46"/>
      <c r="F76" s="46"/>
      <c r="G76" s="46">
        <v>16507.726530289798</v>
      </c>
      <c r="H76" s="46"/>
      <c r="I76" s="46">
        <f>SUM(Table2158[[#This Row],[Dist Litigating]:[MNK Bellwether]])</f>
        <v>197175.35161321357</v>
      </c>
      <c r="J76" s="46">
        <f>+Table2158[[#This Row],[Total Payment 4]]-Table2158[[#This Row],[MNK Litigating]]-Table2158[[#This Row],[MNK Bellwether]]</f>
        <v>180667.62508292377</v>
      </c>
      <c r="K76" s="44">
        <f>+Table2158[[#This Row],[Total Payment less MNK]]/86374268.64</f>
        <v>2.0916834136787865E-3</v>
      </c>
      <c r="L76" s="46">
        <f>+Table2158[[#This Row],[Percentage of Total]]*4660</f>
        <v>9.7472447077431461</v>
      </c>
      <c r="M76" s="46">
        <f>+Table2158[[#This Row],[Total Payment 4]]+Table2158[[#This Row],[Interest]]</f>
        <v>197185.09885792132</v>
      </c>
    </row>
    <row r="77" spans="1:16">
      <c r="A77" t="s">
        <v>50</v>
      </c>
      <c r="B77">
        <v>72</v>
      </c>
      <c r="C77" s="46">
        <v>74978.62674318823</v>
      </c>
      <c r="D77" s="46">
        <v>63006.969798784085</v>
      </c>
      <c r="E77" s="46"/>
      <c r="F77" s="46"/>
      <c r="G77" s="46">
        <v>12761.848161106815</v>
      </c>
      <c r="H77" s="46"/>
      <c r="I77" s="46">
        <f>SUM(Table2158[[#This Row],[Dist Litigating]:[MNK Bellwether]])</f>
        <v>150747.44470307912</v>
      </c>
      <c r="J77" s="46">
        <f>+Table2158[[#This Row],[Total Payment 4]]-Table2158[[#This Row],[MNK Litigating]]-Table2158[[#This Row],[MNK Bellwether]]</f>
        <v>137985.59654197231</v>
      </c>
      <c r="K77" s="44">
        <f>+Table2158[[#This Row],[Total Payment less MNK]]/86374268.64</f>
        <v>1.5975312869748693E-3</v>
      </c>
      <c r="L77" s="46">
        <f>+Table2158[[#This Row],[Percentage of Total]]*4660</f>
        <v>7.4444957973028911</v>
      </c>
      <c r="M77" s="46">
        <f>+Table2158[[#This Row],[Total Payment 4]]+Table2158[[#This Row],[Interest]]</f>
        <v>150754.88919887642</v>
      </c>
    </row>
    <row r="78" spans="1:16">
      <c r="A78" t="s">
        <v>51</v>
      </c>
      <c r="B78">
        <v>73</v>
      </c>
      <c r="C78" s="46">
        <v>147926.09102443259</v>
      </c>
      <c r="D78" s="46">
        <v>124307.08795924112</v>
      </c>
      <c r="E78" s="46"/>
      <c r="F78" s="46"/>
      <c r="G78" s="46">
        <v>24839.208032726689</v>
      </c>
      <c r="H78" s="46"/>
      <c r="I78" s="46">
        <f>SUM(Table2158[[#This Row],[Dist Litigating]:[MNK Bellwether]])</f>
        <v>297072.38701640035</v>
      </c>
      <c r="J78" s="46">
        <f>+Table2158[[#This Row],[Total Payment 4]]-Table2158[[#This Row],[MNK Litigating]]-Table2158[[#This Row],[MNK Bellwether]]</f>
        <v>272233.17898367369</v>
      </c>
      <c r="K78" s="44">
        <f>+Table2158[[#This Row],[Total Payment less MNK]]/86374268.64</f>
        <v>3.1517856332690529E-3</v>
      </c>
      <c r="L78" s="46">
        <f>+Table2158[[#This Row],[Percentage of Total]]*4660</f>
        <v>14.687321051033786</v>
      </c>
      <c r="M78" s="46">
        <f>+Table2158[[#This Row],[Total Payment 4]]+Table2158[[#This Row],[Interest]]</f>
        <v>297087.07433745137</v>
      </c>
    </row>
    <row r="79" spans="1:16">
      <c r="A79" t="s">
        <v>52</v>
      </c>
      <c r="B79">
        <v>74</v>
      </c>
      <c r="C79" s="46">
        <v>86625.286834323633</v>
      </c>
      <c r="D79" s="46">
        <v>72794.035693339669</v>
      </c>
      <c r="E79" s="46"/>
      <c r="F79" s="46"/>
      <c r="G79" s="46">
        <v>14444.183829129694</v>
      </c>
      <c r="H79" s="46"/>
      <c r="I79" s="46">
        <f>SUM(Table2158[[#This Row],[Dist Litigating]:[MNK Bellwether]])</f>
        <v>173863.50635679302</v>
      </c>
      <c r="J79" s="46">
        <f>+Table2158[[#This Row],[Total Payment 4]]-Table2158[[#This Row],[MNK Litigating]]-Table2158[[#This Row],[MNK Bellwether]]</f>
        <v>159419.32252766332</v>
      </c>
      <c r="K79" s="44">
        <f>+Table2158[[#This Row],[Total Payment less MNK]]/86374268.64</f>
        <v>1.8456807222543136E-3</v>
      </c>
      <c r="L79" s="46">
        <f>+Table2158[[#This Row],[Percentage of Total]]*4660</f>
        <v>8.6008721657051019</v>
      </c>
      <c r="M79" s="46">
        <f>+Table2158[[#This Row],[Total Payment 4]]+Table2158[[#This Row],[Interest]]</f>
        <v>173872.10722895872</v>
      </c>
    </row>
    <row r="80" spans="1:16">
      <c r="A80" t="s">
        <v>53</v>
      </c>
      <c r="B80">
        <v>75</v>
      </c>
      <c r="C80" s="46">
        <v>79276.23213759283</v>
      </c>
      <c r="D80" s="46">
        <v>66618.386879278187</v>
      </c>
      <c r="E80" s="46"/>
      <c r="F80" s="46"/>
      <c r="G80" s="46">
        <v>13167.374471274266</v>
      </c>
      <c r="H80" s="46"/>
      <c r="I80" s="46">
        <f>SUM(Table2158[[#This Row],[Dist Litigating]:[MNK Bellwether]])</f>
        <v>159061.99348814529</v>
      </c>
      <c r="J80" s="46">
        <f>+Table2158[[#This Row],[Total Payment 4]]-Table2158[[#This Row],[MNK Litigating]]-Table2158[[#This Row],[MNK Bellwether]]</f>
        <v>145894.61901687103</v>
      </c>
      <c r="K80" s="44">
        <f>+Table2158[[#This Row],[Total Payment less MNK]]/86374268.64</f>
        <v>1.6890981690964744E-3</v>
      </c>
      <c r="L80" s="46">
        <f>+Table2158[[#This Row],[Percentage of Total]]*4660</f>
        <v>7.8711974679895711</v>
      </c>
      <c r="M80" s="46">
        <f>+Table2158[[#This Row],[Total Payment 4]]+Table2158[[#This Row],[Interest]]</f>
        <v>159069.86468561328</v>
      </c>
    </row>
    <row r="81" spans="1:13">
      <c r="A81" t="s">
        <v>54</v>
      </c>
      <c r="B81">
        <v>76</v>
      </c>
      <c r="C81" s="46">
        <v>118705.91738956672</v>
      </c>
      <c r="D81" s="46">
        <v>99752.429149162534</v>
      </c>
      <c r="E81" s="46"/>
      <c r="F81" s="46"/>
      <c r="G81" s="46">
        <v>20290.462325166449</v>
      </c>
      <c r="H81" s="46"/>
      <c r="I81" s="46">
        <f>SUM(Table2158[[#This Row],[Dist Litigating]:[MNK Bellwether]])</f>
        <v>238748.80886389571</v>
      </c>
      <c r="J81" s="46">
        <f>+Table2158[[#This Row],[Total Payment 4]]-Table2158[[#This Row],[MNK Litigating]]-Table2158[[#This Row],[MNK Bellwether]]</f>
        <v>218458.34653872927</v>
      </c>
      <c r="K81" s="44">
        <f>+Table2158[[#This Row],[Total Payment less MNK]]/86374268.64</f>
        <v>2.5292063247359413E-3</v>
      </c>
      <c r="L81" s="46">
        <f>+Table2158[[#This Row],[Percentage of Total]]*4660</f>
        <v>11.786101473269486</v>
      </c>
      <c r="M81" s="46">
        <f>+Table2158[[#This Row],[Total Payment 4]]+Table2158[[#This Row],[Interest]]</f>
        <v>238760.59496536897</v>
      </c>
    </row>
    <row r="82" spans="1:13">
      <c r="A82" t="s">
        <v>55</v>
      </c>
      <c r="B82">
        <v>77</v>
      </c>
      <c r="C82" s="46">
        <v>22299.606195029206</v>
      </c>
      <c r="D82" s="46">
        <v>18739.081723481013</v>
      </c>
      <c r="E82" s="46"/>
      <c r="F82" s="46"/>
      <c r="G82" s="46">
        <v>3811.6918212239257</v>
      </c>
      <c r="H82" s="46"/>
      <c r="I82" s="46">
        <f>SUM(Table2158[[#This Row],[Dist Litigating]:[MNK Bellwether]])</f>
        <v>44850.37973973414</v>
      </c>
      <c r="J82" s="46">
        <f>+Table2158[[#This Row],[Total Payment 4]]-Table2158[[#This Row],[MNK Litigating]]-Table2158[[#This Row],[MNK Bellwether]]</f>
        <v>41038.687918510215</v>
      </c>
      <c r="K82" s="44">
        <f>+Table2158[[#This Row],[Total Payment less MNK]]/86374268.64</f>
        <v>4.751263144068483E-4</v>
      </c>
      <c r="L82" s="46">
        <f>+Table2158[[#This Row],[Percentage of Total]]*4660</f>
        <v>2.2140886251359131</v>
      </c>
      <c r="M82" s="46">
        <f>+Table2158[[#This Row],[Total Payment 4]]+Table2158[[#This Row],[Interest]]</f>
        <v>44852.593828359277</v>
      </c>
    </row>
    <row r="83" spans="1:13">
      <c r="A83" t="s">
        <v>269</v>
      </c>
      <c r="C83" s="46">
        <f>SUM(C73:C82)</f>
        <v>1070289.7531787304</v>
      </c>
      <c r="D83" s="46">
        <f>SUM(D73:D82)</f>
        <v>899399.16325030371</v>
      </c>
      <c r="E83" s="46"/>
      <c r="F83" s="46"/>
      <c r="G83" s="46">
        <f t="shared" ref="G83:M83" si="1">SUM(G73:G82)</f>
        <v>180562.02084355641</v>
      </c>
      <c r="H83" s="46">
        <f t="shared" si="1"/>
        <v>103235.44</v>
      </c>
      <c r="I83" s="46">
        <f t="shared" si="1"/>
        <v>2253486.3772725905</v>
      </c>
      <c r="J83" s="46">
        <f t="shared" si="1"/>
        <v>1969688.9164290344</v>
      </c>
      <c r="K83" s="54">
        <f t="shared" si="1"/>
        <v>2.2804116867704154E-2</v>
      </c>
      <c r="L83" s="46">
        <f t="shared" si="1"/>
        <v>106.26718460350138</v>
      </c>
      <c r="M83" s="46">
        <f t="shared" si="1"/>
        <v>2253592.6444571936</v>
      </c>
    </row>
    <row r="84" spans="1:13">
      <c r="A84" t="s">
        <v>219</v>
      </c>
      <c r="B84" t="s">
        <v>140</v>
      </c>
      <c r="C84" t="s">
        <v>143</v>
      </c>
      <c r="D84" t="s">
        <v>144</v>
      </c>
      <c r="E84" t="s">
        <v>217</v>
      </c>
      <c r="F84" t="s">
        <v>149</v>
      </c>
      <c r="G84" t="s">
        <v>278</v>
      </c>
      <c r="H84" t="s">
        <v>275</v>
      </c>
      <c r="I84" t="s">
        <v>270</v>
      </c>
      <c r="J84" t="s">
        <v>273</v>
      </c>
    </row>
    <row r="85" spans="1:13">
      <c r="A85" t="s">
        <v>220</v>
      </c>
      <c r="B85">
        <v>78</v>
      </c>
      <c r="C85" s="46"/>
      <c r="D85" s="46">
        <v>3571.2714000000005</v>
      </c>
      <c r="E85" s="46"/>
      <c r="F85" s="46">
        <f>SUM(Table3179[[#This Row],[Dist Litigating]:[MNK Litigating]])</f>
        <v>3571.2714000000005</v>
      </c>
      <c r="G85" s="46">
        <f>+Table3179[[#This Row],[Total Payment 4]]-Table3179[[#This Row],[MNK Litigating]]</f>
        <v>3571.2714000000005</v>
      </c>
      <c r="H85" s="53">
        <f>+Table3179[[#This Row],[Total Payment less MNK]]/86374268.64</f>
        <v>4.1346473391105992E-5</v>
      </c>
      <c r="I85" s="46">
        <f>4660*Table3179[[#This Row],[Percentage of Total]]</f>
        <v>0.19267456600255392</v>
      </c>
      <c r="J85" s="46">
        <f>+Table3179[[#This Row],[Total Payment 4]]+Table3179[[#This Row],[Interest]]</f>
        <v>3571.4640745660031</v>
      </c>
      <c r="K85" s="46"/>
    </row>
    <row r="86" spans="1:13">
      <c r="A86" t="s">
        <v>221</v>
      </c>
      <c r="B86">
        <v>79</v>
      </c>
      <c r="C86" s="46">
        <v>40080.396698233497</v>
      </c>
      <c r="D86" s="46">
        <v>35712.714000000007</v>
      </c>
      <c r="E86" s="46">
        <v>11908.4</v>
      </c>
      <c r="F86" s="46">
        <f>SUM(Table3179[[#This Row],[Dist Litigating]:[MNK Litigating]])</f>
        <v>87701.510698233498</v>
      </c>
      <c r="G86" s="46">
        <f>+Table3179[[#This Row],[Total Payment 4]]-Table3179[[#This Row],[MNK Litigating]]</f>
        <v>75793.110698233504</v>
      </c>
      <c r="H86" s="53">
        <f>+Table3179[[#This Row],[Total Payment less MNK]]/86374268.64</f>
        <v>8.774964105818622E-4</v>
      </c>
      <c r="I86" s="46">
        <f>4660*Table3179[[#This Row],[Percentage of Total]]</f>
        <v>4.0891332733114778</v>
      </c>
      <c r="J86" s="46">
        <f>+Table3179[[#This Row],[Total Payment 4]]+Table3179[[#This Row],[Interest]]</f>
        <v>87705.599831506814</v>
      </c>
    </row>
    <row r="87" spans="1:13">
      <c r="A87" t="s">
        <v>222</v>
      </c>
      <c r="B87">
        <v>80</v>
      </c>
      <c r="C87" s="46">
        <v>19812.318625348737</v>
      </c>
      <c r="D87" s="46">
        <v>17856.357000000004</v>
      </c>
      <c r="E87" s="46"/>
      <c r="F87" s="46">
        <f>SUM(Table3179[[#This Row],[Dist Litigating]:[MNK Litigating]])</f>
        <v>37668.67562534874</v>
      </c>
      <c r="G87" s="46">
        <f>+Table3179[[#This Row],[Total Payment 4]]-Table3179[[#This Row],[MNK Litigating]]</f>
        <v>37668.67562534874</v>
      </c>
      <c r="H87" s="53">
        <f>+Table3179[[#This Row],[Total Payment less MNK]]/86374268.64</f>
        <v>4.3610992276355253E-4</v>
      </c>
      <c r="I87" s="46">
        <f>4660*Table3179[[#This Row],[Percentage of Total]]</f>
        <v>2.032272240078155</v>
      </c>
      <c r="J87" s="46">
        <f>+Table3179[[#This Row],[Total Payment 4]]+Table3179[[#This Row],[Interest]]</f>
        <v>37670.707897588822</v>
      </c>
      <c r="K87" s="46"/>
    </row>
    <row r="88" spans="1:13">
      <c r="A88" t="s">
        <v>223</v>
      </c>
      <c r="B88">
        <v>81</v>
      </c>
      <c r="C88" s="46">
        <v>19572.923333333336</v>
      </c>
      <c r="D88" s="46">
        <v>17856.357000000004</v>
      </c>
      <c r="E88" s="46">
        <v>5137.4236157510531</v>
      </c>
      <c r="F88" s="46">
        <f>SUM(Table3179[[#This Row],[Dist Litigating]:[MNK Litigating]])</f>
        <v>42566.703949084396</v>
      </c>
      <c r="G88" s="46">
        <f>+Table3179[[#This Row],[Total Payment 4]]-Table3179[[#This Row],[MNK Litigating]]</f>
        <v>37429.280333333343</v>
      </c>
      <c r="H88" s="53">
        <f>+Table3179[[#This Row],[Total Payment less MNK]]/86374268.64</f>
        <v>4.3333831849083594E-4</v>
      </c>
      <c r="I88" s="46">
        <f>4660*Table3179[[#This Row],[Percentage of Total]]</f>
        <v>2.0193565641672953</v>
      </c>
      <c r="J88" s="46">
        <f>+Table3179[[#This Row],[Total Payment 4]]+Table3179[[#This Row],[Interest]]</f>
        <v>42568.723305648564</v>
      </c>
    </row>
    <row r="89" spans="1:13">
      <c r="A89" t="s">
        <v>224</v>
      </c>
      <c r="B89">
        <v>82</v>
      </c>
      <c r="C89" s="46">
        <v>3914.5846666666675</v>
      </c>
      <c r="D89" s="46">
        <v>3571.2714000000005</v>
      </c>
      <c r="E89" s="46"/>
      <c r="F89" s="46">
        <f>SUM(Table3179[[#This Row],[Dist Litigating]:[MNK Litigating]])</f>
        <v>7485.8560666666681</v>
      </c>
      <c r="G89" s="46">
        <f>+Table3179[[#This Row],[Total Payment 4]]-Table3179[[#This Row],[MNK Litigating]]</f>
        <v>7485.8560666666681</v>
      </c>
      <c r="H89" s="53">
        <f>+Table3179[[#This Row],[Total Payment less MNK]]/86374268.64</f>
        <v>8.6667663698167187E-5</v>
      </c>
      <c r="I89" s="46">
        <f>4660*Table3179[[#This Row],[Percentage of Total]]</f>
        <v>0.40387131283345912</v>
      </c>
      <c r="J89" s="46">
        <f>+Table3179[[#This Row],[Total Payment 4]]+Table3179[[#This Row],[Interest]]</f>
        <v>7486.259937979502</v>
      </c>
    </row>
    <row r="90" spans="1:13">
      <c r="A90" t="s">
        <v>225</v>
      </c>
      <c r="B90">
        <v>83</v>
      </c>
      <c r="C90" s="46">
        <v>9786.461666666668</v>
      </c>
      <c r="D90" s="46">
        <v>8928.1785000000018</v>
      </c>
      <c r="E90" s="46">
        <v>2072.8238937974165</v>
      </c>
      <c r="F90" s="46">
        <f>SUM(Table3179[[#This Row],[Dist Litigating]:[MNK Litigating]])</f>
        <v>20787.464060464088</v>
      </c>
      <c r="G90" s="46">
        <f>+Table3179[[#This Row],[Total Payment 4]]-Table3179[[#This Row],[MNK Litigating]]</f>
        <v>18714.640166666672</v>
      </c>
      <c r="H90" s="53">
        <f>+Table3179[[#This Row],[Total Payment less MNK]]/86374268.64</f>
        <v>2.1666915924541797E-4</v>
      </c>
      <c r="I90" s="46">
        <f>4660*Table3179[[#This Row],[Percentage of Total]]</f>
        <v>1.0096782820836476</v>
      </c>
      <c r="J90" s="46">
        <f>+Table3179[[#This Row],[Total Payment 4]]+Table3179[[#This Row],[Interest]]</f>
        <v>20788.473738746172</v>
      </c>
    </row>
    <row r="91" spans="1:13">
      <c r="A91" t="s">
        <v>226</v>
      </c>
      <c r="B91">
        <v>84</v>
      </c>
      <c r="C91" s="46">
        <v>3914.5846666666675</v>
      </c>
      <c r="D91" s="46">
        <v>3571.2714000000005</v>
      </c>
      <c r="E91" s="46">
        <v>829.12955751896652</v>
      </c>
      <c r="F91" s="46">
        <f>SUM(Table3179[[#This Row],[Dist Litigating]:[MNK Litigating]])</f>
        <v>8314.9856241856342</v>
      </c>
      <c r="G91" s="46">
        <f>+Table3179[[#This Row],[Total Payment 4]]-Table3179[[#This Row],[MNK Litigating]]</f>
        <v>7485.8560666666672</v>
      </c>
      <c r="H91" s="53">
        <f>+Table3179[[#This Row],[Total Payment less MNK]]/86374268.64</f>
        <v>8.6667663698167174E-5</v>
      </c>
      <c r="I91" s="46">
        <f>4660*Table3179[[#This Row],[Percentage of Total]]</f>
        <v>0.40387131283345901</v>
      </c>
      <c r="J91" s="46">
        <f>+Table3179[[#This Row],[Total Payment 4]]+Table3179[[#This Row],[Interest]]</f>
        <v>8315.389495498468</v>
      </c>
    </row>
    <row r="92" spans="1:13">
      <c r="A92" t="s">
        <v>227</v>
      </c>
      <c r="B92">
        <v>85</v>
      </c>
      <c r="C92" s="46">
        <v>3914.5846666666675</v>
      </c>
      <c r="D92" s="46">
        <v>3571.2714000000005</v>
      </c>
      <c r="E92" s="46">
        <v>829.12955751896652</v>
      </c>
      <c r="F92" s="46">
        <f>SUM(Table3179[[#This Row],[Dist Litigating]:[MNK Litigating]])</f>
        <v>8314.9856241856342</v>
      </c>
      <c r="G92" s="46">
        <f>+Table3179[[#This Row],[Total Payment 4]]-Table3179[[#This Row],[MNK Litigating]]</f>
        <v>7485.8560666666672</v>
      </c>
      <c r="H92" s="53">
        <f>+Table3179[[#This Row],[Total Payment less MNK]]/86374268.64</f>
        <v>8.6667663698167174E-5</v>
      </c>
      <c r="I92" s="46">
        <f>4660*Table3179[[#This Row],[Percentage of Total]]</f>
        <v>0.40387131283345901</v>
      </c>
      <c r="J92" s="46">
        <f>+Table3179[[#This Row],[Total Payment 4]]+Table3179[[#This Row],[Interest]]</f>
        <v>8315.389495498468</v>
      </c>
    </row>
    <row r="93" spans="1:13">
      <c r="A93" t="s">
        <v>228</v>
      </c>
      <c r="B93">
        <v>86</v>
      </c>
      <c r="C93" s="46">
        <v>9786.461666666668</v>
      </c>
      <c r="D93" s="46">
        <v>8928.1785000000018</v>
      </c>
      <c r="E93" s="46">
        <v>2072.8238937974165</v>
      </c>
      <c r="F93" s="46">
        <f>SUM(Table3179[[#This Row],[Dist Litigating]:[MNK Litigating]])</f>
        <v>20787.464060464088</v>
      </c>
      <c r="G93" s="46">
        <f>+Table3179[[#This Row],[Total Payment 4]]-Table3179[[#This Row],[MNK Litigating]]</f>
        <v>18714.640166666672</v>
      </c>
      <c r="H93" s="53">
        <f>+Table3179[[#This Row],[Total Payment less MNK]]/86374268.64</f>
        <v>2.1666915924541797E-4</v>
      </c>
      <c r="I93" s="46">
        <f>4660*Table3179[[#This Row],[Percentage of Total]]</f>
        <v>1.0096782820836476</v>
      </c>
      <c r="J93" s="46">
        <f>+Table3179[[#This Row],[Total Payment 4]]+Table3179[[#This Row],[Interest]]</f>
        <v>20788.473738746172</v>
      </c>
    </row>
    <row r="94" spans="1:13">
      <c r="A94" t="s">
        <v>229</v>
      </c>
      <c r="B94">
        <v>87</v>
      </c>
      <c r="C94" s="46">
        <v>3914.5846666666675</v>
      </c>
      <c r="D94" s="46">
        <v>3571.2714000000005</v>
      </c>
      <c r="E94" s="46">
        <v>829.12955751896652</v>
      </c>
      <c r="F94" s="46">
        <f>SUM(Table3179[[#This Row],[Dist Litigating]:[MNK Litigating]])</f>
        <v>8314.9856241856342</v>
      </c>
      <c r="G94" s="46">
        <f>+Table3179[[#This Row],[Total Payment 4]]-Table3179[[#This Row],[MNK Litigating]]</f>
        <v>7485.8560666666672</v>
      </c>
      <c r="H94" s="53">
        <f>+Table3179[[#This Row],[Total Payment less MNK]]/86374268.64</f>
        <v>8.6667663698167174E-5</v>
      </c>
      <c r="I94" s="46">
        <f>4660*Table3179[[#This Row],[Percentage of Total]]</f>
        <v>0.40387131283345901</v>
      </c>
      <c r="J94" s="46">
        <f>+Table3179[[#This Row],[Total Payment 4]]+Table3179[[#This Row],[Interest]]</f>
        <v>8315.389495498468</v>
      </c>
    </row>
    <row r="95" spans="1:13">
      <c r="A95" t="s">
        <v>230</v>
      </c>
      <c r="B95">
        <v>88</v>
      </c>
      <c r="C95" s="46">
        <v>9786.461666666668</v>
      </c>
      <c r="D95" s="46">
        <v>8928.1785000000018</v>
      </c>
      <c r="E95" s="46">
        <v>2072.8238937974165</v>
      </c>
      <c r="F95" s="46">
        <f>SUM(Table3179[[#This Row],[Dist Litigating]:[MNK Litigating]])</f>
        <v>20787.464060464088</v>
      </c>
      <c r="G95" s="46">
        <f>+Table3179[[#This Row],[Total Payment 4]]-Table3179[[#This Row],[MNK Litigating]]</f>
        <v>18714.640166666672</v>
      </c>
      <c r="H95" s="53">
        <f>+Table3179[[#This Row],[Total Payment less MNK]]/86374268.64</f>
        <v>2.1666915924541797E-4</v>
      </c>
      <c r="I95" s="46">
        <f>4660*Table3179[[#This Row],[Percentage of Total]]</f>
        <v>1.0096782820836476</v>
      </c>
      <c r="J95" s="46">
        <f>+Table3179[[#This Row],[Total Payment 4]]+Table3179[[#This Row],[Interest]]</f>
        <v>20788.473738746172</v>
      </c>
    </row>
    <row r="96" spans="1:13">
      <c r="A96" t="s">
        <v>231</v>
      </c>
      <c r="B96">
        <v>89</v>
      </c>
      <c r="C96" s="46">
        <v>9786.461666666668</v>
      </c>
      <c r="D96" s="46">
        <v>8928.1785000000018</v>
      </c>
      <c r="E96" s="46">
        <v>2835.3248936057321</v>
      </c>
      <c r="F96" s="46">
        <f>SUM(Table3179[[#This Row],[Dist Litigating]:[MNK Litigating]])</f>
        <v>21549.965060272403</v>
      </c>
      <c r="G96" s="46">
        <f>+Table3179[[#This Row],[Total Payment 4]]-Table3179[[#This Row],[MNK Litigating]]</f>
        <v>18714.640166666672</v>
      </c>
      <c r="H96" s="53">
        <f>+Table3179[[#This Row],[Total Payment less MNK]]/86374268.64</f>
        <v>2.1666915924541797E-4</v>
      </c>
      <c r="I96" s="46">
        <f>4660*Table3179[[#This Row],[Percentage of Total]]</f>
        <v>1.0096782820836476</v>
      </c>
      <c r="J96" s="46">
        <f>+Table3179[[#This Row],[Total Payment 4]]+Table3179[[#This Row],[Interest]]</f>
        <v>21550.974738554487</v>
      </c>
    </row>
    <row r="97" spans="1:12">
      <c r="A97" t="s">
        <v>232</v>
      </c>
      <c r="B97">
        <v>90</v>
      </c>
      <c r="C97" s="46">
        <v>9786.461666666668</v>
      </c>
      <c r="D97" s="46">
        <v>8928.1785000000018</v>
      </c>
      <c r="E97" s="46">
        <v>2072.8238937974165</v>
      </c>
      <c r="F97" s="46">
        <f>SUM(Table3179[[#This Row],[Dist Litigating]:[MNK Litigating]])</f>
        <v>20787.464060464088</v>
      </c>
      <c r="G97" s="46">
        <f>+Table3179[[#This Row],[Total Payment 4]]-Table3179[[#This Row],[MNK Litigating]]</f>
        <v>18714.640166666672</v>
      </c>
      <c r="H97" s="53">
        <f>+Table3179[[#This Row],[Total Payment less MNK]]/86374268.64</f>
        <v>2.1666915924541797E-4</v>
      </c>
      <c r="I97" s="46">
        <f>4660*Table3179[[#This Row],[Percentage of Total]]</f>
        <v>1.0096782820836476</v>
      </c>
      <c r="J97" s="46">
        <f>+Table3179[[#This Row],[Total Payment 4]]+Table3179[[#This Row],[Interest]]</f>
        <v>20788.473738746172</v>
      </c>
    </row>
    <row r="98" spans="1:12">
      <c r="A98" t="s">
        <v>233</v>
      </c>
      <c r="B98">
        <v>91</v>
      </c>
      <c r="C98" s="46">
        <v>10567.504171380569</v>
      </c>
      <c r="D98" s="46">
        <v>8928.1785000000018</v>
      </c>
      <c r="E98" s="46">
        <v>3139.7416804004338</v>
      </c>
      <c r="F98" s="46">
        <f>SUM(Table3179[[#This Row],[Dist Litigating]:[MNK Litigating]])</f>
        <v>22635.424351781006</v>
      </c>
      <c r="G98" s="46">
        <f>+Table3179[[#This Row],[Total Payment 4]]-Table3179[[#This Row],[MNK Litigating]]</f>
        <v>19495.682671380571</v>
      </c>
      <c r="H98" s="53">
        <f>+Table3179[[#This Row],[Total Payment less MNK]]/86374268.64</f>
        <v>2.2571169606815176E-4</v>
      </c>
      <c r="I98" s="46">
        <f>4660*Table3179[[#This Row],[Percentage of Total]]</f>
        <v>1.0518165036775873</v>
      </c>
      <c r="J98" s="46">
        <f>+Table3179[[#This Row],[Total Payment 4]]+Table3179[[#This Row],[Interest]]</f>
        <v>22636.476168284684</v>
      </c>
    </row>
    <row r="99" spans="1:12">
      <c r="A99" t="s">
        <v>234</v>
      </c>
      <c r="B99">
        <v>92</v>
      </c>
      <c r="C99" s="46">
        <v>9786.461666666668</v>
      </c>
      <c r="D99" s="46">
        <v>8928.1785000000018</v>
      </c>
      <c r="E99" s="46">
        <v>2072.8238937974165</v>
      </c>
      <c r="F99" s="46">
        <f>SUM(Table3179[[#This Row],[Dist Litigating]:[MNK Litigating]])</f>
        <v>20787.464060464088</v>
      </c>
      <c r="G99" s="46">
        <f>+Table3179[[#This Row],[Total Payment 4]]-Table3179[[#This Row],[MNK Litigating]]</f>
        <v>18714.640166666672</v>
      </c>
      <c r="H99" s="53">
        <f>+Table3179[[#This Row],[Total Payment less MNK]]/86374268.64</f>
        <v>2.1666915924541797E-4</v>
      </c>
      <c r="I99" s="46">
        <f>4660*Table3179[[#This Row],[Percentage of Total]]</f>
        <v>1.0096782820836476</v>
      </c>
      <c r="J99" s="46">
        <f>+Table3179[[#This Row],[Total Payment 4]]+Table3179[[#This Row],[Interest]]</f>
        <v>20788.473738746172</v>
      </c>
    </row>
    <row r="100" spans="1:12">
      <c r="A100" t="s">
        <v>235</v>
      </c>
      <c r="B100">
        <v>93</v>
      </c>
      <c r="C100" s="46"/>
      <c r="D100" s="46">
        <v>3571.2714000000005</v>
      </c>
      <c r="E100" s="46"/>
      <c r="F100" s="46">
        <f>SUM(Table3179[[#This Row],[Dist Litigating]:[MNK Litigating]])</f>
        <v>3571.2714000000005</v>
      </c>
      <c r="G100" s="46">
        <f>+Table3179[[#This Row],[Total Payment 4]]-Table3179[[#This Row],[MNK Litigating]]</f>
        <v>3571.2714000000005</v>
      </c>
      <c r="H100" s="53">
        <f>+Table3179[[#This Row],[Total Payment less MNK]]/86374268.64</f>
        <v>4.1346473391105992E-5</v>
      </c>
      <c r="I100" s="46">
        <f>4660*Table3179[[#This Row],[Percentage of Total]]</f>
        <v>0.19267456600255392</v>
      </c>
      <c r="J100" s="46">
        <f>+Table3179[[#This Row],[Total Payment 4]]+Table3179[[#This Row],[Interest]]</f>
        <v>3571.4640745660031</v>
      </c>
    </row>
    <row r="101" spans="1:12">
      <c r="A101" t="s">
        <v>236</v>
      </c>
      <c r="B101">
        <v>94</v>
      </c>
      <c r="C101" s="46">
        <v>14663.287885785454</v>
      </c>
      <c r="D101" s="46">
        <v>12322.035986802002</v>
      </c>
      <c r="E101" s="46"/>
      <c r="F101" s="46">
        <f>SUM(Table3179[[#This Row],[Dist Litigating]:[MNK Litigating]])</f>
        <v>26985.323872587454</v>
      </c>
      <c r="G101" s="46">
        <f>+Table3179[[#This Row],[Total Payment 4]]-Table3179[[#This Row],[MNK Litigating]]</f>
        <v>26985.323872587454</v>
      </c>
      <c r="H101" s="53">
        <f>+Table3179[[#This Row],[Total Payment less MNK]]/86374268.64</f>
        <v>3.1242318224493224E-4</v>
      </c>
      <c r="I101" s="46">
        <f>4660*Table3179[[#This Row],[Percentage of Total]]</f>
        <v>1.4558920292613842</v>
      </c>
      <c r="J101" s="46">
        <f>+Table3179[[#This Row],[Total Payment 4]]+Table3179[[#This Row],[Interest]]</f>
        <v>26986.779764616716</v>
      </c>
    </row>
    <row r="102" spans="1:12">
      <c r="A102" t="s">
        <v>237</v>
      </c>
      <c r="B102">
        <v>95</v>
      </c>
      <c r="C102" s="46">
        <v>3914.5846666666675</v>
      </c>
      <c r="D102" s="46">
        <v>3571.2714000000005</v>
      </c>
      <c r="E102" s="46"/>
      <c r="F102" s="46">
        <f>SUM(Table3179[[#This Row],[Dist Litigating]:[MNK Litigating]])</f>
        <v>7485.8560666666681</v>
      </c>
      <c r="G102" s="46">
        <f>+Table3179[[#This Row],[Total Payment 4]]-Table3179[[#This Row],[MNK Litigating]]</f>
        <v>7485.8560666666681</v>
      </c>
      <c r="H102" s="53">
        <f>+Table3179[[#This Row],[Total Payment less MNK]]/86374268.64</f>
        <v>8.6667663698167187E-5</v>
      </c>
      <c r="I102" s="46">
        <f>4660*Table3179[[#This Row],[Percentage of Total]]</f>
        <v>0.40387131283345912</v>
      </c>
      <c r="J102" s="46">
        <f>+Table3179[[#This Row],[Total Payment 4]]+Table3179[[#This Row],[Interest]]</f>
        <v>7486.259937979502</v>
      </c>
    </row>
    <row r="103" spans="1:12">
      <c r="A103" t="s">
        <v>238</v>
      </c>
      <c r="B103">
        <v>96</v>
      </c>
      <c r="C103" s="46">
        <v>9786.461666666668</v>
      </c>
      <c r="D103" s="46">
        <v>8928.1785000000018</v>
      </c>
      <c r="E103" s="46">
        <v>2072.8238937974165</v>
      </c>
      <c r="F103" s="46">
        <f>SUM(Table3179[[#This Row],[Dist Litigating]:[MNK Litigating]])</f>
        <v>20787.464060464088</v>
      </c>
      <c r="G103" s="46">
        <f>+Table3179[[#This Row],[Total Payment 4]]-Table3179[[#This Row],[MNK Litigating]]</f>
        <v>18714.640166666672</v>
      </c>
      <c r="H103" s="53">
        <f>+Table3179[[#This Row],[Total Payment less MNK]]/86374268.64</f>
        <v>2.1666915924541797E-4</v>
      </c>
      <c r="I103" s="46">
        <f>4660*Table3179[[#This Row],[Percentage of Total]]</f>
        <v>1.0096782820836476</v>
      </c>
      <c r="J103" s="46">
        <f>+Table3179[[#This Row],[Total Payment 4]]+Table3179[[#This Row],[Interest]]</f>
        <v>20788.473738746172</v>
      </c>
    </row>
    <row r="104" spans="1:12">
      <c r="A104" t="s">
        <v>239</v>
      </c>
      <c r="B104">
        <v>97</v>
      </c>
      <c r="C104" s="46"/>
      <c r="D104" s="46">
        <v>8928.1785000000018</v>
      </c>
      <c r="E104" s="46"/>
      <c r="F104" s="46">
        <f>SUM(Table3179[[#This Row],[Dist Litigating]:[MNK Litigating]])</f>
        <v>8928.1785000000018</v>
      </c>
      <c r="G104" s="46">
        <f>+Table3179[[#This Row],[Total Payment 4]]-Table3179[[#This Row],[MNK Litigating]]</f>
        <v>8928.1785000000018</v>
      </c>
      <c r="H104" s="53">
        <f>+Table3179[[#This Row],[Total Payment less MNK]]/86374268.64</f>
        <v>1.0336618347776498E-4</v>
      </c>
      <c r="I104" s="46">
        <f>4660*Table3179[[#This Row],[Percentage of Total]]</f>
        <v>0.48168641500638482</v>
      </c>
      <c r="J104" s="46">
        <f>+Table3179[[#This Row],[Total Payment 4]]+Table3179[[#This Row],[Interest]]</f>
        <v>8928.6601864150089</v>
      </c>
    </row>
    <row r="105" spans="1:12">
      <c r="A105" t="s">
        <v>240</v>
      </c>
      <c r="B105">
        <v>98</v>
      </c>
      <c r="C105" s="46">
        <v>9786.461666666668</v>
      </c>
      <c r="D105" s="46">
        <v>8928.1785000000018</v>
      </c>
      <c r="E105" s="46"/>
      <c r="F105" s="46">
        <f>SUM(Table3179[[#This Row],[Dist Litigating]:[MNK Litigating]])</f>
        <v>18714.640166666672</v>
      </c>
      <c r="G105" s="46">
        <f>+Table3179[[#This Row],[Total Payment 4]]-Table3179[[#This Row],[MNK Litigating]]</f>
        <v>18714.640166666672</v>
      </c>
      <c r="H105" s="53">
        <f>+Table3179[[#This Row],[Total Payment less MNK]]/86374268.64</f>
        <v>2.1666915924541797E-4</v>
      </c>
      <c r="I105" s="46">
        <f>4660*Table3179[[#This Row],[Percentage of Total]]</f>
        <v>1.0096782820836476</v>
      </c>
      <c r="J105" s="46">
        <f>+Table3179[[#This Row],[Total Payment 4]]+Table3179[[#This Row],[Interest]]</f>
        <v>18715.649844948755</v>
      </c>
    </row>
    <row r="106" spans="1:12">
      <c r="A106" t="s">
        <v>241</v>
      </c>
      <c r="B106">
        <v>99</v>
      </c>
      <c r="C106" s="46">
        <v>11385.386953541667</v>
      </c>
      <c r="D106" s="46">
        <v>9567.5096102562547</v>
      </c>
      <c r="E106" s="46"/>
      <c r="F106" s="46">
        <f>SUM(Table3179[[#This Row],[Dist Litigating]:[MNK Litigating]])</f>
        <v>20952.89656379792</v>
      </c>
      <c r="G106" s="46">
        <f>+Table3179[[#This Row],[Total Payment 4]]-Table3179[[#This Row],[MNK Litigating]]</f>
        <v>20952.89656379792</v>
      </c>
      <c r="H106" s="53">
        <f>+Table3179[[#This Row],[Total Payment less MNK]]/86374268.64</f>
        <v>2.4258262204369756E-4</v>
      </c>
      <c r="I106" s="46">
        <f>4660*Table3179[[#This Row],[Percentage of Total]]</f>
        <v>1.1304350187236307</v>
      </c>
      <c r="J106" s="46">
        <f>+Table3179[[#This Row],[Total Payment 4]]+Table3179[[#This Row],[Interest]]</f>
        <v>20954.026998816644</v>
      </c>
    </row>
    <row r="107" spans="1:12">
      <c r="A107" t="s">
        <v>242</v>
      </c>
      <c r="B107">
        <v>100</v>
      </c>
      <c r="C107" s="46">
        <v>96493.288315471422</v>
      </c>
      <c r="D107" s="46">
        <v>81086.437118970236</v>
      </c>
      <c r="E107" s="46">
        <v>28669.399537450267</v>
      </c>
      <c r="F107" s="46">
        <f>SUM(Table3179[[#This Row],[Dist Litigating]:[MNK Litigating]])</f>
        <v>206249.1249718919</v>
      </c>
      <c r="G107" s="46">
        <f>+Table3179[[#This Row],[Total Payment 4]]-Table3179[[#This Row],[MNK Litigating]]</f>
        <v>177579.72543444164</v>
      </c>
      <c r="H107" s="53">
        <f>+Table3179[[#This Row],[Total Payment less MNK]]/86374268.64</f>
        <v>2.0559331874007245E-3</v>
      </c>
      <c r="I107" s="46">
        <f>4660*Table3179[[#This Row],[Percentage of Total]]</f>
        <v>9.5806486532873762</v>
      </c>
      <c r="J107" s="46">
        <f>+Table3179[[#This Row],[Total Payment 4]]+Table3179[[#This Row],[Interest]]</f>
        <v>206258.7056205452</v>
      </c>
    </row>
    <row r="108" spans="1:12">
      <c r="A108" t="s">
        <v>243</v>
      </c>
      <c r="B108">
        <v>101</v>
      </c>
      <c r="C108" s="46">
        <v>3914.5846666666675</v>
      </c>
      <c r="D108" s="46">
        <v>3571.2714000000005</v>
      </c>
      <c r="E108" s="46">
        <v>928.10688370607147</v>
      </c>
      <c r="F108" s="46">
        <f>SUM(Table3179[[#This Row],[Dist Litigating]:[MNK Litigating]])</f>
        <v>8413.9629503727392</v>
      </c>
      <c r="G108" s="46">
        <f>+Table3179[[#This Row],[Total Payment 4]]-Table3179[[#This Row],[MNK Litigating]]</f>
        <v>7485.8560666666681</v>
      </c>
      <c r="H108" s="53">
        <f>+Table3179[[#This Row],[Total Payment less MNK]]/86374268.64</f>
        <v>8.6667663698167187E-5</v>
      </c>
      <c r="I108" s="46">
        <f>4660*Table3179[[#This Row],[Percentage of Total]]</f>
        <v>0.40387131283345912</v>
      </c>
      <c r="J108" s="46">
        <f>+Table3179[[#This Row],[Total Payment 4]]+Table3179[[#This Row],[Interest]]</f>
        <v>8414.3668216855731</v>
      </c>
    </row>
    <row r="109" spans="1:12">
      <c r="A109" t="s">
        <v>89</v>
      </c>
      <c r="B109">
        <v>102</v>
      </c>
      <c r="C109" s="46"/>
      <c r="D109" s="46">
        <v>112893.02705692685</v>
      </c>
      <c r="E109" s="46"/>
      <c r="F109" s="46">
        <f>SUM(Table3179[[#This Row],[Dist Litigating]:[MNK Litigating]])</f>
        <v>112893.02705692685</v>
      </c>
      <c r="G109" s="46">
        <f>+Table3179[[#This Row],[Total Payment 4]]-Table3179[[#This Row],[MNK Litigating]]</f>
        <v>112893.02705692685</v>
      </c>
      <c r="H109" s="53">
        <f>+Table3179[[#This Row],[Total Payment less MNK]]/86374268.64</f>
        <v>1.3070215103928068E-3</v>
      </c>
      <c r="I109" s="46">
        <f>4660*Table3179[[#This Row],[Percentage of Total]]</f>
        <v>6.0907202384304799</v>
      </c>
      <c r="J109" s="46">
        <f>+Table3179[[#This Row],[Total Payment 4]]+Table3179[[#This Row],[Interest]]</f>
        <v>112899.11777716527</v>
      </c>
    </row>
    <row r="110" spans="1:12">
      <c r="A110" t="s">
        <v>244</v>
      </c>
      <c r="B110">
        <v>103</v>
      </c>
      <c r="C110" s="46">
        <v>3914.5846666666675</v>
      </c>
      <c r="D110" s="46">
        <v>3571.2714000000005</v>
      </c>
      <c r="E110" s="46">
        <v>829.12955751896652</v>
      </c>
      <c r="F110" s="46">
        <f>SUM(Table3179[[#This Row],[Dist Litigating]:[MNK Litigating]])</f>
        <v>8314.9856241856342</v>
      </c>
      <c r="G110" s="46">
        <f>+Table3179[[#This Row],[Total Payment 4]]-Table3179[[#This Row],[MNK Litigating]]</f>
        <v>7485.8560666666672</v>
      </c>
      <c r="H110" s="53">
        <f>+Table3179[[#This Row],[Total Payment less MNK]]/86374268.64</f>
        <v>8.6667663698167174E-5</v>
      </c>
      <c r="I110" s="46">
        <f>4660*Table3179[[#This Row],[Percentage of Total]]</f>
        <v>0.40387131283345901</v>
      </c>
      <c r="J110" s="46">
        <f>+Table3179[[#This Row],[Total Payment 4]]+Table3179[[#This Row],[Interest]]</f>
        <v>8315.389495498468</v>
      </c>
    </row>
    <row r="111" spans="1:12">
      <c r="A111" t="s">
        <v>245</v>
      </c>
      <c r="B111">
        <v>104</v>
      </c>
      <c r="C111" s="46"/>
      <c r="D111" s="46">
        <v>3571.2714000000005</v>
      </c>
      <c r="E111" s="46"/>
      <c r="F111" s="46">
        <f>SUM(Table3179[[#This Row],[Dist Litigating]:[MNK Litigating]])</f>
        <v>3571.2714000000005</v>
      </c>
      <c r="G111" s="46">
        <f>+Table3179[[#This Row],[Total Payment 4]]-Table3179[[#This Row],[MNK Litigating]]</f>
        <v>3571.2714000000005</v>
      </c>
      <c r="H111" s="53">
        <f>+Table3179[[#This Row],[Total Payment less MNK]]/86374268.64</f>
        <v>4.1346473391105992E-5</v>
      </c>
      <c r="I111" s="46">
        <f>4660*Table3179[[#This Row],[Percentage of Total]]</f>
        <v>0.19267456600255392</v>
      </c>
      <c r="J111" s="46">
        <f>+Table3179[[#This Row],[Total Payment 4]]+Table3179[[#This Row],[Interest]]</f>
        <v>3571.4640745660031</v>
      </c>
    </row>
    <row r="112" spans="1:12">
      <c r="A112" t="s">
        <v>246</v>
      </c>
      <c r="B112">
        <v>105</v>
      </c>
      <c r="C112" s="46"/>
      <c r="D112" s="46">
        <v>3571.2714000000005</v>
      </c>
      <c r="E112" s="46"/>
      <c r="F112" s="46">
        <f>SUM(Table3179[[#This Row],[Dist Litigating]:[MNK Litigating]])</f>
        <v>3571.2714000000005</v>
      </c>
      <c r="G112" s="46">
        <f>+Table3179[[#This Row],[Total Payment 4]]-Table3179[[#This Row],[MNK Litigating]]</f>
        <v>3571.2714000000005</v>
      </c>
      <c r="H112" s="53">
        <f>+Table3179[[#This Row],[Total Payment less MNK]]/86374268.64</f>
        <v>4.1346473391105992E-5</v>
      </c>
      <c r="I112" s="46">
        <f>4660*Table3179[[#This Row],[Percentage of Total]]</f>
        <v>0.19267456600255392</v>
      </c>
      <c r="J112" s="46">
        <f>+Table3179[[#This Row],[Total Payment 4]]+Table3179[[#This Row],[Interest]]</f>
        <v>3571.4640745660031</v>
      </c>
    </row>
    <row r="113" spans="1:11">
      <c r="A113" t="s">
        <v>247</v>
      </c>
      <c r="B113">
        <v>106</v>
      </c>
      <c r="C113" s="46">
        <v>10702.225517507572</v>
      </c>
      <c r="D113" s="46">
        <v>8928.1785000000018</v>
      </c>
      <c r="E113" s="46">
        <v>3179.7691285863707</v>
      </c>
      <c r="F113" s="46">
        <f>SUM(Table3179[[#This Row],[Dist Litigating]:[MNK Litigating]])</f>
        <v>22810.173146093941</v>
      </c>
      <c r="G113" s="46">
        <f>+Table3179[[#This Row],[Total Payment 4]]-Table3179[[#This Row],[MNK Litigating]]</f>
        <v>19630.404017507572</v>
      </c>
      <c r="H113" s="53">
        <f>+Table3179[[#This Row],[Total Payment less MNK]]/86374268.64</f>
        <v>2.2727143542396045E-4</v>
      </c>
      <c r="I113" s="46">
        <f>4660*Table3179[[#This Row],[Percentage of Total]]</f>
        <v>1.0590848890756557</v>
      </c>
      <c r="J113" s="46">
        <f>+Table3179[[#This Row],[Total Payment 4]]+Table3179[[#This Row],[Interest]]</f>
        <v>22811.232230983016</v>
      </c>
    </row>
    <row r="114" spans="1:11">
      <c r="A114" t="s">
        <v>248</v>
      </c>
      <c r="B114">
        <v>107</v>
      </c>
      <c r="C114" s="46">
        <v>9786.461666666668</v>
      </c>
      <c r="D114" s="46">
        <v>8928.1785000000018</v>
      </c>
      <c r="E114" s="46">
        <v>2426.1554232605999</v>
      </c>
      <c r="F114" s="46">
        <f>SUM(Table3179[[#This Row],[Dist Litigating]:[MNK Litigating]])</f>
        <v>21140.795589927271</v>
      </c>
      <c r="G114" s="46">
        <f>+Table3179[[#This Row],[Total Payment 4]]-Table3179[[#This Row],[MNK Litigating]]</f>
        <v>18714.640166666672</v>
      </c>
      <c r="H114" s="53">
        <f>+Table3179[[#This Row],[Total Payment less MNK]]/86374268.64</f>
        <v>2.1666915924541797E-4</v>
      </c>
      <c r="I114" s="46">
        <f>4660*Table3179[[#This Row],[Percentage of Total]]</f>
        <v>1.0096782820836476</v>
      </c>
      <c r="J114" s="46">
        <f>+Table3179[[#This Row],[Total Payment 4]]+Table3179[[#This Row],[Interest]]</f>
        <v>21141.805268209355</v>
      </c>
    </row>
    <row r="115" spans="1:11">
      <c r="A115" t="s">
        <v>249</v>
      </c>
      <c r="B115">
        <v>108</v>
      </c>
      <c r="C115" s="46">
        <v>9786.461666666668</v>
      </c>
      <c r="D115" s="46">
        <v>8928.1785000000018</v>
      </c>
      <c r="E115" s="46"/>
      <c r="F115" s="46">
        <f>SUM(Table3179[[#This Row],[Dist Litigating]:[MNK Litigating]])</f>
        <v>18714.640166666672</v>
      </c>
      <c r="G115" s="46">
        <f>+Table3179[[#This Row],[Total Payment 4]]-Table3179[[#This Row],[MNK Litigating]]</f>
        <v>18714.640166666672</v>
      </c>
      <c r="H115" s="53">
        <f>+Table3179[[#This Row],[Total Payment less MNK]]/86374268.64</f>
        <v>2.1666915924541797E-4</v>
      </c>
      <c r="I115" s="46">
        <f>4660*Table3179[[#This Row],[Percentage of Total]]</f>
        <v>1.0096782820836476</v>
      </c>
      <c r="J115" s="46">
        <f>+Table3179[[#This Row],[Total Payment 4]]+Table3179[[#This Row],[Interest]]</f>
        <v>18715.649844948755</v>
      </c>
    </row>
    <row r="116" spans="1:11">
      <c r="A116" t="s">
        <v>250</v>
      </c>
      <c r="B116">
        <v>109</v>
      </c>
      <c r="C116" s="46">
        <v>3914.5846666666675</v>
      </c>
      <c r="D116" s="46">
        <v>3571.2714000000005</v>
      </c>
      <c r="E116" s="46">
        <v>829.12955751896652</v>
      </c>
      <c r="F116" s="46">
        <f>SUM(Table3179[[#This Row],[Dist Litigating]:[MNK Litigating]])</f>
        <v>8314.9856241856342</v>
      </c>
      <c r="G116" s="46">
        <f>+Table3179[[#This Row],[Total Payment 4]]-Table3179[[#This Row],[MNK Litigating]]</f>
        <v>7485.8560666666672</v>
      </c>
      <c r="H116" s="53">
        <f>+Table3179[[#This Row],[Total Payment less MNK]]/86374268.64</f>
        <v>8.6667663698167174E-5</v>
      </c>
      <c r="I116" s="46">
        <f>4660*Table3179[[#This Row],[Percentage of Total]]</f>
        <v>0.40387131283345901</v>
      </c>
      <c r="J116" s="46">
        <f>+Table3179[[#This Row],[Total Payment 4]]+Table3179[[#This Row],[Interest]]</f>
        <v>8315.389495498468</v>
      </c>
    </row>
    <row r="117" spans="1:11">
      <c r="A117" t="s">
        <v>251</v>
      </c>
      <c r="B117">
        <v>110</v>
      </c>
      <c r="C117" s="46">
        <v>14118.032697678056</v>
      </c>
      <c r="D117" s="46">
        <v>11863.840382774959</v>
      </c>
      <c r="E117" s="46">
        <v>4194.64946379718</v>
      </c>
      <c r="F117" s="46">
        <f>SUM(Table3179[[#This Row],[Dist Litigating]:[MNK Litigating]])</f>
        <v>30176.522544250194</v>
      </c>
      <c r="G117" s="46">
        <f>+Table3179[[#This Row],[Total Payment 4]]-Table3179[[#This Row],[MNK Litigating]]</f>
        <v>25981.873080453013</v>
      </c>
      <c r="H117" s="53">
        <f>+Table3179[[#This Row],[Total Payment less MNK]]/86374268.64</f>
        <v>3.0080570856979487E-4</v>
      </c>
      <c r="I117" s="46">
        <f>4660*Table3179[[#This Row],[Percentage of Total]]</f>
        <v>1.401754601935244</v>
      </c>
      <c r="J117" s="46">
        <f>+Table3179[[#This Row],[Total Payment 4]]+Table3179[[#This Row],[Interest]]</f>
        <v>30177.924298852129</v>
      </c>
    </row>
    <row r="118" spans="1:11">
      <c r="A118" t="s">
        <v>252</v>
      </c>
      <c r="B118">
        <v>111</v>
      </c>
      <c r="C118" s="46">
        <v>3914.5846666666675</v>
      </c>
      <c r="D118" s="46">
        <v>3571.2714000000005</v>
      </c>
      <c r="E118" s="46">
        <v>829.12955751896652</v>
      </c>
      <c r="F118" s="46">
        <f>SUM(Table3179[[#This Row],[Dist Litigating]:[MNK Litigating]])</f>
        <v>8314.9856241856342</v>
      </c>
      <c r="G118" s="46">
        <f>+Table3179[[#This Row],[Total Payment 4]]-Table3179[[#This Row],[MNK Litigating]]</f>
        <v>7485.8560666666672</v>
      </c>
      <c r="H118" s="53">
        <f>+Table3179[[#This Row],[Total Payment less MNK]]/86374268.64</f>
        <v>8.6667663698167174E-5</v>
      </c>
      <c r="I118" s="46">
        <f>4660*Table3179[[#This Row],[Percentage of Total]]</f>
        <v>0.40387131283345901</v>
      </c>
      <c r="J118" s="46">
        <f>+Table3179[[#This Row],[Total Payment 4]]+Table3179[[#This Row],[Interest]]</f>
        <v>8315.389495498468</v>
      </c>
    </row>
    <row r="119" spans="1:11">
      <c r="A119" t="s">
        <v>253</v>
      </c>
      <c r="B119">
        <v>112</v>
      </c>
      <c r="C119" s="46">
        <v>3914.5846666666675</v>
      </c>
      <c r="D119" s="46">
        <v>3571.2714000000005</v>
      </c>
      <c r="E119" s="46">
        <v>829.12955751896652</v>
      </c>
      <c r="F119" s="46">
        <f>SUM(Table3179[[#This Row],[Dist Litigating]:[MNK Litigating]])</f>
        <v>8314.9856241856342</v>
      </c>
      <c r="G119" s="46">
        <f>+Table3179[[#This Row],[Total Payment 4]]-Table3179[[#This Row],[MNK Litigating]]</f>
        <v>7485.8560666666672</v>
      </c>
      <c r="H119" s="53">
        <f>+Table3179[[#This Row],[Total Payment less MNK]]/86374268.64</f>
        <v>8.6667663698167174E-5</v>
      </c>
      <c r="I119" s="46">
        <f>4660*Table3179[[#This Row],[Percentage of Total]]</f>
        <v>0.40387131283345901</v>
      </c>
      <c r="J119" s="46">
        <f>+Table3179[[#This Row],[Total Payment 4]]+Table3179[[#This Row],[Interest]]</f>
        <v>8315.389495498468</v>
      </c>
    </row>
    <row r="120" spans="1:11">
      <c r="A120" t="s">
        <v>254</v>
      </c>
      <c r="B120">
        <v>113</v>
      </c>
      <c r="C120" s="46">
        <v>3914.5846666666675</v>
      </c>
      <c r="D120" s="46">
        <v>3571.2714000000005</v>
      </c>
      <c r="E120" s="46">
        <v>829.12955751896652</v>
      </c>
      <c r="F120" s="46">
        <f>SUM(Table3179[[#This Row],[Dist Litigating]:[MNK Litigating]])</f>
        <v>8314.9856241856342</v>
      </c>
      <c r="G120" s="46">
        <f>+Table3179[[#This Row],[Total Payment 4]]-Table3179[[#This Row],[MNK Litigating]]</f>
        <v>7485.8560666666672</v>
      </c>
      <c r="H120" s="53">
        <f>+Table3179[[#This Row],[Total Payment less MNK]]/86374268.64</f>
        <v>8.6667663698167174E-5</v>
      </c>
      <c r="I120" s="46">
        <f>4660*Table3179[[#This Row],[Percentage of Total]]</f>
        <v>0.40387131283345901</v>
      </c>
      <c r="J120" s="46">
        <f>+Table3179[[#This Row],[Total Payment 4]]+Table3179[[#This Row],[Interest]]</f>
        <v>8315.389495498468</v>
      </c>
    </row>
    <row r="121" spans="1:11">
      <c r="C121" s="46">
        <f t="shared" ref="C121:J121" si="2">SUM(C85:C120)</f>
        <v>378320.41219828051</v>
      </c>
      <c r="D121" s="46">
        <f t="shared" si="2"/>
        <v>468793.66965573054</v>
      </c>
      <c r="E121" s="56">
        <f t="shared" si="2"/>
        <v>81488.950449493961</v>
      </c>
      <c r="F121" s="46">
        <f t="shared" si="2"/>
        <v>928603.03230350465</v>
      </c>
      <c r="G121" s="46">
        <f t="shared" si="2"/>
        <v>847114.08185401058</v>
      </c>
      <c r="H121" s="54">
        <f t="shared" si="2"/>
        <v>9.8074819641565288E-3</v>
      </c>
      <c r="I121" s="46">
        <f t="shared" si="2"/>
        <v>45.702865952969418</v>
      </c>
      <c r="J121" s="46">
        <f t="shared" si="2"/>
        <v>928648.73516945785</v>
      </c>
    </row>
    <row r="122" spans="1:11">
      <c r="A122" t="s">
        <v>255</v>
      </c>
      <c r="B122" t="s">
        <v>140</v>
      </c>
      <c r="C122" t="s">
        <v>256</v>
      </c>
      <c r="D122" t="s">
        <v>257</v>
      </c>
      <c r="E122" t="s">
        <v>258</v>
      </c>
      <c r="F122" t="s">
        <v>272</v>
      </c>
      <c r="G122" t="s">
        <v>149</v>
      </c>
      <c r="H122" t="s">
        <v>278</v>
      </c>
      <c r="I122" t="s">
        <v>275</v>
      </c>
      <c r="J122" t="s">
        <v>270</v>
      </c>
      <c r="K122" t="s">
        <v>273</v>
      </c>
    </row>
    <row r="123" spans="1:11">
      <c r="A123" t="s">
        <v>259</v>
      </c>
      <c r="B123">
        <v>114</v>
      </c>
      <c r="C123" s="46">
        <v>5772983.2062804969</v>
      </c>
      <c r="D123" s="46">
        <v>5455801.0273508886</v>
      </c>
      <c r="E123" s="51">
        <v>1238825.328</v>
      </c>
      <c r="F123" s="46"/>
      <c r="G123" s="46">
        <f>SUM(Table71810[[Dist Payment]:[MNK Payment]])</f>
        <v>12467609.561631385</v>
      </c>
      <c r="H123" s="64">
        <f>+Table71810[[#This Row],[Total Payment 4]]-Table71810[[#This Row],[MNK Payment]]</f>
        <v>11228784.233631385</v>
      </c>
      <c r="I123" s="52">
        <f>+Table71810[[#This Row],[Total Payment less MNK]]/86374268.64</f>
        <v>0.13000149709437106</v>
      </c>
      <c r="J123" s="65">
        <f>4660*Table71810[[#This Row],[Percentage of Total]]+0.26</f>
        <v>606.06697645976908</v>
      </c>
      <c r="K123" s="4">
        <f>+Table71810[[#This Row],[Total Payment 4]]+Table71810[[#This Row],[Interest]]</f>
        <v>12468215.628607845</v>
      </c>
    </row>
    <row r="124" spans="1:11">
      <c r="C124" s="46"/>
      <c r="D124" s="46"/>
      <c r="E124" s="57"/>
      <c r="F124" s="46"/>
      <c r="G124" s="46"/>
      <c r="K124" s="4"/>
    </row>
    <row r="125" spans="1:11">
      <c r="A125" t="s">
        <v>260</v>
      </c>
      <c r="B125" t="s">
        <v>140</v>
      </c>
      <c r="C125" t="s">
        <v>261</v>
      </c>
      <c r="D125" s="46" t="s">
        <v>262</v>
      </c>
      <c r="E125" s="46" t="s">
        <v>263</v>
      </c>
      <c r="F125" s="46" t="s">
        <v>149</v>
      </c>
      <c r="G125" s="46" t="s">
        <v>275</v>
      </c>
      <c r="H125" s="46" t="s">
        <v>270</v>
      </c>
      <c r="I125" s="46" t="s">
        <v>273</v>
      </c>
    </row>
    <row r="126" spans="1:11">
      <c r="A126" t="s">
        <v>264</v>
      </c>
      <c r="B126">
        <v>115</v>
      </c>
      <c r="D126" s="46">
        <v>9348591.0730233546</v>
      </c>
      <c r="E126" s="46">
        <v>2167116.1509940801</v>
      </c>
      <c r="F126" s="58">
        <f>SUM(D126:E126)</f>
        <v>11515707.224017434</v>
      </c>
      <c r="G126" s="53">
        <f>+Table81911[[#This Row],[Total Payment 4]]/86374268.64</f>
        <v>0.13332335434310699</v>
      </c>
      <c r="H126" s="65">
        <f>4660*Table81911[[#This Row],[Percentage of Total]]</f>
        <v>621.28683123887856</v>
      </c>
      <c r="I126" s="51">
        <f>+Table81911[[#This Row],[Total Payment 4]]+Table81911[[#This Row],[Interest]]</f>
        <v>11516328.510848673</v>
      </c>
    </row>
    <row r="127" spans="1:11">
      <c r="A127" t="s">
        <v>265</v>
      </c>
      <c r="F127" s="46">
        <v>0</v>
      </c>
      <c r="G127">
        <f>+Table81911[[#This Row],[Total Payment 4]]/86374268.64</f>
        <v>0</v>
      </c>
      <c r="H127" s="65">
        <f>4660*Table81911[[#This Row],[Percentage of Total]]</f>
        <v>0</v>
      </c>
      <c r="I127" s="65">
        <f>+Table81911[[#This Row],[Total Payment 4]]+Table81911[[#This Row],[Interest]]</f>
        <v>0</v>
      </c>
    </row>
    <row r="129" spans="1:6" ht="15">
      <c r="A129" s="32" t="s">
        <v>267</v>
      </c>
      <c r="E129" s="46"/>
      <c r="F129" s="60">
        <f>SUM(F126:F127)</f>
        <v>11515707.224017434</v>
      </c>
    </row>
    <row r="130" spans="1:6" ht="15">
      <c r="A130" s="32" t="s">
        <v>266</v>
      </c>
      <c r="E130" s="52"/>
      <c r="F130" s="61">
        <f>SUM(G123,F85:F120,I73:I82,L2:L68)</f>
        <v>83117396.934507087</v>
      </c>
    </row>
    <row r="131" spans="1:6" ht="15">
      <c r="A131" s="32" t="s">
        <v>268</v>
      </c>
      <c r="F131" s="60">
        <f>SUM(F129:F130)</f>
        <v>94633104.158524513</v>
      </c>
    </row>
    <row r="132" spans="1:6">
      <c r="E132" t="s">
        <v>276</v>
      </c>
      <c r="F132" s="62">
        <v>8258835.5199999996</v>
      </c>
    </row>
    <row r="133" spans="1:6">
      <c r="E133" t="s">
        <v>277</v>
      </c>
      <c r="F133" s="64">
        <f>+F131-F132</f>
        <v>86374268.638524517</v>
      </c>
    </row>
    <row r="134" spans="1:6" ht="15">
      <c r="A134" s="32" t="s">
        <v>279</v>
      </c>
      <c r="F134" s="46"/>
    </row>
    <row r="135" spans="1:6" ht="15">
      <c r="A135" s="32"/>
      <c r="B135" s="50"/>
      <c r="F135" s="46"/>
    </row>
    <row r="136" spans="1:6">
      <c r="E136" s="46"/>
      <c r="F136" s="46"/>
    </row>
    <row r="137" spans="1:6">
      <c r="F137" s="46"/>
    </row>
  </sheetData>
  <phoneticPr fontId="9" type="noConversion"/>
  <pageMargins left="0.7" right="0.7" top="0.75" bottom="0.75" header="0.3" footer="0.3"/>
  <pageSetup orientation="portrait" horizontalDpi="200" verticalDpi="200" r:id="rId1"/>
  <drawing r:id="rId2"/>
  <legacyDrawing r:id="rId3"/>
  <tableParts count="5"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Payment 4 Breakdown </vt:lpstr>
      <vt:lpstr>Not Used - 1</vt:lpstr>
      <vt:lpstr>Not Used -2</vt:lpstr>
      <vt:lpstr>Not Used -3</vt:lpstr>
      <vt:lpstr>Payment 4 Interest Allocation</vt:lpstr>
    </vt:vector>
  </TitlesOfParts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