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ccapoffice.sharepoint.com/sites/PAOpioidTrust/Shared Documents/Board Meetings/Materials/2025 Materials/20251204 Materials/"/>
    </mc:Choice>
  </mc:AlternateContent>
  <xr:revisionPtr revIDLastSave="6" documentId="8_{4D42D3C4-D5FB-4FAF-B43B-052FAC61F620}" xr6:coauthVersionLast="47" xr6:coauthVersionMax="47" xr10:uidLastSave="{9F67CE55-06B9-41C9-ABBE-E0BAC9A0FA00}"/>
  <bookViews>
    <workbookView xWindow="-28920" yWindow="-90" windowWidth="29040" windowHeight="15720" xr2:uid="{681A4B1D-ECA3-4BE7-B9E0-F7F051CD40FD}"/>
  </bookViews>
  <sheets>
    <sheet name="Summary" sheetId="13" r:id="rId1"/>
    <sheet name="Wave 1 Distribution Breakdown" sheetId="18" r:id="rId2"/>
    <sheet name="Wave 1 Payment - Before partial" sheetId="15" r:id="rId3"/>
    <sheet name="Wave 1 J&amp;J Payment Detail" sheetId="16" r:id="rId4"/>
    <sheet name="Wave1 Distrib Part. Payment Det" sheetId="19" r:id="rId5"/>
    <sheet name="Wave 1 Distrib Partial Payment" sheetId="17" state="hidden" r:id="rId6"/>
    <sheet name="Endo Payment Detail" sheetId="14" r:id="rId7"/>
    <sheet name="Wave 2 Distribution Breakdown" sheetId="1" r:id="rId8"/>
    <sheet name="Wave 2 Payment Detail" sheetId="11" r:id="rId9"/>
    <sheet name="County Breakdown" sheetId="6" r:id="rId10"/>
    <sheet name="Teva Allergan Walmart County" sheetId="2" r:id="rId11"/>
    <sheet name="Walgreens and CVS County" sheetId="3" r:id="rId12"/>
    <sheet name="Teva Allergan Lit Breakdown" sheetId="10" r:id="rId13"/>
    <sheet name="Teva Litigating" sheetId="4" r:id="rId14"/>
    <sheet name="Allergan Litigating" sheetId="9" r:id="rId15"/>
    <sheet name="Pharmacies Breakdown" sheetId="7" r:id="rId16"/>
    <sheet name="Walgreens and CVS Litigating" sheetId="5" r:id="rId17"/>
    <sheet name="Walmart Litigating" sheetId="8" r:id="rId18"/>
  </sheets>
  <externalReferences>
    <externalReference r:id="rId19"/>
    <externalReference r:id="rId20"/>
  </externalReferences>
  <definedNames>
    <definedName name="_xlnm._FilterDatabase" localSheetId="0" hidden="1">Summary!$C$72:$J$72</definedName>
    <definedName name="_xlnm._FilterDatabase" localSheetId="3" hidden="1">'Wave 1 J&amp;J Payment Detail'!$A$73:$O$73</definedName>
    <definedName name="_xlnm._FilterDatabase" localSheetId="2" hidden="1">'Wave 1 Payment - Before partial'!$A$73:$O$73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6" i="13" l="1"/>
  <c r="G135" i="13"/>
  <c r="K137" i="13"/>
  <c r="K140" i="13"/>
  <c r="K135" i="13"/>
  <c r="G140" i="13"/>
  <c r="G137" i="13"/>
  <c r="D140" i="13"/>
  <c r="D137" i="13"/>
  <c r="D136" i="13"/>
  <c r="D135" i="13"/>
  <c r="C17" i="1"/>
  <c r="H4" i="1"/>
  <c r="H105" i="13" l="1"/>
  <c r="AV101" i="11" l="1"/>
  <c r="C2" i="1"/>
  <c r="AV128" i="11" l="1"/>
  <c r="F127" i="13"/>
  <c r="G133" i="13" s="1"/>
  <c r="AD128" i="11"/>
  <c r="AV112" i="11"/>
  <c r="AV113" i="11"/>
  <c r="AV114" i="11"/>
  <c r="AV115" i="11"/>
  <c r="AV116" i="11"/>
  <c r="AV117" i="11"/>
  <c r="AV118" i="11"/>
  <c r="AV119" i="11"/>
  <c r="AV120" i="11"/>
  <c r="AV121" i="11"/>
  <c r="AV122" i="11"/>
  <c r="AV123" i="11"/>
  <c r="AV124" i="11"/>
  <c r="AV125" i="11"/>
  <c r="AV126" i="11"/>
  <c r="AV111" i="11"/>
  <c r="AV94" i="11"/>
  <c r="AV74" i="11"/>
  <c r="AV75" i="11"/>
  <c r="AV76" i="11"/>
  <c r="AV77" i="11"/>
  <c r="AV78" i="11"/>
  <c r="AV79" i="11"/>
  <c r="AV80" i="11"/>
  <c r="AV81" i="11"/>
  <c r="AV82" i="11"/>
  <c r="AV83" i="11"/>
  <c r="AV84" i="11"/>
  <c r="AV85" i="11"/>
  <c r="AV86" i="11"/>
  <c r="AV87" i="11"/>
  <c r="AV88" i="11"/>
  <c r="AV89" i="11"/>
  <c r="AV90" i="11"/>
  <c r="AV91" i="11"/>
  <c r="AV92" i="11"/>
  <c r="AV93" i="11"/>
  <c r="AV95" i="11"/>
  <c r="AV96" i="11"/>
  <c r="AV97" i="11"/>
  <c r="AV98" i="11"/>
  <c r="AV99" i="11"/>
  <c r="AV100" i="11"/>
  <c r="AV102" i="11"/>
  <c r="AV103" i="11"/>
  <c r="AV104" i="11"/>
  <c r="AV105" i="11"/>
  <c r="AV106" i="11"/>
  <c r="AV107" i="11"/>
  <c r="AV108" i="11"/>
  <c r="AV73" i="11"/>
  <c r="AV6" i="11"/>
  <c r="AV7" i="11"/>
  <c r="AV8" i="11"/>
  <c r="AV9" i="11"/>
  <c r="AV10" i="11"/>
  <c r="AV11" i="11"/>
  <c r="AV12" i="11"/>
  <c r="AV13" i="11"/>
  <c r="AV14" i="11"/>
  <c r="AV15" i="11"/>
  <c r="AV16" i="11"/>
  <c r="AV17" i="11"/>
  <c r="AV18" i="11"/>
  <c r="AV19" i="11"/>
  <c r="AV20" i="11"/>
  <c r="AV21" i="11"/>
  <c r="AV22" i="11"/>
  <c r="AV23" i="11"/>
  <c r="AV24" i="11"/>
  <c r="AV25" i="11"/>
  <c r="AV26" i="11"/>
  <c r="AV27" i="11"/>
  <c r="AV28" i="11"/>
  <c r="AV29" i="11"/>
  <c r="AV30" i="11"/>
  <c r="AV31" i="11"/>
  <c r="AV32" i="11"/>
  <c r="AV33" i="11"/>
  <c r="AV34" i="11"/>
  <c r="AV35" i="11"/>
  <c r="AV36" i="11"/>
  <c r="AV37" i="11"/>
  <c r="AV38" i="11"/>
  <c r="AV39" i="11"/>
  <c r="AV40" i="11"/>
  <c r="AV41" i="11"/>
  <c r="AV42" i="11"/>
  <c r="AV43" i="11"/>
  <c r="AV44" i="11"/>
  <c r="AV45" i="11"/>
  <c r="AV46" i="11"/>
  <c r="AV47" i="11"/>
  <c r="AV48" i="11"/>
  <c r="AV49" i="11"/>
  <c r="AV50" i="11"/>
  <c r="AV51" i="11"/>
  <c r="AV52" i="11"/>
  <c r="AV53" i="11"/>
  <c r="AV54" i="11"/>
  <c r="AV55" i="11"/>
  <c r="AV56" i="11"/>
  <c r="AV57" i="11"/>
  <c r="AV58" i="11"/>
  <c r="AV59" i="11"/>
  <c r="AV60" i="11"/>
  <c r="AV61" i="11"/>
  <c r="AV62" i="11"/>
  <c r="AV63" i="11"/>
  <c r="AV64" i="11"/>
  <c r="AV65" i="11"/>
  <c r="AV66" i="11"/>
  <c r="AV67" i="11"/>
  <c r="AV68" i="11"/>
  <c r="AV69" i="11"/>
  <c r="AV70" i="11"/>
  <c r="AV71" i="11"/>
  <c r="AV5" i="11"/>
  <c r="P128" i="11"/>
  <c r="D2" i="1"/>
  <c r="K141" i="13"/>
  <c r="Z25" i="1"/>
  <c r="C34" i="1"/>
  <c r="K142" i="13" l="1"/>
  <c r="H124" i="13"/>
  <c r="H122" i="13"/>
  <c r="D127" i="13" l="1"/>
  <c r="D139" i="13" l="1"/>
  <c r="D141" i="13" s="1"/>
  <c r="D133" i="13"/>
  <c r="G127" i="13"/>
  <c r="D138" i="13" l="1"/>
  <c r="L7" i="19"/>
  <c r="L8" i="19"/>
  <c r="L9" i="19"/>
  <c r="L10" i="19"/>
  <c r="L11" i="19"/>
  <c r="L12" i="19"/>
  <c r="L13" i="19"/>
  <c r="L14" i="19"/>
  <c r="L15" i="19"/>
  <c r="L16" i="19"/>
  <c r="L17" i="19"/>
  <c r="L18" i="19"/>
  <c r="L19" i="19"/>
  <c r="L20" i="19"/>
  <c r="L21" i="19"/>
  <c r="L22" i="19"/>
  <c r="L23" i="19"/>
  <c r="L24" i="19"/>
  <c r="L25" i="19"/>
  <c r="L26" i="19"/>
  <c r="L27" i="19"/>
  <c r="L28" i="19"/>
  <c r="L29" i="19"/>
  <c r="L30" i="19"/>
  <c r="L31" i="19"/>
  <c r="L32" i="19"/>
  <c r="L33" i="19"/>
  <c r="L34" i="19"/>
  <c r="L35" i="19"/>
  <c r="L36" i="19"/>
  <c r="L37" i="19"/>
  <c r="L38" i="19"/>
  <c r="L39" i="19"/>
  <c r="L40" i="19"/>
  <c r="L41" i="19"/>
  <c r="L42" i="19"/>
  <c r="L43" i="19"/>
  <c r="L44" i="19"/>
  <c r="L45" i="19"/>
  <c r="L46" i="19"/>
  <c r="L47" i="19"/>
  <c r="L48" i="19"/>
  <c r="L49" i="19"/>
  <c r="L50" i="19"/>
  <c r="L51" i="19"/>
  <c r="L52" i="19"/>
  <c r="L53" i="19"/>
  <c r="L54" i="19"/>
  <c r="L55" i="19"/>
  <c r="L56" i="19"/>
  <c r="L57" i="19"/>
  <c r="L58" i="19"/>
  <c r="L59" i="19"/>
  <c r="L60" i="19"/>
  <c r="L61" i="19"/>
  <c r="L62" i="19"/>
  <c r="L63" i="19"/>
  <c r="L64" i="19"/>
  <c r="L65" i="19"/>
  <c r="L66" i="19"/>
  <c r="L67" i="19"/>
  <c r="L68" i="19"/>
  <c r="L69" i="19"/>
  <c r="L70" i="19"/>
  <c r="L71" i="19"/>
  <c r="L72" i="19"/>
  <c r="L6" i="19"/>
  <c r="I79" i="19"/>
  <c r="L79" i="19" s="1"/>
  <c r="I80" i="19"/>
  <c r="L80" i="19" s="1"/>
  <c r="I81" i="19"/>
  <c r="L81" i="19" s="1"/>
  <c r="I82" i="19"/>
  <c r="L82" i="19" s="1"/>
  <c r="I83" i="19"/>
  <c r="L83" i="19" s="1"/>
  <c r="I84" i="19"/>
  <c r="L84" i="19" s="1"/>
  <c r="I85" i="19"/>
  <c r="L85" i="19" s="1"/>
  <c r="I86" i="19"/>
  <c r="L86" i="19" s="1"/>
  <c r="I87" i="19"/>
  <c r="L87" i="19" s="1"/>
  <c r="I88" i="19"/>
  <c r="L88" i="19" s="1"/>
  <c r="I89" i="19"/>
  <c r="L89" i="19" s="1"/>
  <c r="I90" i="19"/>
  <c r="L90" i="19" s="1"/>
  <c r="I91" i="19"/>
  <c r="L91" i="19" s="1"/>
  <c r="I92" i="19"/>
  <c r="L92" i="19" s="1"/>
  <c r="I93" i="19"/>
  <c r="L93" i="19" s="1"/>
  <c r="I94" i="19"/>
  <c r="L94" i="19" s="1"/>
  <c r="I95" i="19"/>
  <c r="L95" i="19" s="1"/>
  <c r="I96" i="19"/>
  <c r="L96" i="19" s="1"/>
  <c r="I97" i="19"/>
  <c r="L97" i="19" s="1"/>
  <c r="I98" i="19"/>
  <c r="L98" i="19" s="1"/>
  <c r="I99" i="19"/>
  <c r="L99" i="19" s="1"/>
  <c r="I100" i="19"/>
  <c r="L100" i="19" s="1"/>
  <c r="I101" i="19"/>
  <c r="L101" i="19" s="1"/>
  <c r="I102" i="19"/>
  <c r="L102" i="19" s="1"/>
  <c r="I103" i="19"/>
  <c r="L103" i="19" s="1"/>
  <c r="I104" i="19"/>
  <c r="L104" i="19" s="1"/>
  <c r="I105" i="19"/>
  <c r="L105" i="19" s="1"/>
  <c r="I106" i="19"/>
  <c r="L106" i="19" s="1"/>
  <c r="I107" i="19"/>
  <c r="L107" i="19" s="1"/>
  <c r="I108" i="19"/>
  <c r="L108" i="19" s="1"/>
  <c r="I109" i="19"/>
  <c r="L109" i="19" s="1"/>
  <c r="I110" i="19"/>
  <c r="L110" i="19" s="1"/>
  <c r="I111" i="19"/>
  <c r="L111" i="19" s="1"/>
  <c r="I112" i="19"/>
  <c r="L112" i="19" s="1"/>
  <c r="I113" i="19"/>
  <c r="L113" i="19" s="1"/>
  <c r="I114" i="19"/>
  <c r="L114" i="19" s="1"/>
  <c r="I115" i="19"/>
  <c r="L115" i="19" s="1"/>
  <c r="I116" i="19"/>
  <c r="L116" i="19" s="1"/>
  <c r="I117" i="19"/>
  <c r="L117" i="19" s="1"/>
  <c r="I78" i="19"/>
  <c r="L78" i="19" s="1"/>
  <c r="K56" i="19"/>
  <c r="K28" i="19"/>
  <c r="K18" i="19"/>
  <c r="K74" i="19" s="1"/>
  <c r="I7" i="19"/>
  <c r="I8" i="19"/>
  <c r="I9" i="19"/>
  <c r="I10" i="19"/>
  <c r="I11" i="19"/>
  <c r="I12" i="19"/>
  <c r="I13" i="19"/>
  <c r="I14" i="19"/>
  <c r="I15" i="19"/>
  <c r="I16" i="19"/>
  <c r="I17" i="19"/>
  <c r="I18" i="19"/>
  <c r="I19" i="19"/>
  <c r="I20" i="19"/>
  <c r="I21" i="19"/>
  <c r="I22" i="19"/>
  <c r="I23" i="19"/>
  <c r="I24" i="19"/>
  <c r="I25" i="19"/>
  <c r="I26" i="19"/>
  <c r="I27" i="19"/>
  <c r="I28" i="19"/>
  <c r="I29" i="19"/>
  <c r="I30" i="19"/>
  <c r="I31" i="19"/>
  <c r="I32" i="19"/>
  <c r="I33" i="19"/>
  <c r="I34" i="19"/>
  <c r="I35" i="19"/>
  <c r="I36" i="19"/>
  <c r="I37" i="19"/>
  <c r="I38" i="19"/>
  <c r="I39" i="19"/>
  <c r="I40" i="19"/>
  <c r="I41" i="19"/>
  <c r="I42" i="19"/>
  <c r="I43" i="19"/>
  <c r="I44" i="19"/>
  <c r="I45" i="19"/>
  <c r="I46" i="19"/>
  <c r="I47" i="19"/>
  <c r="I48" i="19"/>
  <c r="I49" i="19"/>
  <c r="I50" i="19"/>
  <c r="I51" i="19"/>
  <c r="I52" i="19"/>
  <c r="I53" i="19"/>
  <c r="I54" i="19"/>
  <c r="I55" i="19"/>
  <c r="I56" i="19"/>
  <c r="I57" i="19"/>
  <c r="I58" i="19"/>
  <c r="I59" i="19"/>
  <c r="I60" i="19"/>
  <c r="I61" i="19"/>
  <c r="I62" i="19"/>
  <c r="I63" i="19"/>
  <c r="I64" i="19"/>
  <c r="I65" i="19"/>
  <c r="I66" i="19"/>
  <c r="I67" i="19"/>
  <c r="I68" i="19"/>
  <c r="I69" i="19"/>
  <c r="I70" i="19"/>
  <c r="I71" i="19"/>
  <c r="I72" i="19"/>
  <c r="I6" i="19"/>
  <c r="F7" i="19"/>
  <c r="F8" i="19"/>
  <c r="F9" i="19"/>
  <c r="F10" i="19"/>
  <c r="F11" i="19"/>
  <c r="F12" i="19"/>
  <c r="F13" i="19"/>
  <c r="F14" i="19"/>
  <c r="F15" i="19"/>
  <c r="F16" i="19"/>
  <c r="F17" i="19"/>
  <c r="F18" i="19"/>
  <c r="F19" i="19"/>
  <c r="F20" i="19"/>
  <c r="F21" i="19"/>
  <c r="F22" i="19"/>
  <c r="F23" i="19"/>
  <c r="F24" i="19"/>
  <c r="F25" i="19"/>
  <c r="F26" i="19"/>
  <c r="F27" i="19"/>
  <c r="F28" i="19"/>
  <c r="F29" i="19"/>
  <c r="F30" i="19"/>
  <c r="F31" i="19"/>
  <c r="F32" i="19"/>
  <c r="F33" i="19"/>
  <c r="F34" i="19"/>
  <c r="F35" i="19"/>
  <c r="F36" i="19"/>
  <c r="F37" i="19"/>
  <c r="F38" i="19"/>
  <c r="F39" i="19"/>
  <c r="F40" i="19"/>
  <c r="F41" i="19"/>
  <c r="F42" i="19"/>
  <c r="F43" i="19"/>
  <c r="F44" i="19"/>
  <c r="F45" i="19"/>
  <c r="F46" i="19"/>
  <c r="F47" i="19"/>
  <c r="F48" i="19"/>
  <c r="F49" i="19"/>
  <c r="F50" i="19"/>
  <c r="F51" i="19"/>
  <c r="F52" i="19"/>
  <c r="F53" i="19"/>
  <c r="F54" i="19"/>
  <c r="F55" i="19"/>
  <c r="F56" i="19"/>
  <c r="F57" i="19"/>
  <c r="F58" i="19"/>
  <c r="F59" i="19"/>
  <c r="F60" i="19"/>
  <c r="F61" i="19"/>
  <c r="F62" i="19"/>
  <c r="F63" i="19"/>
  <c r="F64" i="19"/>
  <c r="F65" i="19"/>
  <c r="F66" i="19"/>
  <c r="F67" i="19"/>
  <c r="F68" i="19"/>
  <c r="F69" i="19"/>
  <c r="F70" i="19"/>
  <c r="F71" i="19"/>
  <c r="F72" i="19"/>
  <c r="F6" i="19"/>
  <c r="H20" i="18"/>
  <c r="D20" i="18"/>
  <c r="C20" i="18"/>
  <c r="O19" i="18"/>
  <c r="E19" i="18"/>
  <c r="J19" i="18" s="1"/>
  <c r="O18" i="18"/>
  <c r="E18" i="18"/>
  <c r="J18" i="18" s="1"/>
  <c r="O17" i="18"/>
  <c r="E17" i="18"/>
  <c r="J17" i="18" s="1"/>
  <c r="O16" i="18"/>
  <c r="E16" i="18"/>
  <c r="J16" i="18" s="1"/>
  <c r="O15" i="18"/>
  <c r="E15" i="18"/>
  <c r="J15" i="18" s="1"/>
  <c r="O14" i="18"/>
  <c r="E14" i="18"/>
  <c r="J14" i="18" s="1"/>
  <c r="O13" i="18"/>
  <c r="E13" i="18"/>
  <c r="J13" i="18" s="1"/>
  <c r="O12" i="18"/>
  <c r="E12" i="18"/>
  <c r="J12" i="18" s="1"/>
  <c r="O11" i="18"/>
  <c r="E11" i="18"/>
  <c r="J11" i="18" s="1"/>
  <c r="O10" i="18"/>
  <c r="E10" i="18"/>
  <c r="J10" i="18" s="1"/>
  <c r="O9" i="18"/>
  <c r="M9" i="18"/>
  <c r="N9" i="18" s="1"/>
  <c r="L9" i="18"/>
  <c r="K9" i="18"/>
  <c r="J9" i="18"/>
  <c r="E9" i="18"/>
  <c r="O8" i="18"/>
  <c r="E8" i="18"/>
  <c r="J8" i="18" s="1"/>
  <c r="O7" i="18"/>
  <c r="E7" i="18"/>
  <c r="J7" i="18" s="1"/>
  <c r="O6" i="18"/>
  <c r="M6" i="18"/>
  <c r="N6" i="18" s="1"/>
  <c r="L6" i="18"/>
  <c r="K6" i="18"/>
  <c r="J6" i="18"/>
  <c r="E6" i="18"/>
  <c r="O5" i="18"/>
  <c r="E5" i="18"/>
  <c r="J5" i="18" s="1"/>
  <c r="G4" i="18"/>
  <c r="G20" i="18" s="1"/>
  <c r="F4" i="18"/>
  <c r="F20" i="18" s="1"/>
  <c r="E4" i="18"/>
  <c r="J4" i="18" s="1"/>
  <c r="J3" i="18"/>
  <c r="M3" i="18" s="1"/>
  <c r="N3" i="18" s="1"/>
  <c r="E3" i="18"/>
  <c r="O2" i="18"/>
  <c r="O20" i="18" s="1"/>
  <c r="E2" i="18"/>
  <c r="J2" i="18" s="1"/>
  <c r="F74" i="19" l="1"/>
  <c r="I74" i="19"/>
  <c r="L119" i="19"/>
  <c r="L122" i="19"/>
  <c r="I119" i="19"/>
  <c r="K4" i="18"/>
  <c r="M4" i="18"/>
  <c r="N4" i="18" s="1"/>
  <c r="L4" i="18"/>
  <c r="M5" i="18"/>
  <c r="N5" i="18" s="1"/>
  <c r="L5" i="18"/>
  <c r="K5" i="18"/>
  <c r="M13" i="18"/>
  <c r="N13" i="18" s="1"/>
  <c r="K13" i="18"/>
  <c r="L13" i="18"/>
  <c r="L8" i="18"/>
  <c r="K8" i="18"/>
  <c r="M8" i="18"/>
  <c r="N8" i="18" s="1"/>
  <c r="M11" i="18"/>
  <c r="N11" i="18" s="1"/>
  <c r="L11" i="18"/>
  <c r="K11" i="18"/>
  <c r="M12" i="18"/>
  <c r="N12" i="18" s="1"/>
  <c r="L12" i="18"/>
  <c r="K12" i="18"/>
  <c r="L14" i="18"/>
  <c r="M14" i="18"/>
  <c r="N14" i="18" s="1"/>
  <c r="K14" i="18"/>
  <c r="K15" i="18"/>
  <c r="M15" i="18"/>
  <c r="N15" i="18" s="1"/>
  <c r="L15" i="18"/>
  <c r="M16" i="18"/>
  <c r="N16" i="18" s="1"/>
  <c r="L16" i="18"/>
  <c r="K16" i="18"/>
  <c r="L17" i="18"/>
  <c r="M17" i="18"/>
  <c r="N17" i="18" s="1"/>
  <c r="K17" i="18"/>
  <c r="L18" i="18"/>
  <c r="K18" i="18"/>
  <c r="M18" i="18"/>
  <c r="N18" i="18" s="1"/>
  <c r="K19" i="18"/>
  <c r="L19" i="18"/>
  <c r="M19" i="18"/>
  <c r="N19" i="18" s="1"/>
  <c r="M2" i="18"/>
  <c r="L2" i="18"/>
  <c r="K2" i="18"/>
  <c r="K7" i="18"/>
  <c r="M7" i="18"/>
  <c r="N7" i="18" s="1"/>
  <c r="L7" i="18"/>
  <c r="M10" i="18"/>
  <c r="N10" i="18" s="1"/>
  <c r="N20" i="18" s="1"/>
  <c r="K10" i="18"/>
  <c r="L10" i="18"/>
  <c r="K3" i="18"/>
  <c r="L3" i="18"/>
  <c r="E20" i="18"/>
  <c r="J20" i="18" s="1"/>
  <c r="F132" i="16"/>
  <c r="C135" i="16" s="1"/>
  <c r="D129" i="16"/>
  <c r="C129" i="16"/>
  <c r="F129" i="16" s="1"/>
  <c r="F128" i="16"/>
  <c r="E124" i="16"/>
  <c r="D124" i="16"/>
  <c r="C124" i="16"/>
  <c r="F123" i="16"/>
  <c r="F122" i="16"/>
  <c r="F121" i="16"/>
  <c r="F120" i="16"/>
  <c r="F119" i="16"/>
  <c r="F118" i="16"/>
  <c r="F117" i="16"/>
  <c r="F116" i="16"/>
  <c r="F115" i="16"/>
  <c r="F114" i="16"/>
  <c r="F113" i="16"/>
  <c r="F112" i="16"/>
  <c r="F111" i="16"/>
  <c r="F110" i="16"/>
  <c r="F109" i="16"/>
  <c r="F108" i="16"/>
  <c r="F107" i="16"/>
  <c r="F106" i="16"/>
  <c r="F105" i="16"/>
  <c r="F104" i="16"/>
  <c r="F103" i="16"/>
  <c r="F102" i="16"/>
  <c r="F101" i="16"/>
  <c r="F100" i="16"/>
  <c r="F99" i="16"/>
  <c r="F98" i="16"/>
  <c r="F97" i="16"/>
  <c r="F96" i="16"/>
  <c r="F95" i="16"/>
  <c r="F94" i="16"/>
  <c r="F93" i="16"/>
  <c r="F92" i="16"/>
  <c r="F91" i="16"/>
  <c r="F90" i="16"/>
  <c r="F124" i="16" s="1"/>
  <c r="F89" i="16"/>
  <c r="F88" i="16"/>
  <c r="N84" i="16"/>
  <c r="L84" i="16"/>
  <c r="K84" i="16"/>
  <c r="J84" i="16"/>
  <c r="I84" i="16"/>
  <c r="E84" i="16"/>
  <c r="D84" i="16"/>
  <c r="C84" i="16"/>
  <c r="F83" i="16"/>
  <c r="O83" i="16" s="1"/>
  <c r="F82" i="16"/>
  <c r="M82" i="16" s="1"/>
  <c r="F81" i="16"/>
  <c r="O81" i="16" s="1"/>
  <c r="M80" i="16"/>
  <c r="F80" i="16"/>
  <c r="O80" i="16" s="1"/>
  <c r="F79" i="16"/>
  <c r="O79" i="16" s="1"/>
  <c r="F78" i="16"/>
  <c r="O78" i="16" s="1"/>
  <c r="F77" i="16"/>
  <c r="O77" i="16" s="1"/>
  <c r="F76" i="16"/>
  <c r="O76" i="16" s="1"/>
  <c r="F75" i="16"/>
  <c r="O75" i="16" s="1"/>
  <c r="F74" i="16"/>
  <c r="F84" i="16" s="1"/>
  <c r="N69" i="16"/>
  <c r="M69" i="16"/>
  <c r="L69" i="16"/>
  <c r="K69" i="16"/>
  <c r="I69" i="16"/>
  <c r="H69" i="16"/>
  <c r="G69" i="16"/>
  <c r="F69" i="16"/>
  <c r="C69" i="16"/>
  <c r="J68" i="16"/>
  <c r="D68" i="16"/>
  <c r="E68" i="16" s="1"/>
  <c r="O68" i="16" s="1"/>
  <c r="J67" i="16"/>
  <c r="D67" i="16"/>
  <c r="E67" i="16" s="1"/>
  <c r="O67" i="16" s="1"/>
  <c r="J66" i="16"/>
  <c r="D66" i="16"/>
  <c r="E66" i="16" s="1"/>
  <c r="O66" i="16" s="1"/>
  <c r="J65" i="16"/>
  <c r="D65" i="16"/>
  <c r="E65" i="16" s="1"/>
  <c r="O65" i="16" s="1"/>
  <c r="J64" i="16"/>
  <c r="D64" i="16"/>
  <c r="E64" i="16" s="1"/>
  <c r="O64" i="16" s="1"/>
  <c r="J63" i="16"/>
  <c r="D63" i="16"/>
  <c r="E63" i="16" s="1"/>
  <c r="O63" i="16" s="1"/>
  <c r="J62" i="16"/>
  <c r="D62" i="16"/>
  <c r="E62" i="16" s="1"/>
  <c r="O62" i="16" s="1"/>
  <c r="J61" i="16"/>
  <c r="D61" i="16"/>
  <c r="E61" i="16" s="1"/>
  <c r="O61" i="16" s="1"/>
  <c r="J60" i="16"/>
  <c r="D60" i="16"/>
  <c r="E60" i="16" s="1"/>
  <c r="O60" i="16" s="1"/>
  <c r="J59" i="16"/>
  <c r="D59" i="16"/>
  <c r="E59" i="16" s="1"/>
  <c r="O59" i="16" s="1"/>
  <c r="J58" i="16"/>
  <c r="D58" i="16"/>
  <c r="E58" i="16" s="1"/>
  <c r="O58" i="16" s="1"/>
  <c r="J57" i="16"/>
  <c r="D57" i="16"/>
  <c r="E57" i="16" s="1"/>
  <c r="O57" i="16" s="1"/>
  <c r="J56" i="16"/>
  <c r="D56" i="16"/>
  <c r="E56" i="16" s="1"/>
  <c r="O56" i="16" s="1"/>
  <c r="J55" i="16"/>
  <c r="D55" i="16"/>
  <c r="E55" i="16" s="1"/>
  <c r="O55" i="16" s="1"/>
  <c r="J54" i="16"/>
  <c r="D54" i="16"/>
  <c r="E54" i="16" s="1"/>
  <c r="O54" i="16" s="1"/>
  <c r="J53" i="16"/>
  <c r="D53" i="16"/>
  <c r="E53" i="16" s="1"/>
  <c r="O53" i="16" s="1"/>
  <c r="J52" i="16"/>
  <c r="D52" i="16"/>
  <c r="E52" i="16" s="1"/>
  <c r="O52" i="16" s="1"/>
  <c r="J51" i="16"/>
  <c r="D51" i="16"/>
  <c r="E51" i="16" s="1"/>
  <c r="O51" i="16" s="1"/>
  <c r="J50" i="16"/>
  <c r="D50" i="16"/>
  <c r="E50" i="16" s="1"/>
  <c r="O50" i="16" s="1"/>
  <c r="J49" i="16"/>
  <c r="D49" i="16"/>
  <c r="E49" i="16" s="1"/>
  <c r="O49" i="16" s="1"/>
  <c r="J48" i="16"/>
  <c r="D48" i="16"/>
  <c r="E48" i="16" s="1"/>
  <c r="O48" i="16" s="1"/>
  <c r="J47" i="16"/>
  <c r="D47" i="16"/>
  <c r="E47" i="16" s="1"/>
  <c r="O47" i="16" s="1"/>
  <c r="J46" i="16"/>
  <c r="D46" i="16"/>
  <c r="E46" i="16" s="1"/>
  <c r="O46" i="16" s="1"/>
  <c r="J45" i="16"/>
  <c r="D45" i="16"/>
  <c r="E45" i="16" s="1"/>
  <c r="O45" i="16" s="1"/>
  <c r="J44" i="16"/>
  <c r="D44" i="16"/>
  <c r="E44" i="16" s="1"/>
  <c r="O44" i="16" s="1"/>
  <c r="J43" i="16"/>
  <c r="D43" i="16"/>
  <c r="E43" i="16" s="1"/>
  <c r="O43" i="16" s="1"/>
  <c r="J42" i="16"/>
  <c r="D42" i="16"/>
  <c r="E42" i="16" s="1"/>
  <c r="O42" i="16" s="1"/>
  <c r="J41" i="16"/>
  <c r="D41" i="16"/>
  <c r="E41" i="16" s="1"/>
  <c r="O41" i="16" s="1"/>
  <c r="J40" i="16"/>
  <c r="D40" i="16"/>
  <c r="E40" i="16" s="1"/>
  <c r="O40" i="16" s="1"/>
  <c r="J39" i="16"/>
  <c r="D39" i="16"/>
  <c r="E39" i="16" s="1"/>
  <c r="O39" i="16" s="1"/>
  <c r="J38" i="16"/>
  <c r="D38" i="16"/>
  <c r="E38" i="16" s="1"/>
  <c r="O38" i="16" s="1"/>
  <c r="J37" i="16"/>
  <c r="D37" i="16"/>
  <c r="E37" i="16" s="1"/>
  <c r="O37" i="16" s="1"/>
  <c r="J36" i="16"/>
  <c r="D36" i="16"/>
  <c r="E36" i="16" s="1"/>
  <c r="O36" i="16" s="1"/>
  <c r="J35" i="16"/>
  <c r="D35" i="16"/>
  <c r="E35" i="16" s="1"/>
  <c r="O35" i="16" s="1"/>
  <c r="J34" i="16"/>
  <c r="D34" i="16"/>
  <c r="E34" i="16" s="1"/>
  <c r="O34" i="16" s="1"/>
  <c r="J33" i="16"/>
  <c r="D33" i="16"/>
  <c r="E33" i="16" s="1"/>
  <c r="O33" i="16" s="1"/>
  <c r="J32" i="16"/>
  <c r="D32" i="16"/>
  <c r="E32" i="16" s="1"/>
  <c r="O32" i="16" s="1"/>
  <c r="J31" i="16"/>
  <c r="D31" i="16"/>
  <c r="E31" i="16" s="1"/>
  <c r="O31" i="16" s="1"/>
  <c r="J30" i="16"/>
  <c r="D30" i="16"/>
  <c r="E30" i="16" s="1"/>
  <c r="O30" i="16" s="1"/>
  <c r="J29" i="16"/>
  <c r="D29" i="16"/>
  <c r="E29" i="16" s="1"/>
  <c r="O29" i="16" s="1"/>
  <c r="J28" i="16"/>
  <c r="D28" i="16"/>
  <c r="E28" i="16" s="1"/>
  <c r="O28" i="16" s="1"/>
  <c r="J27" i="16"/>
  <c r="D27" i="16"/>
  <c r="E27" i="16" s="1"/>
  <c r="O27" i="16" s="1"/>
  <c r="J26" i="16"/>
  <c r="D26" i="16"/>
  <c r="E26" i="16" s="1"/>
  <c r="O26" i="16" s="1"/>
  <c r="J25" i="16"/>
  <c r="D25" i="16"/>
  <c r="E25" i="16" s="1"/>
  <c r="O25" i="16" s="1"/>
  <c r="J24" i="16"/>
  <c r="D24" i="16"/>
  <c r="E24" i="16" s="1"/>
  <c r="O24" i="16" s="1"/>
  <c r="J23" i="16"/>
  <c r="D23" i="16"/>
  <c r="E23" i="16" s="1"/>
  <c r="O23" i="16" s="1"/>
  <c r="J22" i="16"/>
  <c r="D22" i="16"/>
  <c r="E22" i="16" s="1"/>
  <c r="O22" i="16" s="1"/>
  <c r="J21" i="16"/>
  <c r="D21" i="16"/>
  <c r="E21" i="16" s="1"/>
  <c r="O21" i="16" s="1"/>
  <c r="J20" i="16"/>
  <c r="D20" i="16"/>
  <c r="E20" i="16" s="1"/>
  <c r="O20" i="16" s="1"/>
  <c r="J19" i="16"/>
  <c r="D19" i="16"/>
  <c r="E19" i="16" s="1"/>
  <c r="O19" i="16" s="1"/>
  <c r="J18" i="16"/>
  <c r="D18" i="16"/>
  <c r="E18" i="16" s="1"/>
  <c r="O18" i="16" s="1"/>
  <c r="J17" i="16"/>
  <c r="D17" i="16"/>
  <c r="E17" i="16" s="1"/>
  <c r="O17" i="16" s="1"/>
  <c r="J16" i="16"/>
  <c r="D16" i="16"/>
  <c r="E16" i="16" s="1"/>
  <c r="O16" i="16" s="1"/>
  <c r="J15" i="16"/>
  <c r="D15" i="16"/>
  <c r="E15" i="16" s="1"/>
  <c r="O15" i="16" s="1"/>
  <c r="J14" i="16"/>
  <c r="D14" i="16"/>
  <c r="E14" i="16" s="1"/>
  <c r="O14" i="16" s="1"/>
  <c r="J13" i="16"/>
  <c r="D13" i="16"/>
  <c r="E13" i="16" s="1"/>
  <c r="O13" i="16" s="1"/>
  <c r="J12" i="16"/>
  <c r="D12" i="16"/>
  <c r="E12" i="16" s="1"/>
  <c r="O12" i="16" s="1"/>
  <c r="J11" i="16"/>
  <c r="D11" i="16"/>
  <c r="E11" i="16" s="1"/>
  <c r="O11" i="16" s="1"/>
  <c r="J10" i="16"/>
  <c r="D10" i="16"/>
  <c r="E10" i="16" s="1"/>
  <c r="O10" i="16" s="1"/>
  <c r="J9" i="16"/>
  <c r="D9" i="16"/>
  <c r="E9" i="16" s="1"/>
  <c r="O9" i="16" s="1"/>
  <c r="J8" i="16"/>
  <c r="D8" i="16"/>
  <c r="E8" i="16" s="1"/>
  <c r="O8" i="16" s="1"/>
  <c r="J7" i="16"/>
  <c r="D7" i="16"/>
  <c r="E7" i="16" s="1"/>
  <c r="O7" i="16" s="1"/>
  <c r="J6" i="16"/>
  <c r="D6" i="16"/>
  <c r="E6" i="16" s="1"/>
  <c r="O6" i="16" s="1"/>
  <c r="J5" i="16"/>
  <c r="D5" i="16"/>
  <c r="E5" i="16" s="1"/>
  <c r="O5" i="16" s="1"/>
  <c r="J4" i="16"/>
  <c r="D4" i="16"/>
  <c r="E4" i="16" s="1"/>
  <c r="O4" i="16" s="1"/>
  <c r="J3" i="16"/>
  <c r="D3" i="16"/>
  <c r="E3" i="16" s="1"/>
  <c r="O3" i="16" s="1"/>
  <c r="J2" i="16"/>
  <c r="J69" i="16" s="1"/>
  <c r="D2" i="16"/>
  <c r="D69" i="16" s="1"/>
  <c r="L74" i="19" l="1"/>
  <c r="M20" i="18"/>
  <c r="K20" i="18"/>
  <c r="L20" i="18"/>
  <c r="M74" i="16"/>
  <c r="O74" i="16"/>
  <c r="M75" i="16"/>
  <c r="O82" i="16"/>
  <c r="E2" i="16"/>
  <c r="M76" i="16"/>
  <c r="M77" i="16"/>
  <c r="M79" i="16"/>
  <c r="M81" i="16"/>
  <c r="M83" i="16"/>
  <c r="M78" i="16"/>
  <c r="E69" i="16" l="1"/>
  <c r="O2" i="16"/>
  <c r="O69" i="16" s="1"/>
  <c r="O84" i="16"/>
  <c r="C136" i="16" s="1"/>
  <c r="C137" i="16" s="1"/>
  <c r="M84" i="16"/>
  <c r="C135" i="15" l="1"/>
  <c r="D129" i="15"/>
  <c r="C129" i="15"/>
  <c r="F129" i="15" s="1"/>
  <c r="D128" i="15"/>
  <c r="C128" i="15"/>
  <c r="F128" i="15" s="1"/>
  <c r="E124" i="15"/>
  <c r="D124" i="15"/>
  <c r="C124" i="15"/>
  <c r="F123" i="15"/>
  <c r="F122" i="15"/>
  <c r="F121" i="15"/>
  <c r="F120" i="15"/>
  <c r="F119" i="15"/>
  <c r="F118" i="15"/>
  <c r="F117" i="15"/>
  <c r="F116" i="15"/>
  <c r="F115" i="15"/>
  <c r="F114" i="15"/>
  <c r="F113" i="15"/>
  <c r="F112" i="15"/>
  <c r="F111" i="15"/>
  <c r="F110" i="15"/>
  <c r="F109" i="15"/>
  <c r="F108" i="15"/>
  <c r="F107" i="15"/>
  <c r="F106" i="15"/>
  <c r="F105" i="15"/>
  <c r="F104" i="15"/>
  <c r="F103" i="15"/>
  <c r="F102" i="15"/>
  <c r="F101" i="15"/>
  <c r="F100" i="15"/>
  <c r="F99" i="15"/>
  <c r="F98" i="15"/>
  <c r="F97" i="15"/>
  <c r="F96" i="15"/>
  <c r="F95" i="15"/>
  <c r="F94" i="15"/>
  <c r="F93" i="15"/>
  <c r="F124" i="15" s="1"/>
  <c r="F92" i="15"/>
  <c r="F91" i="15"/>
  <c r="F90" i="15"/>
  <c r="F89" i="15"/>
  <c r="F88" i="15"/>
  <c r="N84" i="15"/>
  <c r="L84" i="15"/>
  <c r="K84" i="15"/>
  <c r="J84" i="15"/>
  <c r="I84" i="15"/>
  <c r="E84" i="15"/>
  <c r="D84" i="15"/>
  <c r="C84" i="15"/>
  <c r="F83" i="15"/>
  <c r="M83" i="15" s="1"/>
  <c r="F82" i="15"/>
  <c r="O82" i="15" s="1"/>
  <c r="F81" i="15"/>
  <c r="O81" i="15" s="1"/>
  <c r="F80" i="15"/>
  <c r="O80" i="15" s="1"/>
  <c r="F79" i="15"/>
  <c r="O79" i="15" s="1"/>
  <c r="F78" i="15"/>
  <c r="O78" i="15" s="1"/>
  <c r="F77" i="15"/>
  <c r="O77" i="15" s="1"/>
  <c r="F76" i="15"/>
  <c r="M76" i="15" s="1"/>
  <c r="F75" i="15"/>
  <c r="M75" i="15" s="1"/>
  <c r="O74" i="15"/>
  <c r="M74" i="15"/>
  <c r="F74" i="15"/>
  <c r="N69" i="15"/>
  <c r="M69" i="15"/>
  <c r="L69" i="15"/>
  <c r="K69" i="15"/>
  <c r="I69" i="15"/>
  <c r="H69" i="15"/>
  <c r="G69" i="15"/>
  <c r="F69" i="15"/>
  <c r="C69" i="15"/>
  <c r="J68" i="15"/>
  <c r="E68" i="15"/>
  <c r="O68" i="15" s="1"/>
  <c r="J67" i="15"/>
  <c r="E67" i="15"/>
  <c r="O67" i="15" s="1"/>
  <c r="J66" i="15"/>
  <c r="O66" i="15" s="1"/>
  <c r="E66" i="15"/>
  <c r="J65" i="15"/>
  <c r="E65" i="15"/>
  <c r="O65" i="15" s="1"/>
  <c r="J64" i="15"/>
  <c r="E64" i="15"/>
  <c r="O64" i="15" s="1"/>
  <c r="J63" i="15"/>
  <c r="E63" i="15"/>
  <c r="O63" i="15" s="1"/>
  <c r="J62" i="15"/>
  <c r="E62" i="15"/>
  <c r="O62" i="15" s="1"/>
  <c r="J61" i="15"/>
  <c r="E61" i="15"/>
  <c r="O61" i="15" s="1"/>
  <c r="J60" i="15"/>
  <c r="E60" i="15"/>
  <c r="O60" i="15" s="1"/>
  <c r="J59" i="15"/>
  <c r="E59" i="15"/>
  <c r="O59" i="15" s="1"/>
  <c r="J58" i="15"/>
  <c r="E58" i="15"/>
  <c r="O58" i="15" s="1"/>
  <c r="J57" i="15"/>
  <c r="E57" i="15"/>
  <c r="O57" i="15" s="1"/>
  <c r="J56" i="15"/>
  <c r="E56" i="15"/>
  <c r="O56" i="15" s="1"/>
  <c r="J55" i="15"/>
  <c r="E55" i="15"/>
  <c r="O55" i="15" s="1"/>
  <c r="J54" i="15"/>
  <c r="E54" i="15"/>
  <c r="O54" i="15" s="1"/>
  <c r="J53" i="15"/>
  <c r="E53" i="15"/>
  <c r="O53" i="15" s="1"/>
  <c r="J52" i="15"/>
  <c r="E52" i="15"/>
  <c r="O52" i="15" s="1"/>
  <c r="O51" i="15"/>
  <c r="J51" i="15"/>
  <c r="E51" i="15"/>
  <c r="J50" i="15"/>
  <c r="E50" i="15"/>
  <c r="O50" i="15" s="1"/>
  <c r="J49" i="15"/>
  <c r="E49" i="15"/>
  <c r="O49" i="15" s="1"/>
  <c r="J48" i="15"/>
  <c r="E48" i="15"/>
  <c r="O48" i="15" s="1"/>
  <c r="J47" i="15"/>
  <c r="E47" i="15"/>
  <c r="O47" i="15" s="1"/>
  <c r="J46" i="15"/>
  <c r="E46" i="15"/>
  <c r="O46" i="15" s="1"/>
  <c r="J45" i="15"/>
  <c r="E45" i="15"/>
  <c r="O45" i="15" s="1"/>
  <c r="J44" i="15"/>
  <c r="O44" i="15" s="1"/>
  <c r="E44" i="15"/>
  <c r="J43" i="15"/>
  <c r="E43" i="15"/>
  <c r="O43" i="15" s="1"/>
  <c r="J42" i="15"/>
  <c r="E42" i="15"/>
  <c r="O42" i="15" s="1"/>
  <c r="J41" i="15"/>
  <c r="E41" i="15"/>
  <c r="O41" i="15" s="1"/>
  <c r="J40" i="15"/>
  <c r="E40" i="15"/>
  <c r="O40" i="15" s="1"/>
  <c r="J39" i="15"/>
  <c r="E39" i="15"/>
  <c r="O39" i="15" s="1"/>
  <c r="J38" i="15"/>
  <c r="E38" i="15"/>
  <c r="O38" i="15" s="1"/>
  <c r="J37" i="15"/>
  <c r="E37" i="15"/>
  <c r="O37" i="15" s="1"/>
  <c r="O36" i="15"/>
  <c r="J36" i="15"/>
  <c r="E36" i="15"/>
  <c r="J35" i="15"/>
  <c r="E35" i="15"/>
  <c r="O35" i="15" s="1"/>
  <c r="J34" i="15"/>
  <c r="E34" i="15"/>
  <c r="O34" i="15" s="1"/>
  <c r="J33" i="15"/>
  <c r="E33" i="15"/>
  <c r="O33" i="15" s="1"/>
  <c r="J32" i="15"/>
  <c r="E32" i="15"/>
  <c r="O32" i="15" s="1"/>
  <c r="J31" i="15"/>
  <c r="E31" i="15"/>
  <c r="O31" i="15" s="1"/>
  <c r="J30" i="15"/>
  <c r="E30" i="15"/>
  <c r="O30" i="15" s="1"/>
  <c r="O29" i="15"/>
  <c r="J29" i="15"/>
  <c r="E29" i="15"/>
  <c r="J28" i="15"/>
  <c r="E28" i="15"/>
  <c r="O28" i="15" s="1"/>
  <c r="J27" i="15"/>
  <c r="E27" i="15"/>
  <c r="O27" i="15" s="1"/>
  <c r="J26" i="15"/>
  <c r="E26" i="15"/>
  <c r="O26" i="15" s="1"/>
  <c r="J25" i="15"/>
  <c r="E25" i="15"/>
  <c r="O25" i="15" s="1"/>
  <c r="J24" i="15"/>
  <c r="E24" i="15"/>
  <c r="O24" i="15" s="1"/>
  <c r="J23" i="15"/>
  <c r="E23" i="15"/>
  <c r="O23" i="15" s="1"/>
  <c r="J22" i="15"/>
  <c r="O22" i="15" s="1"/>
  <c r="E22" i="15"/>
  <c r="J21" i="15"/>
  <c r="E21" i="15"/>
  <c r="O21" i="15" s="1"/>
  <c r="J20" i="15"/>
  <c r="E20" i="15"/>
  <c r="O20" i="15" s="1"/>
  <c r="J19" i="15"/>
  <c r="E19" i="15"/>
  <c r="O19" i="15" s="1"/>
  <c r="J18" i="15"/>
  <c r="E18" i="15"/>
  <c r="O18" i="15" s="1"/>
  <c r="J17" i="15"/>
  <c r="E17" i="15"/>
  <c r="O17" i="15" s="1"/>
  <c r="J16" i="15"/>
  <c r="E16" i="15"/>
  <c r="O16" i="15" s="1"/>
  <c r="J15" i="15"/>
  <c r="E15" i="15"/>
  <c r="O15" i="15" s="1"/>
  <c r="O14" i="15"/>
  <c r="J14" i="15"/>
  <c r="E14" i="15"/>
  <c r="J13" i="15"/>
  <c r="E13" i="15"/>
  <c r="O13" i="15" s="1"/>
  <c r="J12" i="15"/>
  <c r="E12" i="15"/>
  <c r="O12" i="15" s="1"/>
  <c r="J11" i="15"/>
  <c r="E11" i="15"/>
  <c r="O11" i="15" s="1"/>
  <c r="J10" i="15"/>
  <c r="E10" i="15"/>
  <c r="O10" i="15" s="1"/>
  <c r="J9" i="15"/>
  <c r="E9" i="15"/>
  <c r="O9" i="15" s="1"/>
  <c r="J8" i="15"/>
  <c r="E8" i="15"/>
  <c r="O8" i="15" s="1"/>
  <c r="O7" i="15"/>
  <c r="J7" i="15"/>
  <c r="E7" i="15"/>
  <c r="J6" i="15"/>
  <c r="E6" i="15"/>
  <c r="O6" i="15" s="1"/>
  <c r="J5" i="15"/>
  <c r="E5" i="15"/>
  <c r="O5" i="15" s="1"/>
  <c r="J4" i="15"/>
  <c r="E4" i="15"/>
  <c r="O4" i="15" s="1"/>
  <c r="J3" i="15"/>
  <c r="E3" i="15"/>
  <c r="O3" i="15" s="1"/>
  <c r="J2" i="15"/>
  <c r="J69" i="15" s="1"/>
  <c r="E2" i="15"/>
  <c r="E69" i="15" s="1"/>
  <c r="O84" i="15" l="1"/>
  <c r="C136" i="15" s="1"/>
  <c r="C137" i="15" s="1"/>
  <c r="M82" i="15"/>
  <c r="O75" i="15"/>
  <c r="O83" i="15"/>
  <c r="O76" i="15"/>
  <c r="O2" i="15"/>
  <c r="O69" i="15" s="1"/>
  <c r="M77" i="15"/>
  <c r="M84" i="15" s="1"/>
  <c r="F84" i="15"/>
  <c r="M80" i="15"/>
  <c r="M78" i="15"/>
  <c r="M79" i="15"/>
  <c r="M81" i="15"/>
  <c r="D85" i="14" l="1"/>
  <c r="C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85" i="14" s="1"/>
  <c r="E87" i="14" s="1"/>
  <c r="E89" i="14" s="1"/>
  <c r="E19" i="14"/>
  <c r="E18" i="14"/>
  <c r="E17" i="14"/>
  <c r="E16" i="14"/>
  <c r="E15" i="14"/>
  <c r="E14" i="14"/>
  <c r="E13" i="14"/>
  <c r="E12" i="14"/>
  <c r="E11" i="14"/>
  <c r="E10" i="14"/>
  <c r="E9" i="14"/>
  <c r="E8" i="14"/>
  <c r="E7" i="14"/>
  <c r="E6" i="14"/>
  <c r="E5" i="14"/>
  <c r="E4" i="14"/>
  <c r="E3" i="14"/>
  <c r="H6" i="13" l="1"/>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H102" i="13"/>
  <c r="H103" i="13"/>
  <c r="H104" i="13"/>
  <c r="H106" i="13"/>
  <c r="H107" i="13"/>
  <c r="H108" i="13"/>
  <c r="H110" i="13"/>
  <c r="H111" i="13"/>
  <c r="H112" i="13"/>
  <c r="H113" i="13"/>
  <c r="H114" i="13"/>
  <c r="H115" i="13"/>
  <c r="H116" i="13"/>
  <c r="H117" i="13"/>
  <c r="H118" i="13"/>
  <c r="H119" i="13"/>
  <c r="H120" i="13"/>
  <c r="H121" i="13"/>
  <c r="H123" i="13"/>
  <c r="H125" i="13"/>
  <c r="H5" i="13"/>
  <c r="AD72" i="11"/>
  <c r="AM128" i="11"/>
  <c r="Z128" i="11"/>
  <c r="U128" i="11"/>
  <c r="AJ128" i="11"/>
  <c r="K74" i="11"/>
  <c r="F74" i="11"/>
  <c r="E127" i="13"/>
  <c r="AQ14" i="11"/>
  <c r="AQ15" i="11"/>
  <c r="AQ27" i="11"/>
  <c r="AQ17" i="11"/>
  <c r="AQ55" i="11"/>
  <c r="AQ126" i="11"/>
  <c r="AQ125" i="11"/>
  <c r="AQ124" i="11"/>
  <c r="AQ123" i="11"/>
  <c r="AQ122" i="11"/>
  <c r="AQ121" i="11"/>
  <c r="AQ120" i="11"/>
  <c r="AQ119" i="11"/>
  <c r="AQ118" i="11"/>
  <c r="AQ117" i="11"/>
  <c r="AQ116" i="11"/>
  <c r="AQ115" i="11"/>
  <c r="AQ114" i="11"/>
  <c r="AQ113" i="11"/>
  <c r="AQ112" i="11"/>
  <c r="AQ111" i="11"/>
  <c r="AQ110" i="11"/>
  <c r="AQ109" i="11"/>
  <c r="AQ108" i="11"/>
  <c r="AQ107" i="11"/>
  <c r="AQ106" i="11"/>
  <c r="AQ105" i="11"/>
  <c r="AQ104" i="11"/>
  <c r="AQ103" i="11"/>
  <c r="AQ102" i="11"/>
  <c r="AQ101" i="11"/>
  <c r="AQ100" i="11"/>
  <c r="AQ99" i="11"/>
  <c r="AQ98" i="11"/>
  <c r="AQ97" i="11"/>
  <c r="AQ96" i="11"/>
  <c r="AQ95" i="11"/>
  <c r="AQ94" i="11"/>
  <c r="AQ93" i="11"/>
  <c r="AQ92" i="11"/>
  <c r="AQ91" i="11"/>
  <c r="AQ90" i="11"/>
  <c r="AQ89" i="11"/>
  <c r="AQ88" i="11"/>
  <c r="AQ87" i="11"/>
  <c r="AQ86" i="11"/>
  <c r="AQ85" i="11"/>
  <c r="AQ84" i="11"/>
  <c r="AQ83" i="11"/>
  <c r="AQ82" i="11"/>
  <c r="AQ81" i="11"/>
  <c r="AQ80" i="11"/>
  <c r="AQ79" i="11"/>
  <c r="AQ78" i="11"/>
  <c r="AQ77" i="11"/>
  <c r="AQ76" i="11"/>
  <c r="AQ75" i="11"/>
  <c r="AQ74" i="11"/>
  <c r="AQ73" i="11"/>
  <c r="AQ71" i="11"/>
  <c r="AQ70" i="11"/>
  <c r="AQ69" i="11"/>
  <c r="AQ68" i="11"/>
  <c r="AQ67" i="11"/>
  <c r="AQ66" i="11"/>
  <c r="AQ65" i="11"/>
  <c r="AQ64" i="11"/>
  <c r="AQ63" i="11"/>
  <c r="AQ62" i="11"/>
  <c r="AQ61" i="11"/>
  <c r="AQ60" i="11"/>
  <c r="AQ59" i="11"/>
  <c r="AQ58" i="11"/>
  <c r="AQ57" i="11"/>
  <c r="AQ56" i="11"/>
  <c r="AQ54" i="11"/>
  <c r="AQ53" i="11"/>
  <c r="AQ52" i="11"/>
  <c r="AQ51" i="11"/>
  <c r="AQ50" i="11"/>
  <c r="AQ49" i="11"/>
  <c r="AQ48" i="11"/>
  <c r="AQ47" i="11"/>
  <c r="AQ46" i="11"/>
  <c r="AQ45" i="11"/>
  <c r="AQ44" i="11"/>
  <c r="AQ43" i="11"/>
  <c r="AQ42" i="11"/>
  <c r="AQ41" i="11"/>
  <c r="AQ40" i="11"/>
  <c r="AQ39" i="11"/>
  <c r="AQ38" i="11"/>
  <c r="AQ37" i="11"/>
  <c r="AQ36" i="11"/>
  <c r="AQ35" i="11"/>
  <c r="AQ34" i="11"/>
  <c r="AQ33" i="11"/>
  <c r="AQ32" i="11"/>
  <c r="AQ31" i="11"/>
  <c r="AQ30" i="11"/>
  <c r="AQ29" i="11"/>
  <c r="AQ28" i="11"/>
  <c r="AQ26" i="11"/>
  <c r="AQ25" i="11"/>
  <c r="AQ24" i="11"/>
  <c r="AQ23" i="11"/>
  <c r="AQ22" i="11"/>
  <c r="AQ21" i="11"/>
  <c r="AQ20" i="11"/>
  <c r="AQ19" i="11"/>
  <c r="AQ18" i="11"/>
  <c r="AQ16" i="11"/>
  <c r="AQ13" i="11"/>
  <c r="AQ12" i="11"/>
  <c r="AQ11" i="11"/>
  <c r="AQ10" i="11"/>
  <c r="AQ9" i="11"/>
  <c r="AQ8" i="11"/>
  <c r="AQ7" i="11"/>
  <c r="AQ6" i="11"/>
  <c r="AQ5" i="11"/>
  <c r="J24" i="1"/>
  <c r="AH128" i="11"/>
  <c r="N128" i="11"/>
  <c r="AT72" i="11"/>
  <c r="AC72" i="11"/>
  <c r="AC128" i="11" s="1"/>
  <c r="AC127" i="11"/>
  <c r="D27" i="1"/>
  <c r="Y128" i="11"/>
  <c r="J74" i="11"/>
  <c r="AR128" i="11"/>
  <c r="AL128" i="11"/>
  <c r="AK128" i="11"/>
  <c r="AI128" i="11"/>
  <c r="X128" i="11"/>
  <c r="T128" i="11"/>
  <c r="S128" i="11"/>
  <c r="O128" i="11"/>
  <c r="I74" i="11"/>
  <c r="E74" i="11"/>
  <c r="D74" i="11"/>
  <c r="H127" i="13" l="1"/>
  <c r="D134" i="13"/>
  <c r="D142" i="13" s="1"/>
  <c r="AT111" i="11"/>
  <c r="AT82" i="11"/>
  <c r="AT114" i="11"/>
  <c r="AT12" i="11"/>
  <c r="AT28" i="11"/>
  <c r="AT52" i="11"/>
  <c r="AT13" i="11"/>
  <c r="AT21" i="11"/>
  <c r="AT29" i="11"/>
  <c r="AT37" i="11"/>
  <c r="AT45" i="11"/>
  <c r="AT53" i="11"/>
  <c r="AT61" i="11"/>
  <c r="AT69" i="11"/>
  <c r="AT88" i="11"/>
  <c r="AT96" i="11"/>
  <c r="AT112" i="11"/>
  <c r="AT20" i="11"/>
  <c r="AT36" i="11"/>
  <c r="AT68" i="11"/>
  <c r="AT6" i="11"/>
  <c r="AT14" i="11"/>
  <c r="AT22" i="11"/>
  <c r="AT30" i="11"/>
  <c r="AT38" i="11"/>
  <c r="AT46" i="11"/>
  <c r="AT54" i="11"/>
  <c r="AT62" i="11"/>
  <c r="AT70" i="11"/>
  <c r="AT81" i="11"/>
  <c r="AT97" i="11"/>
  <c r="AT105" i="11"/>
  <c r="AT113" i="11"/>
  <c r="AT121" i="11"/>
  <c r="AT23" i="11"/>
  <c r="AT63" i="11"/>
  <c r="AT8" i="11"/>
  <c r="AT16" i="11"/>
  <c r="AT24" i="11"/>
  <c r="AT32" i="11"/>
  <c r="AT40" i="11"/>
  <c r="AT48" i="11"/>
  <c r="AT56" i="11"/>
  <c r="AT64" i="11"/>
  <c r="AT75" i="11"/>
  <c r="AT91" i="11"/>
  <c r="AT99" i="11"/>
  <c r="AT107" i="11"/>
  <c r="AT115" i="11"/>
  <c r="AT119" i="11"/>
  <c r="AT60" i="11"/>
  <c r="AT31" i="11"/>
  <c r="AT55" i="11"/>
  <c r="AT9" i="11"/>
  <c r="AT17" i="11"/>
  <c r="AT25" i="11"/>
  <c r="AT33" i="11"/>
  <c r="AT41" i="11"/>
  <c r="AT49" i="11"/>
  <c r="AT57" i="11"/>
  <c r="AT65" i="11"/>
  <c r="AT76" i="11"/>
  <c r="AT84" i="11"/>
  <c r="AT92" i="11"/>
  <c r="AT108" i="11"/>
  <c r="AT15" i="11"/>
  <c r="AT39" i="11"/>
  <c r="AT10" i="11"/>
  <c r="AT18" i="11"/>
  <c r="AT26" i="11"/>
  <c r="AT34" i="11"/>
  <c r="AT42" i="11"/>
  <c r="AT50" i="11"/>
  <c r="AT58" i="11"/>
  <c r="AT66" i="11"/>
  <c r="AT77" i="11"/>
  <c r="AT93" i="11"/>
  <c r="AT101" i="11"/>
  <c r="AT125" i="11"/>
  <c r="AT44" i="11"/>
  <c r="AT7" i="11"/>
  <c r="AT47" i="11"/>
  <c r="AT11" i="11"/>
  <c r="AT19" i="11"/>
  <c r="AT27" i="11"/>
  <c r="AT35" i="11"/>
  <c r="AT43" i="11"/>
  <c r="AT51" i="11"/>
  <c r="AT59" i="11"/>
  <c r="AT67" i="11"/>
  <c r="AT78" i="11"/>
  <c r="AT86" i="11"/>
  <c r="AT102" i="11"/>
  <c r="AT110" i="11"/>
  <c r="AT118" i="11"/>
  <c r="AT80" i="11"/>
  <c r="AT90" i="11"/>
  <c r="AT98" i="11"/>
  <c r="AT106" i="11"/>
  <c r="AT122" i="11"/>
  <c r="AT104" i="11"/>
  <c r="AT83" i="11"/>
  <c r="AT123" i="11"/>
  <c r="AT100" i="11"/>
  <c r="AT116" i="11"/>
  <c r="AT124" i="11"/>
  <c r="AT85" i="11"/>
  <c r="AT109" i="11"/>
  <c r="AT117" i="11"/>
  <c r="AT89" i="11"/>
  <c r="AT94" i="11"/>
  <c r="AT126" i="11"/>
  <c r="AT120" i="11"/>
  <c r="AT79" i="11"/>
  <c r="AT87" i="11"/>
  <c r="AT95" i="11"/>
  <c r="AT103" i="11"/>
  <c r="AT71" i="11" l="1"/>
  <c r="AT73" i="11"/>
  <c r="AT74" i="11"/>
  <c r="AT5" i="11" l="1"/>
  <c r="AT128" i="11" s="1"/>
  <c r="AQ128" i="11"/>
  <c r="K34" i="1" l="1"/>
  <c r="E2" i="1" s="1"/>
  <c r="I34" i="1"/>
  <c r="F2" i="1" s="1"/>
  <c r="G34" i="1"/>
  <c r="E34" i="1"/>
  <c r="H7" i="7" l="1"/>
  <c r="H8" i="7"/>
  <c r="H9" i="7"/>
  <c r="H10" i="7"/>
  <c r="H11" i="7"/>
  <c r="H12" i="7"/>
  <c r="H13" i="7"/>
  <c r="H14" i="7"/>
  <c r="H15" i="7"/>
  <c r="H16" i="7"/>
  <c r="E7" i="7"/>
  <c r="E8" i="7"/>
  <c r="E9" i="7"/>
  <c r="E10" i="7"/>
  <c r="E11" i="7"/>
  <c r="E12" i="7"/>
  <c r="E13" i="7"/>
  <c r="E14" i="7"/>
  <c r="E15" i="7"/>
  <c r="E16" i="7"/>
  <c r="D7" i="7"/>
  <c r="D8" i="7"/>
  <c r="D9" i="7"/>
  <c r="D10" i="7"/>
  <c r="D11" i="7"/>
  <c r="D12" i="7"/>
  <c r="D13" i="7"/>
  <c r="D14" i="7"/>
  <c r="D15" i="7"/>
  <c r="D16" i="7"/>
  <c r="F12" i="7" l="1"/>
  <c r="M84" i="5" s="1"/>
  <c r="F11" i="7"/>
  <c r="L84" i="5" s="1"/>
  <c r="F10" i="7"/>
  <c r="K84" i="5" s="1"/>
  <c r="F13" i="7"/>
  <c r="N84" i="5" s="1"/>
  <c r="F9" i="7"/>
  <c r="J84" i="5" s="1"/>
  <c r="F15" i="7"/>
  <c r="P84" i="5" s="1"/>
  <c r="F7" i="7"/>
  <c r="H84" i="5" s="1"/>
  <c r="F16" i="7"/>
  <c r="Q84" i="5" s="1"/>
  <c r="F8" i="7"/>
  <c r="I84" i="5" s="1"/>
  <c r="F14" i="7"/>
  <c r="O84" i="5" s="1"/>
  <c r="H7" i="10"/>
  <c r="H8" i="10"/>
  <c r="I84" i="9" s="1"/>
  <c r="H9" i="10"/>
  <c r="H10" i="10"/>
  <c r="H11" i="10"/>
  <c r="H12" i="10"/>
  <c r="H13" i="10"/>
  <c r="H14" i="10"/>
  <c r="G7" i="10"/>
  <c r="G8" i="10"/>
  <c r="G9" i="10"/>
  <c r="G10" i="10"/>
  <c r="G11" i="10"/>
  <c r="G12" i="10"/>
  <c r="G13" i="10"/>
  <c r="G14" i="10"/>
  <c r="E7" i="10"/>
  <c r="E8" i="10"/>
  <c r="E9" i="10"/>
  <c r="E10" i="10"/>
  <c r="E11" i="10"/>
  <c r="E12" i="10"/>
  <c r="E13" i="10"/>
  <c r="E14" i="10"/>
  <c r="D7" i="10"/>
  <c r="D8" i="10"/>
  <c r="D9" i="10"/>
  <c r="D10" i="10"/>
  <c r="D11" i="10"/>
  <c r="D12" i="10"/>
  <c r="D13" i="10"/>
  <c r="D14" i="10"/>
  <c r="H7" i="6"/>
  <c r="H8" i="6"/>
  <c r="H9" i="6"/>
  <c r="H10" i="6"/>
  <c r="H11" i="6"/>
  <c r="H12" i="6"/>
  <c r="H13" i="6"/>
  <c r="H14" i="6"/>
  <c r="H15" i="6"/>
  <c r="H16" i="6"/>
  <c r="G7" i="6"/>
  <c r="G8" i="6"/>
  <c r="G9" i="6"/>
  <c r="G10" i="6"/>
  <c r="G11" i="6"/>
  <c r="G12" i="6"/>
  <c r="G13" i="6"/>
  <c r="G14" i="6"/>
  <c r="G15" i="6"/>
  <c r="G16" i="6"/>
  <c r="F7" i="6"/>
  <c r="F8" i="6"/>
  <c r="F9" i="6"/>
  <c r="F10" i="6"/>
  <c r="F11" i="6"/>
  <c r="F12" i="6"/>
  <c r="F13" i="6"/>
  <c r="F14" i="6"/>
  <c r="F15" i="6"/>
  <c r="F16" i="6"/>
  <c r="E7" i="6"/>
  <c r="E8" i="6"/>
  <c r="E9" i="6"/>
  <c r="E10" i="6"/>
  <c r="E11" i="6"/>
  <c r="E12" i="6"/>
  <c r="E13" i="6"/>
  <c r="E14" i="6"/>
  <c r="E15" i="6"/>
  <c r="E16" i="6"/>
  <c r="D7" i="6"/>
  <c r="D8" i="6"/>
  <c r="D9" i="6"/>
  <c r="D10" i="6"/>
  <c r="D11" i="6"/>
  <c r="D12" i="6"/>
  <c r="D13" i="6"/>
  <c r="D14" i="6"/>
  <c r="D15" i="6"/>
  <c r="D16" i="6"/>
  <c r="W2" i="1" l="1"/>
  <c r="G2" i="7" s="1"/>
  <c r="W3" i="1"/>
  <c r="G3" i="7" s="1"/>
  <c r="W4" i="1"/>
  <c r="G4" i="7" s="1"/>
  <c r="W5" i="1"/>
  <c r="G5" i="7" s="1"/>
  <c r="W6" i="1"/>
  <c r="G6" i="7" s="1"/>
  <c r="W7" i="1"/>
  <c r="G7" i="7" s="1"/>
  <c r="I7" i="7" s="1"/>
  <c r="H85" i="8" s="1"/>
  <c r="W8" i="1"/>
  <c r="G8" i="7" s="1"/>
  <c r="I8" i="7" s="1"/>
  <c r="W9" i="1"/>
  <c r="G9" i="7" s="1"/>
  <c r="I9" i="7" s="1"/>
  <c r="W10" i="1"/>
  <c r="G10" i="7" s="1"/>
  <c r="I10" i="7" s="1"/>
  <c r="W11" i="1"/>
  <c r="G11" i="7" s="1"/>
  <c r="I11" i="7" s="1"/>
  <c r="W12" i="1"/>
  <c r="G12" i="7" s="1"/>
  <c r="I12" i="7" s="1"/>
  <c r="W13" i="1"/>
  <c r="G13" i="7" s="1"/>
  <c r="I13" i="7" s="1"/>
  <c r="W14" i="1"/>
  <c r="G14" i="7" s="1"/>
  <c r="I14" i="7" s="1"/>
  <c r="W15" i="1"/>
  <c r="G15" i="7" s="1"/>
  <c r="I15" i="7" s="1"/>
  <c r="W16" i="1"/>
  <c r="G16" i="7" s="1"/>
  <c r="I16" i="7" s="1"/>
  <c r="G17" i="7" l="1"/>
  <c r="V13" i="1"/>
  <c r="V9" i="1"/>
  <c r="V5" i="1"/>
  <c r="V16" i="1"/>
  <c r="V12" i="1"/>
  <c r="V8" i="1"/>
  <c r="V4" i="1"/>
  <c r="V15" i="1"/>
  <c r="V11" i="1"/>
  <c r="V7" i="1"/>
  <c r="V3" i="1"/>
  <c r="V14" i="1"/>
  <c r="V10" i="1"/>
  <c r="V6" i="1"/>
  <c r="V2" i="1"/>
  <c r="I2" i="6" s="1"/>
  <c r="B106" i="9"/>
  <c r="I87" i="9" l="1"/>
  <c r="I91" i="9" s="1"/>
  <c r="H87" i="9"/>
  <c r="H90" i="9" s="1"/>
  <c r="I28" i="5"/>
  <c r="O42" i="5"/>
  <c r="H84" i="9"/>
  <c r="O99" i="4"/>
  <c r="O95" i="4" s="1"/>
  <c r="N99" i="4"/>
  <c r="N96" i="4" s="1"/>
  <c r="M99" i="4"/>
  <c r="M95" i="4" s="1"/>
  <c r="L99" i="4"/>
  <c r="L96" i="4" s="1"/>
  <c r="K99" i="4"/>
  <c r="K95" i="4" s="1"/>
  <c r="J99" i="4"/>
  <c r="J96" i="4" s="1"/>
  <c r="I99" i="4"/>
  <c r="I95" i="4" s="1"/>
  <c r="H99" i="4"/>
  <c r="H96" i="4" s="1"/>
  <c r="I90" i="9" l="1"/>
  <c r="O68" i="5"/>
  <c r="O4" i="5"/>
  <c r="O36" i="5"/>
  <c r="H2" i="8"/>
  <c r="H4" i="8"/>
  <c r="H6" i="8"/>
  <c r="H8" i="8"/>
  <c r="H10" i="8"/>
  <c r="H12" i="8"/>
  <c r="H14" i="8"/>
  <c r="H16" i="8"/>
  <c r="H18" i="8"/>
  <c r="H20" i="8"/>
  <c r="H22" i="8"/>
  <c r="H24" i="8"/>
  <c r="H26" i="8"/>
  <c r="H28" i="8"/>
  <c r="H30" i="8"/>
  <c r="H32" i="8"/>
  <c r="H34" i="8"/>
  <c r="H36" i="8"/>
  <c r="H38" i="8"/>
  <c r="H40" i="8"/>
  <c r="H42" i="8"/>
  <c r="H44" i="8"/>
  <c r="H46" i="8"/>
  <c r="H48" i="8"/>
  <c r="H50" i="8"/>
  <c r="H52" i="8"/>
  <c r="H54" i="8"/>
  <c r="H56" i="8"/>
  <c r="H58" i="8"/>
  <c r="H60" i="8"/>
  <c r="H62" i="8"/>
  <c r="H64" i="8"/>
  <c r="H66" i="8"/>
  <c r="H68" i="8"/>
  <c r="H70" i="8"/>
  <c r="H72" i="8"/>
  <c r="H74" i="8"/>
  <c r="H76" i="8"/>
  <c r="H78" i="8"/>
  <c r="H80" i="8"/>
  <c r="H82" i="8"/>
  <c r="H3" i="8"/>
  <c r="H7" i="8"/>
  <c r="H11" i="8"/>
  <c r="H15" i="8"/>
  <c r="H19" i="8"/>
  <c r="H23" i="8"/>
  <c r="H27" i="8"/>
  <c r="H31" i="8"/>
  <c r="H35" i="8"/>
  <c r="H39" i="8"/>
  <c r="H43" i="8"/>
  <c r="H47" i="8"/>
  <c r="H51" i="8"/>
  <c r="H55" i="8"/>
  <c r="H59" i="8"/>
  <c r="H63" i="8"/>
  <c r="H67" i="8"/>
  <c r="H71" i="8"/>
  <c r="H75" i="8"/>
  <c r="H79" i="8"/>
  <c r="H83" i="8"/>
  <c r="H9" i="8"/>
  <c r="H17" i="8"/>
  <c r="H25" i="8"/>
  <c r="H33" i="8"/>
  <c r="H41" i="8"/>
  <c r="H49" i="8"/>
  <c r="H57" i="8"/>
  <c r="H65" i="8"/>
  <c r="H73" i="8"/>
  <c r="H81" i="8"/>
  <c r="H5" i="8"/>
  <c r="H13" i="8"/>
  <c r="H21" i="8"/>
  <c r="H29" i="8"/>
  <c r="H37" i="8"/>
  <c r="H45" i="8"/>
  <c r="H53" i="8"/>
  <c r="H61" i="8"/>
  <c r="H69" i="8"/>
  <c r="H77" i="8"/>
  <c r="Q24" i="5"/>
  <c r="Q3" i="5"/>
  <c r="Q61" i="5"/>
  <c r="Q49" i="5"/>
  <c r="Q62" i="5"/>
  <c r="Q8" i="5"/>
  <c r="Q40" i="5"/>
  <c r="Q35" i="5"/>
  <c r="Q77" i="5"/>
  <c r="Q5" i="5"/>
  <c r="O15" i="5"/>
  <c r="O31" i="5"/>
  <c r="O47" i="5"/>
  <c r="O63" i="5"/>
  <c r="O79" i="5"/>
  <c r="O26" i="5"/>
  <c r="O58" i="5"/>
  <c r="O78" i="5"/>
  <c r="O12" i="5"/>
  <c r="O28" i="5"/>
  <c r="O44" i="5"/>
  <c r="O60" i="5"/>
  <c r="O76" i="5"/>
  <c r="O7" i="5"/>
  <c r="O23" i="5"/>
  <c r="O39" i="5"/>
  <c r="O55" i="5"/>
  <c r="O71" i="5"/>
  <c r="M27" i="5"/>
  <c r="M59" i="5"/>
  <c r="M16" i="5"/>
  <c r="M80" i="5"/>
  <c r="M66" i="5"/>
  <c r="M11" i="5"/>
  <c r="M43" i="5"/>
  <c r="M75" i="5"/>
  <c r="M48" i="5"/>
  <c r="M34" i="5"/>
  <c r="K35" i="5"/>
  <c r="K34" i="5"/>
  <c r="K68" i="5"/>
  <c r="K3" i="5"/>
  <c r="K67" i="5"/>
  <c r="K16" i="5"/>
  <c r="I33" i="5"/>
  <c r="I22" i="5"/>
  <c r="I24" i="5"/>
  <c r="I76" i="5"/>
  <c r="I44" i="5"/>
  <c r="I12" i="5"/>
  <c r="I65" i="5"/>
  <c r="I56" i="5"/>
  <c r="I60" i="5"/>
  <c r="O52" i="5"/>
  <c r="O21" i="5"/>
  <c r="O70" i="5"/>
  <c r="O10" i="5"/>
  <c r="P2" i="5"/>
  <c r="P6" i="5"/>
  <c r="P10" i="5"/>
  <c r="P14" i="5"/>
  <c r="P18" i="5"/>
  <c r="P22" i="5"/>
  <c r="P26" i="5"/>
  <c r="P30" i="5"/>
  <c r="P34" i="5"/>
  <c r="P38" i="5"/>
  <c r="P42" i="5"/>
  <c r="P46" i="5"/>
  <c r="P50" i="5"/>
  <c r="P54" i="5"/>
  <c r="P58" i="5"/>
  <c r="P62" i="5"/>
  <c r="P66" i="5"/>
  <c r="P70" i="5"/>
  <c r="P74" i="5"/>
  <c r="P78" i="5"/>
  <c r="P82" i="5"/>
  <c r="P7" i="5"/>
  <c r="P15" i="5"/>
  <c r="P23" i="5"/>
  <c r="P31" i="5"/>
  <c r="P39" i="5"/>
  <c r="P47" i="5"/>
  <c r="P55" i="5"/>
  <c r="P63" i="5"/>
  <c r="P71" i="5"/>
  <c r="P79" i="5"/>
  <c r="P9" i="5"/>
  <c r="P17" i="5"/>
  <c r="P25" i="5"/>
  <c r="P33" i="5"/>
  <c r="P41" i="5"/>
  <c r="P49" i="5"/>
  <c r="P57" i="5"/>
  <c r="P65" i="5"/>
  <c r="P73" i="5"/>
  <c r="P81" i="5"/>
  <c r="N4" i="5"/>
  <c r="N8" i="5"/>
  <c r="N12" i="5"/>
  <c r="N16" i="5"/>
  <c r="N21" i="5"/>
  <c r="N24" i="5"/>
  <c r="N28" i="5"/>
  <c r="N32" i="5"/>
  <c r="N36" i="5"/>
  <c r="N40" i="5"/>
  <c r="N44" i="5"/>
  <c r="N48" i="5"/>
  <c r="N52" i="5"/>
  <c r="N56" i="5"/>
  <c r="N60" i="5"/>
  <c r="N64" i="5"/>
  <c r="N68" i="5"/>
  <c r="N72" i="5"/>
  <c r="N76" i="5"/>
  <c r="N80" i="5"/>
  <c r="N5" i="5"/>
  <c r="N13" i="5"/>
  <c r="N20" i="5"/>
  <c r="N29" i="5"/>
  <c r="N37" i="5"/>
  <c r="N45" i="5"/>
  <c r="N53" i="5"/>
  <c r="N61" i="5"/>
  <c r="N69" i="5"/>
  <c r="N77" i="5"/>
  <c r="N3" i="5"/>
  <c r="N11" i="5"/>
  <c r="N19" i="5"/>
  <c r="N27" i="5"/>
  <c r="N35" i="5"/>
  <c r="N43" i="5"/>
  <c r="N51" i="5"/>
  <c r="N59" i="5"/>
  <c r="N67" i="5"/>
  <c r="N75" i="5"/>
  <c r="L2" i="5"/>
  <c r="L6" i="5"/>
  <c r="L10" i="5"/>
  <c r="L14" i="5"/>
  <c r="L18" i="5"/>
  <c r="L22" i="5"/>
  <c r="L26" i="5"/>
  <c r="L30" i="5"/>
  <c r="L34" i="5"/>
  <c r="L38" i="5"/>
  <c r="L42" i="5"/>
  <c r="L46" i="5"/>
  <c r="L50" i="5"/>
  <c r="L54" i="5"/>
  <c r="L58" i="5"/>
  <c r="L62" i="5"/>
  <c r="L66" i="5"/>
  <c r="L70" i="5"/>
  <c r="L74" i="5"/>
  <c r="L78" i="5"/>
  <c r="L82" i="5"/>
  <c r="L7" i="5"/>
  <c r="L15" i="5"/>
  <c r="L23" i="5"/>
  <c r="L31" i="5"/>
  <c r="L39" i="5"/>
  <c r="L47" i="5"/>
  <c r="L55" i="5"/>
  <c r="L63" i="5"/>
  <c r="L71" i="5"/>
  <c r="L79" i="5"/>
  <c r="L9" i="5"/>
  <c r="L17" i="5"/>
  <c r="L25" i="5"/>
  <c r="L33" i="5"/>
  <c r="L41" i="5"/>
  <c r="L49" i="5"/>
  <c r="L57" i="5"/>
  <c r="L65" i="5"/>
  <c r="L73" i="5"/>
  <c r="L81" i="5"/>
  <c r="J4" i="5"/>
  <c r="J8" i="5"/>
  <c r="J12" i="5"/>
  <c r="J16" i="5"/>
  <c r="J21" i="5"/>
  <c r="J24" i="5"/>
  <c r="J28" i="5"/>
  <c r="J32" i="5"/>
  <c r="J36" i="5"/>
  <c r="J40" i="5"/>
  <c r="J44" i="5"/>
  <c r="J48" i="5"/>
  <c r="J52" i="5"/>
  <c r="J56" i="5"/>
  <c r="J60" i="5"/>
  <c r="J64" i="5"/>
  <c r="J68" i="5"/>
  <c r="J72" i="5"/>
  <c r="J76" i="5"/>
  <c r="J80" i="5"/>
  <c r="J6" i="5"/>
  <c r="J14" i="5"/>
  <c r="J22" i="5"/>
  <c r="J30" i="5"/>
  <c r="J38" i="5"/>
  <c r="J46" i="5"/>
  <c r="J54" i="5"/>
  <c r="J62" i="5"/>
  <c r="J70" i="5"/>
  <c r="J78" i="5"/>
  <c r="J5" i="5"/>
  <c r="J13" i="5"/>
  <c r="J20" i="5"/>
  <c r="J29" i="5"/>
  <c r="J37" i="5"/>
  <c r="J45" i="5"/>
  <c r="J53" i="5"/>
  <c r="J61" i="5"/>
  <c r="J69" i="5"/>
  <c r="J77" i="5"/>
  <c r="J3" i="5"/>
  <c r="J11" i="5"/>
  <c r="J19" i="5"/>
  <c r="J27" i="5"/>
  <c r="J35" i="5"/>
  <c r="J43" i="5"/>
  <c r="J51" i="5"/>
  <c r="J59" i="5"/>
  <c r="J67" i="5"/>
  <c r="J75" i="5"/>
  <c r="H4" i="5"/>
  <c r="H8" i="5"/>
  <c r="H12" i="5"/>
  <c r="H5" i="5"/>
  <c r="H13" i="5"/>
  <c r="H18" i="5"/>
  <c r="H22" i="5"/>
  <c r="H26" i="5"/>
  <c r="H30" i="5"/>
  <c r="H34" i="5"/>
  <c r="H38" i="5"/>
  <c r="H42" i="5"/>
  <c r="H46" i="5"/>
  <c r="H50" i="5"/>
  <c r="H54" i="5"/>
  <c r="H58" i="5"/>
  <c r="H62" i="5"/>
  <c r="H66" i="5"/>
  <c r="H70" i="5"/>
  <c r="H74" i="5"/>
  <c r="H78" i="5"/>
  <c r="H82" i="5"/>
  <c r="H6" i="5"/>
  <c r="H14" i="5"/>
  <c r="H16" i="5"/>
  <c r="H24" i="5"/>
  <c r="H32" i="5"/>
  <c r="H40" i="5"/>
  <c r="H48" i="5"/>
  <c r="H56" i="5"/>
  <c r="H64" i="5"/>
  <c r="H72" i="5"/>
  <c r="H80" i="5"/>
  <c r="H79" i="5"/>
  <c r="H71" i="5"/>
  <c r="H63" i="5"/>
  <c r="H55" i="5"/>
  <c r="H47" i="5"/>
  <c r="H39" i="5"/>
  <c r="H31" i="5"/>
  <c r="H23" i="5"/>
  <c r="H15" i="5"/>
  <c r="H11" i="5"/>
  <c r="H20" i="5"/>
  <c r="H29" i="5"/>
  <c r="H37" i="5"/>
  <c r="H45" i="5"/>
  <c r="H53" i="5"/>
  <c r="H61" i="5"/>
  <c r="H69" i="5"/>
  <c r="H77" i="5"/>
  <c r="H7" i="5"/>
  <c r="H27" i="5"/>
  <c r="H43" i="5"/>
  <c r="H59" i="5"/>
  <c r="H75" i="5"/>
  <c r="P77" i="5"/>
  <c r="P61" i="5"/>
  <c r="P45" i="5"/>
  <c r="P29" i="5"/>
  <c r="P13" i="5"/>
  <c r="P75" i="5"/>
  <c r="P59" i="5"/>
  <c r="P43" i="5"/>
  <c r="P27" i="5"/>
  <c r="P11" i="5"/>
  <c r="P80" i="5"/>
  <c r="P72" i="5"/>
  <c r="P64" i="5"/>
  <c r="P56" i="5"/>
  <c r="P48" i="5"/>
  <c r="P40" i="5"/>
  <c r="P32" i="5"/>
  <c r="P24" i="5"/>
  <c r="P16" i="5"/>
  <c r="P8" i="5"/>
  <c r="N79" i="5"/>
  <c r="N63" i="5"/>
  <c r="N47" i="5"/>
  <c r="N31" i="5"/>
  <c r="N15" i="5"/>
  <c r="N81" i="5"/>
  <c r="N65" i="5"/>
  <c r="N49" i="5"/>
  <c r="N33" i="5"/>
  <c r="N17" i="5"/>
  <c r="N82" i="5"/>
  <c r="N74" i="5"/>
  <c r="N66" i="5"/>
  <c r="N58" i="5"/>
  <c r="N50" i="5"/>
  <c r="N42" i="5"/>
  <c r="N34" i="5"/>
  <c r="N26" i="5"/>
  <c r="N18" i="5"/>
  <c r="N10" i="5"/>
  <c r="N2" i="5"/>
  <c r="L69" i="5"/>
  <c r="L53" i="5"/>
  <c r="L37" i="5"/>
  <c r="L20" i="5"/>
  <c r="L5" i="5"/>
  <c r="L67" i="5"/>
  <c r="L51" i="5"/>
  <c r="L35" i="5"/>
  <c r="L19" i="5"/>
  <c r="L3" i="5"/>
  <c r="L76" i="5"/>
  <c r="L68" i="5"/>
  <c r="L60" i="5"/>
  <c r="L52" i="5"/>
  <c r="L44" i="5"/>
  <c r="L36" i="5"/>
  <c r="L28" i="5"/>
  <c r="L21" i="5"/>
  <c r="L12" i="5"/>
  <c r="L4" i="5"/>
  <c r="J71" i="5"/>
  <c r="J55" i="5"/>
  <c r="J39" i="5"/>
  <c r="J23" i="5"/>
  <c r="J7" i="5"/>
  <c r="J73" i="5"/>
  <c r="J57" i="5"/>
  <c r="J41" i="5"/>
  <c r="J25" i="5"/>
  <c r="J9" i="5"/>
  <c r="J74" i="5"/>
  <c r="J58" i="5"/>
  <c r="J42" i="5"/>
  <c r="J26" i="5"/>
  <c r="J10" i="5"/>
  <c r="H76" i="5"/>
  <c r="H60" i="5"/>
  <c r="H44" i="5"/>
  <c r="H28" i="5"/>
  <c r="H9" i="5"/>
  <c r="H2" i="5"/>
  <c r="Q2" i="5"/>
  <c r="Q6" i="5"/>
  <c r="Q10" i="5"/>
  <c r="Q14" i="5"/>
  <c r="Q18" i="5"/>
  <c r="Q22" i="5"/>
  <c r="Q26" i="5"/>
  <c r="Q30" i="5"/>
  <c r="Q34" i="5"/>
  <c r="Q38" i="5"/>
  <c r="Q42" i="5"/>
  <c r="Q46" i="5"/>
  <c r="Q50" i="5"/>
  <c r="Q54" i="5"/>
  <c r="Q7" i="5"/>
  <c r="Q15" i="5"/>
  <c r="Q23" i="5"/>
  <c r="Q31" i="5"/>
  <c r="Q39" i="5"/>
  <c r="Q47" i="5"/>
  <c r="Q55" i="5"/>
  <c r="Q59" i="5"/>
  <c r="Q63" i="5"/>
  <c r="Q67" i="5"/>
  <c r="Q71" i="5"/>
  <c r="Q75" i="5"/>
  <c r="Q79" i="5"/>
  <c r="Q9" i="5"/>
  <c r="Q25" i="5"/>
  <c r="Q41" i="5"/>
  <c r="Q56" i="5"/>
  <c r="Q64" i="5"/>
  <c r="Q72" i="5"/>
  <c r="Q80" i="5"/>
  <c r="Q13" i="5"/>
  <c r="Q29" i="5"/>
  <c r="Q45" i="5"/>
  <c r="Q58" i="5"/>
  <c r="Q66" i="5"/>
  <c r="Q74" i="5"/>
  <c r="Q82" i="5"/>
  <c r="Q4" i="5"/>
  <c r="Q12" i="5"/>
  <c r="Q21" i="5"/>
  <c r="Q28" i="5"/>
  <c r="Q36" i="5"/>
  <c r="Q44" i="5"/>
  <c r="Q52" i="5"/>
  <c r="Q11" i="5"/>
  <c r="Q27" i="5"/>
  <c r="Q43" i="5"/>
  <c r="Q57" i="5"/>
  <c r="Q65" i="5"/>
  <c r="Q73" i="5"/>
  <c r="Q81" i="5"/>
  <c r="Q33" i="5"/>
  <c r="Q60" i="5"/>
  <c r="Q76" i="5"/>
  <c r="Q20" i="5"/>
  <c r="Q53" i="5"/>
  <c r="Q70" i="5"/>
  <c r="O5" i="5"/>
  <c r="O9" i="5"/>
  <c r="O13" i="5"/>
  <c r="O17" i="5"/>
  <c r="O20" i="5"/>
  <c r="O25" i="5"/>
  <c r="O29" i="5"/>
  <c r="O33" i="5"/>
  <c r="O37" i="5"/>
  <c r="O41" i="5"/>
  <c r="O45" i="5"/>
  <c r="O49" i="5"/>
  <c r="O53" i="5"/>
  <c r="O57" i="5"/>
  <c r="O61" i="5"/>
  <c r="O65" i="5"/>
  <c r="O69" i="5"/>
  <c r="O73" i="5"/>
  <c r="O77" i="5"/>
  <c r="O81" i="5"/>
  <c r="O6" i="5"/>
  <c r="O14" i="5"/>
  <c r="O22" i="5"/>
  <c r="O30" i="5"/>
  <c r="O38" i="5"/>
  <c r="O46" i="5"/>
  <c r="O54" i="5"/>
  <c r="O62" i="5"/>
  <c r="M5" i="5"/>
  <c r="M9" i="5"/>
  <c r="M13" i="5"/>
  <c r="M17" i="5"/>
  <c r="M20" i="5"/>
  <c r="M25" i="5"/>
  <c r="M29" i="5"/>
  <c r="M33" i="5"/>
  <c r="M37" i="5"/>
  <c r="M41" i="5"/>
  <c r="M45" i="5"/>
  <c r="M49" i="5"/>
  <c r="M53" i="5"/>
  <c r="M57" i="5"/>
  <c r="M61" i="5"/>
  <c r="M65" i="5"/>
  <c r="M69" i="5"/>
  <c r="M73" i="5"/>
  <c r="M77" i="5"/>
  <c r="M81" i="5"/>
  <c r="M4" i="5"/>
  <c r="M12" i="5"/>
  <c r="M21" i="5"/>
  <c r="M28" i="5"/>
  <c r="M36" i="5"/>
  <c r="M44" i="5"/>
  <c r="M52" i="5"/>
  <c r="M60" i="5"/>
  <c r="M68" i="5"/>
  <c r="M76" i="5"/>
  <c r="M6" i="5"/>
  <c r="M14" i="5"/>
  <c r="M22" i="5"/>
  <c r="M30" i="5"/>
  <c r="M38" i="5"/>
  <c r="M46" i="5"/>
  <c r="M54" i="5"/>
  <c r="M62" i="5"/>
  <c r="M70" i="5"/>
  <c r="M78" i="5"/>
  <c r="M7" i="5"/>
  <c r="M15" i="5"/>
  <c r="M23" i="5"/>
  <c r="M31" i="5"/>
  <c r="M39" i="5"/>
  <c r="M47" i="5"/>
  <c r="M55" i="5"/>
  <c r="M63" i="5"/>
  <c r="M71" i="5"/>
  <c r="M79" i="5"/>
  <c r="M8" i="5"/>
  <c r="M24" i="5"/>
  <c r="M40" i="5"/>
  <c r="M56" i="5"/>
  <c r="M72" i="5"/>
  <c r="M10" i="5"/>
  <c r="M26" i="5"/>
  <c r="M42" i="5"/>
  <c r="M58" i="5"/>
  <c r="M74" i="5"/>
  <c r="K5" i="5"/>
  <c r="K9" i="5"/>
  <c r="K13" i="5"/>
  <c r="K17" i="5"/>
  <c r="K20" i="5"/>
  <c r="K25" i="5"/>
  <c r="K29" i="5"/>
  <c r="K33" i="5"/>
  <c r="K37" i="5"/>
  <c r="K41" i="5"/>
  <c r="K45" i="5"/>
  <c r="K49" i="5"/>
  <c r="K53" i="5"/>
  <c r="K57" i="5"/>
  <c r="K61" i="5"/>
  <c r="K65" i="5"/>
  <c r="K69" i="5"/>
  <c r="K73" i="5"/>
  <c r="K77" i="5"/>
  <c r="K81" i="5"/>
  <c r="K6" i="5"/>
  <c r="K14" i="5"/>
  <c r="K22" i="5"/>
  <c r="K30" i="5"/>
  <c r="K38" i="5"/>
  <c r="K46" i="5"/>
  <c r="K54" i="5"/>
  <c r="K62" i="5"/>
  <c r="K70" i="5"/>
  <c r="K78" i="5"/>
  <c r="K4" i="5"/>
  <c r="K12" i="5"/>
  <c r="K21" i="5"/>
  <c r="K28" i="5"/>
  <c r="K36" i="5"/>
  <c r="K44" i="5"/>
  <c r="K52" i="5"/>
  <c r="K7" i="5"/>
  <c r="K15" i="5"/>
  <c r="K23" i="5"/>
  <c r="K31" i="5"/>
  <c r="K39" i="5"/>
  <c r="K47" i="5"/>
  <c r="K55" i="5"/>
  <c r="K63" i="5"/>
  <c r="K71" i="5"/>
  <c r="K79" i="5"/>
  <c r="K10" i="5"/>
  <c r="K26" i="5"/>
  <c r="K42" i="5"/>
  <c r="K58" i="5"/>
  <c r="K74" i="5"/>
  <c r="K8" i="5"/>
  <c r="K24" i="5"/>
  <c r="K40" i="5"/>
  <c r="K56" i="5"/>
  <c r="K64" i="5"/>
  <c r="K72" i="5"/>
  <c r="K80" i="5"/>
  <c r="K11" i="5"/>
  <c r="K27" i="5"/>
  <c r="K43" i="5"/>
  <c r="K59" i="5"/>
  <c r="K75" i="5"/>
  <c r="K18" i="5"/>
  <c r="K50" i="5"/>
  <c r="K82" i="5"/>
  <c r="K32" i="5"/>
  <c r="K60" i="5"/>
  <c r="K76" i="5"/>
  <c r="I3" i="5"/>
  <c r="I7" i="5"/>
  <c r="I11" i="5"/>
  <c r="I15" i="5"/>
  <c r="I19" i="5"/>
  <c r="I23" i="5"/>
  <c r="I27" i="5"/>
  <c r="I31" i="5"/>
  <c r="I35" i="5"/>
  <c r="I39" i="5"/>
  <c r="I43" i="5"/>
  <c r="I47" i="5"/>
  <c r="I51" i="5"/>
  <c r="I55" i="5"/>
  <c r="I59" i="5"/>
  <c r="I63" i="5"/>
  <c r="I67" i="5"/>
  <c r="I71" i="5"/>
  <c r="I75" i="5"/>
  <c r="I79" i="5"/>
  <c r="I4" i="5"/>
  <c r="I2" i="5"/>
  <c r="I10" i="5"/>
  <c r="I18" i="5"/>
  <c r="I26" i="5"/>
  <c r="I34" i="5"/>
  <c r="I42" i="5"/>
  <c r="I50" i="5"/>
  <c r="I58" i="5"/>
  <c r="I66" i="5"/>
  <c r="I74" i="5"/>
  <c r="I82" i="5"/>
  <c r="I5" i="5"/>
  <c r="I13" i="5"/>
  <c r="I20" i="5"/>
  <c r="I29" i="5"/>
  <c r="I37" i="5"/>
  <c r="I45" i="5"/>
  <c r="I53" i="5"/>
  <c r="I61" i="5"/>
  <c r="I69" i="5"/>
  <c r="I77" i="5"/>
  <c r="I8" i="5"/>
  <c r="I14" i="5"/>
  <c r="I30" i="5"/>
  <c r="I46" i="5"/>
  <c r="I62" i="5"/>
  <c r="I78" i="5"/>
  <c r="I9" i="5"/>
  <c r="I25" i="5"/>
  <c r="I41" i="5"/>
  <c r="I57" i="5"/>
  <c r="I73" i="5"/>
  <c r="I6" i="5"/>
  <c r="I38" i="5"/>
  <c r="I70" i="5"/>
  <c r="I80" i="5"/>
  <c r="I64" i="5"/>
  <c r="I48" i="5"/>
  <c r="I32" i="5"/>
  <c r="I16" i="5"/>
  <c r="I21" i="5"/>
  <c r="I36" i="5"/>
  <c r="I52" i="5"/>
  <c r="I68" i="5"/>
  <c r="H3" i="5"/>
  <c r="H17" i="5"/>
  <c r="H25" i="5"/>
  <c r="H33" i="5"/>
  <c r="H41" i="5"/>
  <c r="H49" i="5"/>
  <c r="H57" i="5"/>
  <c r="H65" i="5"/>
  <c r="H73" i="5"/>
  <c r="H81" i="5"/>
  <c r="O80" i="5"/>
  <c r="O72" i="5"/>
  <c r="O64" i="5"/>
  <c r="O56" i="5"/>
  <c r="O48" i="5"/>
  <c r="O40" i="5"/>
  <c r="O32" i="5"/>
  <c r="O24" i="5"/>
  <c r="O16" i="5"/>
  <c r="O8" i="5"/>
  <c r="O82" i="5"/>
  <c r="O74" i="5"/>
  <c r="O66" i="5"/>
  <c r="O50" i="5"/>
  <c r="O34" i="5"/>
  <c r="O18" i="5"/>
  <c r="O2" i="5"/>
  <c r="O75" i="5"/>
  <c r="O67" i="5"/>
  <c r="O59" i="5"/>
  <c r="O51" i="5"/>
  <c r="O43" i="5"/>
  <c r="O35" i="5"/>
  <c r="O27" i="5"/>
  <c r="O19" i="5"/>
  <c r="O11" i="5"/>
  <c r="O3" i="5"/>
  <c r="I40" i="5"/>
  <c r="I72" i="5"/>
  <c r="H19" i="5"/>
  <c r="H35" i="5"/>
  <c r="H51" i="5"/>
  <c r="H67" i="5"/>
  <c r="P69" i="5"/>
  <c r="P53" i="5"/>
  <c r="P37" i="5"/>
  <c r="P20" i="5"/>
  <c r="P5" i="5"/>
  <c r="P67" i="5"/>
  <c r="P51" i="5"/>
  <c r="P35" i="5"/>
  <c r="P19" i="5"/>
  <c r="P3" i="5"/>
  <c r="P76" i="5"/>
  <c r="P68" i="5"/>
  <c r="P60" i="5"/>
  <c r="P52" i="5"/>
  <c r="P44" i="5"/>
  <c r="P36" i="5"/>
  <c r="P28" i="5"/>
  <c r="P21" i="5"/>
  <c r="P12" i="5"/>
  <c r="P4" i="5"/>
  <c r="N71" i="5"/>
  <c r="N55" i="5"/>
  <c r="N39" i="5"/>
  <c r="N23" i="5"/>
  <c r="N7" i="5"/>
  <c r="N73" i="5"/>
  <c r="N57" i="5"/>
  <c r="N41" i="5"/>
  <c r="N25" i="5"/>
  <c r="N9" i="5"/>
  <c r="N78" i="5"/>
  <c r="N70" i="5"/>
  <c r="N62" i="5"/>
  <c r="N54" i="5"/>
  <c r="N46" i="5"/>
  <c r="N38" i="5"/>
  <c r="N30" i="5"/>
  <c r="N22" i="5"/>
  <c r="N14" i="5"/>
  <c r="N6" i="5"/>
  <c r="L77" i="5"/>
  <c r="L61" i="5"/>
  <c r="L45" i="5"/>
  <c r="L29" i="5"/>
  <c r="L13" i="5"/>
  <c r="L75" i="5"/>
  <c r="L59" i="5"/>
  <c r="L43" i="5"/>
  <c r="L27" i="5"/>
  <c r="L11" i="5"/>
  <c r="L80" i="5"/>
  <c r="L72" i="5"/>
  <c r="L64" i="5"/>
  <c r="L56" i="5"/>
  <c r="L48" i="5"/>
  <c r="L40" i="5"/>
  <c r="L32" i="5"/>
  <c r="L24" i="5"/>
  <c r="L16" i="5"/>
  <c r="L8" i="5"/>
  <c r="J79" i="5"/>
  <c r="J63" i="5"/>
  <c r="J47" i="5"/>
  <c r="J31" i="5"/>
  <c r="J15" i="5"/>
  <c r="J81" i="5"/>
  <c r="J65" i="5"/>
  <c r="J49" i="5"/>
  <c r="J33" i="5"/>
  <c r="J17" i="5"/>
  <c r="J82" i="5"/>
  <c r="J66" i="5"/>
  <c r="J50" i="5"/>
  <c r="J34" i="5"/>
  <c r="J18" i="5"/>
  <c r="J2" i="5"/>
  <c r="H68" i="5"/>
  <c r="H52" i="5"/>
  <c r="H36" i="5"/>
  <c r="H21" i="5"/>
  <c r="H10" i="5"/>
  <c r="Q78" i="5"/>
  <c r="Q37" i="5"/>
  <c r="Q68" i="5"/>
  <c r="Q17" i="5"/>
  <c r="Q69" i="5"/>
  <c r="Q51" i="5"/>
  <c r="Q19" i="5"/>
  <c r="Q48" i="5"/>
  <c r="Q32" i="5"/>
  <c r="Q16" i="5"/>
  <c r="M82" i="5"/>
  <c r="M50" i="5"/>
  <c r="M18" i="5"/>
  <c r="M64" i="5"/>
  <c r="M32" i="5"/>
  <c r="M2" i="5"/>
  <c r="M67" i="5"/>
  <c r="M51" i="5"/>
  <c r="M35" i="5"/>
  <c r="M19" i="5"/>
  <c r="M3" i="5"/>
  <c r="K48" i="5"/>
  <c r="K66" i="5"/>
  <c r="K2" i="5"/>
  <c r="K51" i="5"/>
  <c r="K19" i="5"/>
  <c r="I54" i="5"/>
  <c r="I81" i="5"/>
  <c r="I49" i="5"/>
  <c r="I17" i="5"/>
  <c r="H97" i="4"/>
  <c r="J97" i="4"/>
  <c r="L97" i="4"/>
  <c r="N97" i="4"/>
  <c r="H95" i="4"/>
  <c r="J95" i="4"/>
  <c r="L95" i="4"/>
  <c r="N95" i="4"/>
  <c r="H91" i="9"/>
  <c r="H2" i="9"/>
  <c r="H4" i="9"/>
  <c r="H6" i="9"/>
  <c r="H8" i="9"/>
  <c r="H10" i="9"/>
  <c r="H12" i="9"/>
  <c r="H14" i="9"/>
  <c r="H16" i="9"/>
  <c r="H18" i="9"/>
  <c r="H20" i="9"/>
  <c r="H22" i="9"/>
  <c r="H24" i="9"/>
  <c r="H26" i="9"/>
  <c r="H28" i="9"/>
  <c r="H30" i="9"/>
  <c r="H32" i="9"/>
  <c r="H34" i="9"/>
  <c r="H36" i="9"/>
  <c r="H38" i="9"/>
  <c r="H40" i="9"/>
  <c r="H42" i="9"/>
  <c r="H44" i="9"/>
  <c r="H46" i="9"/>
  <c r="H48" i="9"/>
  <c r="H50" i="9"/>
  <c r="H52" i="9"/>
  <c r="H54" i="9"/>
  <c r="H56" i="9"/>
  <c r="H58" i="9"/>
  <c r="H60" i="9"/>
  <c r="H62" i="9"/>
  <c r="H64" i="9"/>
  <c r="H66" i="9"/>
  <c r="H68" i="9"/>
  <c r="H70" i="9"/>
  <c r="H72" i="9"/>
  <c r="H74" i="9"/>
  <c r="H76" i="9"/>
  <c r="H78" i="9"/>
  <c r="H80" i="9"/>
  <c r="H82" i="9"/>
  <c r="H3" i="9"/>
  <c r="H7" i="9"/>
  <c r="H11" i="9"/>
  <c r="H15" i="9"/>
  <c r="H19" i="9"/>
  <c r="H23" i="9"/>
  <c r="H27" i="9"/>
  <c r="H31" i="9"/>
  <c r="H35" i="9"/>
  <c r="H39" i="9"/>
  <c r="H43" i="9"/>
  <c r="H47" i="9"/>
  <c r="H51" i="9"/>
  <c r="H55" i="9"/>
  <c r="H59" i="9"/>
  <c r="H63" i="9"/>
  <c r="H67" i="9"/>
  <c r="H71" i="9"/>
  <c r="H75" i="9"/>
  <c r="H79" i="9"/>
  <c r="H81" i="9"/>
  <c r="H73" i="9"/>
  <c r="H65" i="9"/>
  <c r="H57" i="9"/>
  <c r="H49" i="9"/>
  <c r="H41" i="9"/>
  <c r="H33" i="9"/>
  <c r="H25" i="9"/>
  <c r="H17" i="9"/>
  <c r="H9" i="9"/>
  <c r="H77" i="9"/>
  <c r="H69" i="9"/>
  <c r="H61" i="9"/>
  <c r="H53" i="9"/>
  <c r="H45" i="9"/>
  <c r="H37" i="9"/>
  <c r="H29" i="9"/>
  <c r="H21" i="9"/>
  <c r="H13" i="9"/>
  <c r="H5" i="9"/>
  <c r="I92" i="9"/>
  <c r="H92" i="9"/>
  <c r="I96" i="4"/>
  <c r="K96" i="4"/>
  <c r="M96" i="4"/>
  <c r="O96" i="4"/>
  <c r="I97" i="4"/>
  <c r="K97" i="4"/>
  <c r="M97" i="4"/>
  <c r="O97" i="4"/>
  <c r="I7" i="10" l="1"/>
  <c r="I8" i="10"/>
  <c r="I9" i="10"/>
  <c r="I10" i="10"/>
  <c r="I11" i="10"/>
  <c r="I12" i="10"/>
  <c r="I13" i="10"/>
  <c r="I14" i="10"/>
  <c r="F8" i="10"/>
  <c r="F10" i="10"/>
  <c r="F12" i="10"/>
  <c r="F14" i="10"/>
  <c r="I2" i="9" l="1"/>
  <c r="I4" i="9"/>
  <c r="I6" i="9"/>
  <c r="I8" i="9"/>
  <c r="I10" i="9"/>
  <c r="I12" i="9"/>
  <c r="I14" i="9"/>
  <c r="I16" i="9"/>
  <c r="I18" i="9"/>
  <c r="I20" i="9"/>
  <c r="I22" i="9"/>
  <c r="I24" i="9"/>
  <c r="I26" i="9"/>
  <c r="I28" i="9"/>
  <c r="I30" i="9"/>
  <c r="I32" i="9"/>
  <c r="I34" i="9"/>
  <c r="I36" i="9"/>
  <c r="I38" i="9"/>
  <c r="I40" i="9"/>
  <c r="I42" i="9"/>
  <c r="I44" i="9"/>
  <c r="I46" i="9"/>
  <c r="I48" i="9"/>
  <c r="I50" i="9"/>
  <c r="I52" i="9"/>
  <c r="I54" i="9"/>
  <c r="I56" i="9"/>
  <c r="I58" i="9"/>
  <c r="I60" i="9"/>
  <c r="I62" i="9"/>
  <c r="I3" i="9"/>
  <c r="I7" i="9"/>
  <c r="I11" i="9"/>
  <c r="I15" i="9"/>
  <c r="I19" i="9"/>
  <c r="I23" i="9"/>
  <c r="I27" i="9"/>
  <c r="I31" i="9"/>
  <c r="I35" i="9"/>
  <c r="I39" i="9"/>
  <c r="I43" i="9"/>
  <c r="I47" i="9"/>
  <c r="I51" i="9"/>
  <c r="I55" i="9"/>
  <c r="I59" i="9"/>
  <c r="I63" i="9"/>
  <c r="I65" i="9"/>
  <c r="I67" i="9"/>
  <c r="I69" i="9"/>
  <c r="I71" i="9"/>
  <c r="I73" i="9"/>
  <c r="I75" i="9"/>
  <c r="I77" i="9"/>
  <c r="I79" i="9"/>
  <c r="I81" i="9"/>
  <c r="I5" i="9"/>
  <c r="I9" i="9"/>
  <c r="I13" i="9"/>
  <c r="I17" i="9"/>
  <c r="I21" i="9"/>
  <c r="I25" i="9"/>
  <c r="I29" i="9"/>
  <c r="I33" i="9"/>
  <c r="I37" i="9"/>
  <c r="I41" i="9"/>
  <c r="I45" i="9"/>
  <c r="I49" i="9"/>
  <c r="I53" i="9"/>
  <c r="I57" i="9"/>
  <c r="I61" i="9"/>
  <c r="I64" i="9"/>
  <c r="I66" i="9"/>
  <c r="I68" i="9"/>
  <c r="I70" i="9"/>
  <c r="I72" i="9"/>
  <c r="I74" i="9"/>
  <c r="I76" i="9"/>
  <c r="I78" i="9"/>
  <c r="I80" i="9"/>
  <c r="I82" i="9"/>
  <c r="F11" i="10"/>
  <c r="F7" i="10"/>
  <c r="F13" i="10"/>
  <c r="F9" i="10"/>
  <c r="H92" i="4"/>
  <c r="I92" i="4"/>
  <c r="J92" i="4"/>
  <c r="K92" i="4"/>
  <c r="L92" i="4"/>
  <c r="M92" i="4"/>
  <c r="N92" i="4"/>
  <c r="O92" i="4"/>
  <c r="O4" i="4" l="1"/>
  <c r="O8" i="4"/>
  <c r="O12" i="4"/>
  <c r="O16" i="4"/>
  <c r="O20" i="4"/>
  <c r="O24" i="4"/>
  <c r="O28" i="4"/>
  <c r="O32" i="4"/>
  <c r="O36" i="4"/>
  <c r="O40" i="4"/>
  <c r="O44" i="4"/>
  <c r="O48" i="4"/>
  <c r="O52" i="4"/>
  <c r="O56" i="4"/>
  <c r="O60" i="4"/>
  <c r="O64" i="4"/>
  <c r="O2" i="4"/>
  <c r="O6" i="4"/>
  <c r="O10" i="4"/>
  <c r="O14" i="4"/>
  <c r="O18" i="4"/>
  <c r="O22" i="4"/>
  <c r="O26" i="4"/>
  <c r="O30" i="4"/>
  <c r="O34" i="4"/>
  <c r="O38" i="4"/>
  <c r="O42" i="4"/>
  <c r="O46" i="4"/>
  <c r="O50" i="4"/>
  <c r="O54" i="4"/>
  <c r="O58" i="4"/>
  <c r="O62" i="4"/>
  <c r="O66" i="4"/>
  <c r="O70" i="4"/>
  <c r="O74" i="4"/>
  <c r="O78" i="4"/>
  <c r="O82" i="4"/>
  <c r="O86" i="4"/>
  <c r="O90" i="4"/>
  <c r="O5" i="4"/>
  <c r="O13" i="4"/>
  <c r="O21" i="4"/>
  <c r="O29" i="4"/>
  <c r="O37" i="4"/>
  <c r="O45" i="4"/>
  <c r="O53" i="4"/>
  <c r="O61" i="4"/>
  <c r="O68" i="4"/>
  <c r="O73" i="4"/>
  <c r="O79" i="4"/>
  <c r="O84" i="4"/>
  <c r="O89" i="4"/>
  <c r="O3" i="4"/>
  <c r="O15" i="4"/>
  <c r="O25" i="4"/>
  <c r="O35" i="4"/>
  <c r="O47" i="4"/>
  <c r="O57" i="4"/>
  <c r="O67" i="4"/>
  <c r="O75" i="4"/>
  <c r="O81" i="4"/>
  <c r="O88" i="4"/>
  <c r="O7" i="4"/>
  <c r="O17" i="4"/>
  <c r="O27" i="4"/>
  <c r="O39" i="4"/>
  <c r="O49" i="4"/>
  <c r="O59" i="4"/>
  <c r="O69" i="4"/>
  <c r="O76" i="4"/>
  <c r="O83" i="4"/>
  <c r="O11" i="4"/>
  <c r="O33" i="4"/>
  <c r="O55" i="4"/>
  <c r="O72" i="4"/>
  <c r="O87" i="4"/>
  <c r="O31" i="4"/>
  <c r="O63" i="4"/>
  <c r="O80" i="4"/>
  <c r="O9" i="4"/>
  <c r="O41" i="4"/>
  <c r="O65" i="4"/>
  <c r="O85" i="4"/>
  <c r="O19" i="4"/>
  <c r="O43" i="4"/>
  <c r="O71" i="4"/>
  <c r="O77" i="4"/>
  <c r="O23" i="4"/>
  <c r="O51" i="4"/>
  <c r="K2" i="4"/>
  <c r="K6" i="4"/>
  <c r="K10" i="4"/>
  <c r="K14" i="4"/>
  <c r="K18" i="4"/>
  <c r="K22" i="4"/>
  <c r="K3" i="4"/>
  <c r="K8" i="4"/>
  <c r="K13" i="4"/>
  <c r="K19" i="4"/>
  <c r="K24" i="4"/>
  <c r="K28" i="4"/>
  <c r="K32" i="4"/>
  <c r="K36" i="4"/>
  <c r="K40" i="4"/>
  <c r="K44" i="4"/>
  <c r="K48" i="4"/>
  <c r="K52" i="4"/>
  <c r="K56" i="4"/>
  <c r="K60" i="4"/>
  <c r="K64" i="4"/>
  <c r="K68" i="4"/>
  <c r="K72" i="4"/>
  <c r="K76" i="4"/>
  <c r="K80" i="4"/>
  <c r="K84" i="4"/>
  <c r="K88" i="4"/>
  <c r="K4" i="4"/>
  <c r="K9" i="4"/>
  <c r="K15" i="4"/>
  <c r="K20" i="4"/>
  <c r="K25" i="4"/>
  <c r="K29" i="4"/>
  <c r="K33" i="4"/>
  <c r="K37" i="4"/>
  <c r="K41" i="4"/>
  <c r="K45" i="4"/>
  <c r="K49" i="4"/>
  <c r="K53" i="4"/>
  <c r="K57" i="4"/>
  <c r="K61" i="4"/>
  <c r="K65" i="4"/>
  <c r="K69" i="4"/>
  <c r="K73" i="4"/>
  <c r="K77" i="4"/>
  <c r="K81" i="4"/>
  <c r="K85" i="4"/>
  <c r="K89" i="4"/>
  <c r="K7" i="4"/>
  <c r="K17" i="4"/>
  <c r="K27" i="4"/>
  <c r="K35" i="4"/>
  <c r="K43" i="4"/>
  <c r="K51" i="4"/>
  <c r="K59" i="4"/>
  <c r="K67" i="4"/>
  <c r="K75" i="4"/>
  <c r="K83" i="4"/>
  <c r="K11" i="4"/>
  <c r="K23" i="4"/>
  <c r="K34" i="4"/>
  <c r="K46" i="4"/>
  <c r="K55" i="4"/>
  <c r="K66" i="4"/>
  <c r="K78" i="4"/>
  <c r="K87" i="4"/>
  <c r="K12" i="4"/>
  <c r="K26" i="4"/>
  <c r="K38" i="4"/>
  <c r="K47" i="4"/>
  <c r="K58" i="4"/>
  <c r="K70" i="4"/>
  <c r="K79" i="4"/>
  <c r="K90" i="4"/>
  <c r="K16" i="4"/>
  <c r="K30" i="4"/>
  <c r="K39" i="4"/>
  <c r="K50" i="4"/>
  <c r="K62" i="4"/>
  <c r="K71" i="4"/>
  <c r="K82" i="4"/>
  <c r="K42" i="4"/>
  <c r="K86" i="4"/>
  <c r="K5" i="4"/>
  <c r="K54" i="4"/>
  <c r="K21" i="4"/>
  <c r="K63" i="4"/>
  <c r="K31" i="4"/>
  <c r="K74" i="4"/>
  <c r="N5" i="4"/>
  <c r="N9" i="4"/>
  <c r="N13" i="4"/>
  <c r="N17" i="4"/>
  <c r="N21" i="4"/>
  <c r="N25" i="4"/>
  <c r="N29" i="4"/>
  <c r="N33" i="4"/>
  <c r="N37" i="4"/>
  <c r="N41" i="4"/>
  <c r="N45" i="4"/>
  <c r="N49" i="4"/>
  <c r="N53" i="4"/>
  <c r="N57" i="4"/>
  <c r="N61" i="4"/>
  <c r="N65" i="4"/>
  <c r="N69" i="4"/>
  <c r="N73" i="4"/>
  <c r="N77" i="4"/>
  <c r="N81" i="4"/>
  <c r="N85" i="4"/>
  <c r="N89" i="4"/>
  <c r="N6" i="4"/>
  <c r="N11" i="4"/>
  <c r="N16" i="4"/>
  <c r="N22" i="4"/>
  <c r="N27" i="4"/>
  <c r="N32" i="4"/>
  <c r="N38" i="4"/>
  <c r="N43" i="4"/>
  <c r="N48" i="4"/>
  <c r="N54" i="4"/>
  <c r="N59" i="4"/>
  <c r="N64" i="4"/>
  <c r="N70" i="4"/>
  <c r="N75" i="4"/>
  <c r="N80" i="4"/>
  <c r="N86" i="4"/>
  <c r="N7" i="4"/>
  <c r="N14" i="4"/>
  <c r="N20" i="4"/>
  <c r="N28" i="4"/>
  <c r="N35" i="4"/>
  <c r="N42" i="4"/>
  <c r="N50" i="4"/>
  <c r="N56" i="4"/>
  <c r="N63" i="4"/>
  <c r="N71" i="4"/>
  <c r="N78" i="4"/>
  <c r="N84" i="4"/>
  <c r="N2" i="4"/>
  <c r="N8" i="4"/>
  <c r="N15" i="4"/>
  <c r="N23" i="4"/>
  <c r="N30" i="4"/>
  <c r="N36" i="4"/>
  <c r="N44" i="4"/>
  <c r="N51" i="4"/>
  <c r="N58" i="4"/>
  <c r="N66" i="4"/>
  <c r="N72" i="4"/>
  <c r="N79" i="4"/>
  <c r="N87" i="4"/>
  <c r="N12" i="4"/>
  <c r="N26" i="4"/>
  <c r="N40" i="4"/>
  <c r="N55" i="4"/>
  <c r="N68" i="4"/>
  <c r="N83" i="4"/>
  <c r="N10" i="4"/>
  <c r="N31" i="4"/>
  <c r="N47" i="4"/>
  <c r="N67" i="4"/>
  <c r="N88" i="4"/>
  <c r="N18" i="4"/>
  <c r="N34" i="4"/>
  <c r="N52" i="4"/>
  <c r="N74" i="4"/>
  <c r="N90" i="4"/>
  <c r="N3" i="4"/>
  <c r="N19" i="4"/>
  <c r="N39" i="4"/>
  <c r="N60" i="4"/>
  <c r="N76" i="4"/>
  <c r="N62" i="4"/>
  <c r="N4" i="4"/>
  <c r="N82" i="4"/>
  <c r="N24" i="4"/>
  <c r="N46" i="4"/>
  <c r="J3" i="4"/>
  <c r="J7" i="4"/>
  <c r="J11" i="4"/>
  <c r="J15" i="4"/>
  <c r="J19" i="4"/>
  <c r="J23" i="4"/>
  <c r="J4" i="4"/>
  <c r="J8" i="4"/>
  <c r="J12" i="4"/>
  <c r="J16" i="4"/>
  <c r="J20" i="4"/>
  <c r="J24" i="4"/>
  <c r="J28" i="4"/>
  <c r="J32" i="4"/>
  <c r="J36" i="4"/>
  <c r="J40" i="4"/>
  <c r="J44" i="4"/>
  <c r="J2" i="4"/>
  <c r="J10" i="4"/>
  <c r="J18" i="4"/>
  <c r="J26" i="4"/>
  <c r="J31" i="4"/>
  <c r="J37" i="4"/>
  <c r="J42" i="4"/>
  <c r="J47" i="4"/>
  <c r="J51" i="4"/>
  <c r="J55" i="4"/>
  <c r="J59" i="4"/>
  <c r="J63" i="4"/>
  <c r="J67" i="4"/>
  <c r="J71" i="4"/>
  <c r="J75" i="4"/>
  <c r="J79" i="4"/>
  <c r="J83" i="4"/>
  <c r="J87" i="4"/>
  <c r="J9" i="4"/>
  <c r="J21" i="4"/>
  <c r="J29" i="4"/>
  <c r="J35" i="4"/>
  <c r="J43" i="4"/>
  <c r="J49" i="4"/>
  <c r="J54" i="4"/>
  <c r="J60" i="4"/>
  <c r="J65" i="4"/>
  <c r="J70" i="4"/>
  <c r="J76" i="4"/>
  <c r="J81" i="4"/>
  <c r="J86" i="4"/>
  <c r="J13" i="4"/>
  <c r="J22" i="4"/>
  <c r="J30" i="4"/>
  <c r="J38" i="4"/>
  <c r="J45" i="4"/>
  <c r="J50" i="4"/>
  <c r="J56" i="4"/>
  <c r="J61" i="4"/>
  <c r="J66" i="4"/>
  <c r="J72" i="4"/>
  <c r="J77" i="4"/>
  <c r="J82" i="4"/>
  <c r="J88" i="4"/>
  <c r="J5" i="4"/>
  <c r="J14" i="4"/>
  <c r="J25" i="4"/>
  <c r="J33" i="4"/>
  <c r="J39" i="4"/>
  <c r="J46" i="4"/>
  <c r="J52" i="4"/>
  <c r="J57" i="4"/>
  <c r="J62" i="4"/>
  <c r="J68" i="4"/>
  <c r="J73" i="4"/>
  <c r="J78" i="4"/>
  <c r="J84" i="4"/>
  <c r="J89" i="4"/>
  <c r="J34" i="4"/>
  <c r="J58" i="4"/>
  <c r="J80" i="4"/>
  <c r="J6" i="4"/>
  <c r="J41" i="4"/>
  <c r="J64" i="4"/>
  <c r="J85" i="4"/>
  <c r="J17" i="4"/>
  <c r="J48" i="4"/>
  <c r="J69" i="4"/>
  <c r="J90" i="4"/>
  <c r="J27" i="4"/>
  <c r="J53" i="4"/>
  <c r="J74" i="4"/>
  <c r="L3" i="4"/>
  <c r="L7" i="4"/>
  <c r="L11" i="4"/>
  <c r="L15" i="4"/>
  <c r="L19" i="4"/>
  <c r="L23" i="4"/>
  <c r="L27" i="4"/>
  <c r="L31" i="4"/>
  <c r="L35" i="4"/>
  <c r="L39" i="4"/>
  <c r="L43" i="4"/>
  <c r="L47" i="4"/>
  <c r="L51" i="4"/>
  <c r="L55" i="4"/>
  <c r="L59" i="4"/>
  <c r="L63" i="4"/>
  <c r="L67" i="4"/>
  <c r="L71" i="4"/>
  <c r="L75" i="4"/>
  <c r="L79" i="4"/>
  <c r="L83" i="4"/>
  <c r="L87" i="4"/>
  <c r="L6" i="4"/>
  <c r="L12" i="4"/>
  <c r="L17" i="4"/>
  <c r="L22" i="4"/>
  <c r="L28" i="4"/>
  <c r="L33" i="4"/>
  <c r="L38" i="4"/>
  <c r="L44" i="4"/>
  <c r="L49" i="4"/>
  <c r="L54" i="4"/>
  <c r="L60" i="4"/>
  <c r="L65" i="4"/>
  <c r="L70" i="4"/>
  <c r="L76" i="4"/>
  <c r="L81" i="4"/>
  <c r="L86" i="4"/>
  <c r="L2" i="4"/>
  <c r="L8" i="4"/>
  <c r="L13" i="4"/>
  <c r="L18" i="4"/>
  <c r="L24" i="4"/>
  <c r="L29" i="4"/>
  <c r="L34" i="4"/>
  <c r="L40" i="4"/>
  <c r="L45" i="4"/>
  <c r="L50" i="4"/>
  <c r="L56" i="4"/>
  <c r="L61" i="4"/>
  <c r="L66" i="4"/>
  <c r="L72" i="4"/>
  <c r="L77" i="4"/>
  <c r="L82" i="4"/>
  <c r="L88" i="4"/>
  <c r="L10" i="4"/>
  <c r="L21" i="4"/>
  <c r="L32" i="4"/>
  <c r="L42" i="4"/>
  <c r="L53" i="4"/>
  <c r="L64" i="4"/>
  <c r="L74" i="4"/>
  <c r="L85" i="4"/>
  <c r="L14" i="4"/>
  <c r="L26" i="4"/>
  <c r="L41" i="4"/>
  <c r="L57" i="4"/>
  <c r="L69" i="4"/>
  <c r="L84" i="4"/>
  <c r="L4" i="4"/>
  <c r="L16" i="4"/>
  <c r="L30" i="4"/>
  <c r="L46" i="4"/>
  <c r="L58" i="4"/>
  <c r="L73" i="4"/>
  <c r="L89" i="4"/>
  <c r="L5" i="4"/>
  <c r="L20" i="4"/>
  <c r="L36" i="4"/>
  <c r="L48" i="4"/>
  <c r="L62" i="4"/>
  <c r="L78" i="4"/>
  <c r="L90" i="4"/>
  <c r="L25" i="4"/>
  <c r="L80" i="4"/>
  <c r="L37" i="4"/>
  <c r="L52" i="4"/>
  <c r="L9" i="4"/>
  <c r="L68" i="4"/>
  <c r="H5" i="4"/>
  <c r="H9" i="4"/>
  <c r="H13" i="4"/>
  <c r="H17" i="4"/>
  <c r="H21" i="4"/>
  <c r="H25" i="4"/>
  <c r="H29" i="4"/>
  <c r="H33" i="4"/>
  <c r="H37" i="4"/>
  <c r="H41" i="4"/>
  <c r="H45" i="4"/>
  <c r="H49" i="4"/>
  <c r="H53" i="4"/>
  <c r="H57" i="4"/>
  <c r="H61" i="4"/>
  <c r="H65" i="4"/>
  <c r="H69" i="4"/>
  <c r="H73" i="4"/>
  <c r="H77" i="4"/>
  <c r="H81" i="4"/>
  <c r="H85" i="4"/>
  <c r="H89" i="4"/>
  <c r="H4" i="4"/>
  <c r="H10" i="4"/>
  <c r="H15" i="4"/>
  <c r="H20" i="4"/>
  <c r="H26" i="4"/>
  <c r="H31" i="4"/>
  <c r="H36" i="4"/>
  <c r="H42" i="4"/>
  <c r="H47" i="4"/>
  <c r="H52" i="4"/>
  <c r="H58" i="4"/>
  <c r="H63" i="4"/>
  <c r="H68" i="4"/>
  <c r="H74" i="4"/>
  <c r="H79" i="4"/>
  <c r="H84" i="4"/>
  <c r="H90" i="4"/>
  <c r="H2" i="4"/>
  <c r="H12" i="4"/>
  <c r="H23" i="4"/>
  <c r="H28" i="4"/>
  <c r="H39" i="4"/>
  <c r="H50" i="4"/>
  <c r="H60" i="4"/>
  <c r="H71" i="4"/>
  <c r="H82" i="4"/>
  <c r="H6" i="4"/>
  <c r="H11" i="4"/>
  <c r="H16" i="4"/>
  <c r="H22" i="4"/>
  <c r="H27" i="4"/>
  <c r="H32" i="4"/>
  <c r="H38" i="4"/>
  <c r="H43" i="4"/>
  <c r="H48" i="4"/>
  <c r="H54" i="4"/>
  <c r="H59" i="4"/>
  <c r="H64" i="4"/>
  <c r="H70" i="4"/>
  <c r="H75" i="4"/>
  <c r="H80" i="4"/>
  <c r="H86" i="4"/>
  <c r="H7" i="4"/>
  <c r="H18" i="4"/>
  <c r="H34" i="4"/>
  <c r="H44" i="4"/>
  <c r="H55" i="4"/>
  <c r="H66" i="4"/>
  <c r="H76" i="4"/>
  <c r="H87" i="4"/>
  <c r="H8" i="4"/>
  <c r="H30" i="4"/>
  <c r="H51" i="4"/>
  <c r="H72" i="4"/>
  <c r="H14" i="4"/>
  <c r="H35" i="4"/>
  <c r="H56" i="4"/>
  <c r="H78" i="4"/>
  <c r="H19" i="4"/>
  <c r="H40" i="4"/>
  <c r="H62" i="4"/>
  <c r="H83" i="4"/>
  <c r="H3" i="4"/>
  <c r="H24" i="4"/>
  <c r="H46" i="4"/>
  <c r="H67" i="4"/>
  <c r="H88" i="4"/>
  <c r="I2" i="4"/>
  <c r="I6" i="4"/>
  <c r="I10" i="4"/>
  <c r="I14" i="4"/>
  <c r="I18" i="4"/>
  <c r="I22" i="4"/>
  <c r="I26" i="4"/>
  <c r="I30" i="4"/>
  <c r="I34" i="4"/>
  <c r="I38" i="4"/>
  <c r="I42" i="4"/>
  <c r="I46" i="4"/>
  <c r="I50" i="4"/>
  <c r="I54" i="4"/>
  <c r="I58" i="4"/>
  <c r="I62" i="4"/>
  <c r="I66" i="4"/>
  <c r="I70" i="4"/>
  <c r="I74" i="4"/>
  <c r="I78" i="4"/>
  <c r="I82" i="4"/>
  <c r="I86" i="4"/>
  <c r="I90" i="4"/>
  <c r="I3" i="4"/>
  <c r="I8" i="4"/>
  <c r="I13" i="4"/>
  <c r="I19" i="4"/>
  <c r="I24" i="4"/>
  <c r="I29" i="4"/>
  <c r="I35" i="4"/>
  <c r="I40" i="4"/>
  <c r="I45" i="4"/>
  <c r="I51" i="4"/>
  <c r="I56" i="4"/>
  <c r="I61" i="4"/>
  <c r="I67" i="4"/>
  <c r="I72" i="4"/>
  <c r="I77" i="4"/>
  <c r="I83" i="4"/>
  <c r="I88" i="4"/>
  <c r="I37" i="4"/>
  <c r="I75" i="4"/>
  <c r="I4" i="4"/>
  <c r="I9" i="4"/>
  <c r="I15" i="4"/>
  <c r="I20" i="4"/>
  <c r="I25" i="4"/>
  <c r="I31" i="4"/>
  <c r="I36" i="4"/>
  <c r="I41" i="4"/>
  <c r="I47" i="4"/>
  <c r="I52" i="4"/>
  <c r="I57" i="4"/>
  <c r="I63" i="4"/>
  <c r="I68" i="4"/>
  <c r="I73" i="4"/>
  <c r="I79" i="4"/>
  <c r="I84" i="4"/>
  <c r="I89" i="4"/>
  <c r="I5" i="4"/>
  <c r="I11" i="4"/>
  <c r="I16" i="4"/>
  <c r="I21" i="4"/>
  <c r="I27" i="4"/>
  <c r="I32" i="4"/>
  <c r="I43" i="4"/>
  <c r="I48" i="4"/>
  <c r="I53" i="4"/>
  <c r="I59" i="4"/>
  <c r="I64" i="4"/>
  <c r="I69" i="4"/>
  <c r="I80" i="4"/>
  <c r="I85" i="4"/>
  <c r="I12" i="4"/>
  <c r="I33" i="4"/>
  <c r="I55" i="4"/>
  <c r="I76" i="4"/>
  <c r="I17" i="4"/>
  <c r="I39" i="4"/>
  <c r="I60" i="4"/>
  <c r="I81" i="4"/>
  <c r="I23" i="4"/>
  <c r="I44" i="4"/>
  <c r="I65" i="4"/>
  <c r="I87" i="4"/>
  <c r="I7" i="4"/>
  <c r="I28" i="4"/>
  <c r="I49" i="4"/>
  <c r="I71" i="4"/>
  <c r="M4" i="4"/>
  <c r="M8" i="4"/>
  <c r="M12" i="4"/>
  <c r="M16" i="4"/>
  <c r="M20" i="4"/>
  <c r="M24" i="4"/>
  <c r="M28" i="4"/>
  <c r="M32" i="4"/>
  <c r="M36" i="4"/>
  <c r="M40" i="4"/>
  <c r="M44" i="4"/>
  <c r="M48" i="4"/>
  <c r="M52" i="4"/>
  <c r="M56" i="4"/>
  <c r="M60" i="4"/>
  <c r="M64" i="4"/>
  <c r="M68" i="4"/>
  <c r="M72" i="4"/>
  <c r="M2" i="4"/>
  <c r="M7" i="4"/>
  <c r="M13" i="4"/>
  <c r="M18" i="4"/>
  <c r="M23" i="4"/>
  <c r="M29" i="4"/>
  <c r="M34" i="4"/>
  <c r="M39" i="4"/>
  <c r="M45" i="4"/>
  <c r="M50" i="4"/>
  <c r="M55" i="4"/>
  <c r="M61" i="4"/>
  <c r="M66" i="4"/>
  <c r="M71" i="4"/>
  <c r="M76" i="4"/>
  <c r="M80" i="4"/>
  <c r="M84" i="4"/>
  <c r="M88" i="4"/>
  <c r="M3" i="4"/>
  <c r="M10" i="4"/>
  <c r="M17" i="4"/>
  <c r="M25" i="4"/>
  <c r="M31" i="4"/>
  <c r="M38" i="4"/>
  <c r="M46" i="4"/>
  <c r="M53" i="4"/>
  <c r="M59" i="4"/>
  <c r="M67" i="4"/>
  <c r="M74" i="4"/>
  <c r="M79" i="4"/>
  <c r="M85" i="4"/>
  <c r="M90" i="4"/>
  <c r="M5" i="4"/>
  <c r="M11" i="4"/>
  <c r="M19" i="4"/>
  <c r="M26" i="4"/>
  <c r="M33" i="4"/>
  <c r="M41" i="4"/>
  <c r="M47" i="4"/>
  <c r="M54" i="4"/>
  <c r="M62" i="4"/>
  <c r="M69" i="4"/>
  <c r="M75" i="4"/>
  <c r="M81" i="4"/>
  <c r="M86" i="4"/>
  <c r="M9" i="4"/>
  <c r="M22" i="4"/>
  <c r="M37" i="4"/>
  <c r="M51" i="4"/>
  <c r="M65" i="4"/>
  <c r="M78" i="4"/>
  <c r="M89" i="4"/>
  <c r="M15" i="4"/>
  <c r="M35" i="4"/>
  <c r="M57" i="4"/>
  <c r="M73" i="4"/>
  <c r="M87" i="4"/>
  <c r="M21" i="4"/>
  <c r="M42" i="4"/>
  <c r="M58" i="4"/>
  <c r="M77" i="4"/>
  <c r="M6" i="4"/>
  <c r="M27" i="4"/>
  <c r="M43" i="4"/>
  <c r="M63" i="4"/>
  <c r="M82" i="4"/>
  <c r="M49" i="4"/>
  <c r="M70" i="4"/>
  <c r="M14" i="4"/>
  <c r="M83" i="4"/>
  <c r="M30" i="4"/>
  <c r="I17" i="6" l="1"/>
  <c r="K7" i="6"/>
  <c r="H70" i="3" s="1"/>
  <c r="K8" i="6"/>
  <c r="I70" i="3" s="1"/>
  <c r="K9" i="6"/>
  <c r="J70" i="3" s="1"/>
  <c r="K10" i="6"/>
  <c r="K70" i="3" s="1"/>
  <c r="K11" i="6"/>
  <c r="L70" i="3" s="1"/>
  <c r="K12" i="6"/>
  <c r="M70" i="3" s="1"/>
  <c r="K13" i="6"/>
  <c r="N70" i="3" s="1"/>
  <c r="K14" i="6"/>
  <c r="O70" i="3" s="1"/>
  <c r="K15" i="6"/>
  <c r="P70" i="3" s="1"/>
  <c r="K16" i="6"/>
  <c r="Q70" i="3" s="1"/>
  <c r="J9" i="6"/>
  <c r="J70" i="2" s="1"/>
  <c r="J13" i="6"/>
  <c r="N70" i="2" s="1"/>
  <c r="J7" i="6"/>
  <c r="H70" i="2" s="1"/>
  <c r="J8" i="6"/>
  <c r="I70" i="2" s="1"/>
  <c r="J10" i="6"/>
  <c r="K70" i="2" s="1"/>
  <c r="J11" i="6"/>
  <c r="L70" i="2" s="1"/>
  <c r="J12" i="6"/>
  <c r="M70" i="2" s="1"/>
  <c r="J14" i="6"/>
  <c r="O70" i="2" s="1"/>
  <c r="J15" i="6"/>
  <c r="J16" i="6"/>
  <c r="M3" i="2" l="1"/>
  <c r="M5" i="2"/>
  <c r="M7" i="2"/>
  <c r="M9" i="2"/>
  <c r="M11" i="2"/>
  <c r="M13" i="2"/>
  <c r="M15" i="2"/>
  <c r="M17" i="2"/>
  <c r="M19" i="2"/>
  <c r="M21" i="2"/>
  <c r="M23" i="2"/>
  <c r="M25" i="2"/>
  <c r="M27" i="2"/>
  <c r="M29" i="2"/>
  <c r="M31" i="2"/>
  <c r="M33" i="2"/>
  <c r="M35" i="2"/>
  <c r="M37" i="2"/>
  <c r="M39" i="2"/>
  <c r="M41" i="2"/>
  <c r="M43" i="2"/>
  <c r="M45" i="2"/>
  <c r="M47" i="2"/>
  <c r="M49" i="2"/>
  <c r="M51" i="2"/>
  <c r="M53" i="2"/>
  <c r="M55" i="2"/>
  <c r="M57" i="2"/>
  <c r="M59" i="2"/>
  <c r="M61" i="2"/>
  <c r="M63" i="2"/>
  <c r="M65" i="2"/>
  <c r="M67" i="2"/>
  <c r="M2" i="2"/>
  <c r="M6" i="2"/>
  <c r="M10" i="2"/>
  <c r="M14" i="2"/>
  <c r="M18" i="2"/>
  <c r="M22" i="2"/>
  <c r="M26" i="2"/>
  <c r="M30" i="2"/>
  <c r="M34" i="2"/>
  <c r="M38" i="2"/>
  <c r="M42" i="2"/>
  <c r="M46" i="2"/>
  <c r="M50" i="2"/>
  <c r="M54" i="2"/>
  <c r="M58" i="2"/>
  <c r="M62" i="2"/>
  <c r="M66" i="2"/>
  <c r="M8" i="2"/>
  <c r="M16" i="2"/>
  <c r="M24" i="2"/>
  <c r="M32" i="2"/>
  <c r="M40" i="2"/>
  <c r="M48" i="2"/>
  <c r="M56" i="2"/>
  <c r="M64" i="2"/>
  <c r="M4" i="2"/>
  <c r="M12" i="2"/>
  <c r="M20" i="2"/>
  <c r="M28" i="2"/>
  <c r="M36" i="2"/>
  <c r="M44" i="2"/>
  <c r="M52" i="2"/>
  <c r="M60" i="2"/>
  <c r="M68" i="2"/>
  <c r="K3" i="2"/>
  <c r="K5" i="2"/>
  <c r="K7" i="2"/>
  <c r="K9" i="2"/>
  <c r="K11" i="2"/>
  <c r="K13" i="2"/>
  <c r="K15" i="2"/>
  <c r="K17" i="2"/>
  <c r="K19" i="2"/>
  <c r="K21" i="2"/>
  <c r="K23" i="2"/>
  <c r="K25" i="2"/>
  <c r="K27" i="2"/>
  <c r="K29" i="2"/>
  <c r="K31" i="2"/>
  <c r="K33" i="2"/>
  <c r="K35" i="2"/>
  <c r="K37" i="2"/>
  <c r="K39" i="2"/>
  <c r="K41" i="2"/>
  <c r="K43" i="2"/>
  <c r="K45" i="2"/>
  <c r="K47" i="2"/>
  <c r="K49" i="2"/>
  <c r="K51" i="2"/>
  <c r="K53" i="2"/>
  <c r="K55" i="2"/>
  <c r="K57" i="2"/>
  <c r="K59" i="2"/>
  <c r="K61" i="2"/>
  <c r="K63" i="2"/>
  <c r="K65" i="2"/>
  <c r="K67" i="2"/>
  <c r="K4" i="2"/>
  <c r="K8" i="2"/>
  <c r="K12" i="2"/>
  <c r="K16" i="2"/>
  <c r="K20" i="2"/>
  <c r="K24" i="2"/>
  <c r="K28" i="2"/>
  <c r="K32" i="2"/>
  <c r="K36" i="2"/>
  <c r="K40" i="2"/>
  <c r="K44" i="2"/>
  <c r="K48" i="2"/>
  <c r="K52" i="2"/>
  <c r="K56" i="2"/>
  <c r="K60" i="2"/>
  <c r="K64" i="2"/>
  <c r="K68" i="2"/>
  <c r="K2" i="2"/>
  <c r="K10" i="2"/>
  <c r="K18" i="2"/>
  <c r="K26" i="2"/>
  <c r="K34" i="2"/>
  <c r="K42" i="2"/>
  <c r="K50" i="2"/>
  <c r="K58" i="2"/>
  <c r="K66" i="2"/>
  <c r="K6" i="2"/>
  <c r="K14" i="2"/>
  <c r="K22" i="2"/>
  <c r="K30" i="2"/>
  <c r="K38" i="2"/>
  <c r="K46" i="2"/>
  <c r="K54" i="2"/>
  <c r="K62" i="2"/>
  <c r="O2" i="2"/>
  <c r="O4" i="2"/>
  <c r="O6" i="2"/>
  <c r="O8" i="2"/>
  <c r="O10" i="2"/>
  <c r="O12" i="2"/>
  <c r="O14" i="2"/>
  <c r="O16" i="2"/>
  <c r="O18" i="2"/>
  <c r="O20" i="2"/>
  <c r="O22" i="2"/>
  <c r="O24" i="2"/>
  <c r="O26" i="2"/>
  <c r="O28" i="2"/>
  <c r="O30" i="2"/>
  <c r="O32" i="2"/>
  <c r="O34" i="2"/>
  <c r="O36" i="2"/>
  <c r="O38" i="2"/>
  <c r="O40" i="2"/>
  <c r="O42" i="2"/>
  <c r="O44" i="2"/>
  <c r="O46" i="2"/>
  <c r="O48" i="2"/>
  <c r="O50" i="2"/>
  <c r="O52" i="2"/>
  <c r="O54" i="2"/>
  <c r="O56" i="2"/>
  <c r="O58" i="2"/>
  <c r="O60" i="2"/>
  <c r="O62" i="2"/>
  <c r="O64" i="2"/>
  <c r="O66" i="2"/>
  <c r="O68" i="2"/>
  <c r="O3" i="2"/>
  <c r="O7" i="2"/>
  <c r="O11" i="2"/>
  <c r="O15" i="2"/>
  <c r="O19" i="2"/>
  <c r="O23" i="2"/>
  <c r="O27" i="2"/>
  <c r="O31" i="2"/>
  <c r="O35" i="2"/>
  <c r="O39" i="2"/>
  <c r="O43" i="2"/>
  <c r="O47" i="2"/>
  <c r="O51" i="2"/>
  <c r="O55" i="2"/>
  <c r="O59" i="2"/>
  <c r="O63" i="2"/>
  <c r="O67" i="2"/>
  <c r="O9" i="2"/>
  <c r="O17" i="2"/>
  <c r="O25" i="2"/>
  <c r="O33" i="2"/>
  <c r="O41" i="2"/>
  <c r="O49" i="2"/>
  <c r="O57" i="2"/>
  <c r="O65" i="2"/>
  <c r="O5" i="2"/>
  <c r="O21" i="2"/>
  <c r="O37" i="2"/>
  <c r="O53" i="2"/>
  <c r="O13" i="2"/>
  <c r="O29" i="2"/>
  <c r="O45" i="2"/>
  <c r="O61" i="2"/>
  <c r="L2" i="2"/>
  <c r="L4" i="2"/>
  <c r="L6" i="2"/>
  <c r="L8" i="2"/>
  <c r="L10" i="2"/>
  <c r="L12" i="2"/>
  <c r="L14" i="2"/>
  <c r="L16" i="2"/>
  <c r="L18" i="2"/>
  <c r="L20" i="2"/>
  <c r="L22" i="2"/>
  <c r="L24" i="2"/>
  <c r="L26" i="2"/>
  <c r="L28" i="2"/>
  <c r="L30" i="2"/>
  <c r="L32" i="2"/>
  <c r="L34" i="2"/>
  <c r="L36" i="2"/>
  <c r="L38" i="2"/>
  <c r="L40" i="2"/>
  <c r="L42" i="2"/>
  <c r="L44" i="2"/>
  <c r="L46" i="2"/>
  <c r="L48" i="2"/>
  <c r="L50" i="2"/>
  <c r="L52" i="2"/>
  <c r="L54" i="2"/>
  <c r="L56" i="2"/>
  <c r="L58" i="2"/>
  <c r="L60" i="2"/>
  <c r="L62" i="2"/>
  <c r="L64" i="2"/>
  <c r="L66" i="2"/>
  <c r="L68" i="2"/>
  <c r="L3" i="2"/>
  <c r="L7" i="2"/>
  <c r="L11" i="2"/>
  <c r="L15" i="2"/>
  <c r="L19" i="2"/>
  <c r="L23" i="2"/>
  <c r="L27" i="2"/>
  <c r="L31" i="2"/>
  <c r="L35" i="2"/>
  <c r="L39" i="2"/>
  <c r="L43" i="2"/>
  <c r="L47" i="2"/>
  <c r="L51" i="2"/>
  <c r="L55" i="2"/>
  <c r="L59" i="2"/>
  <c r="L63" i="2"/>
  <c r="L67" i="2"/>
  <c r="L5" i="2"/>
  <c r="L13" i="2"/>
  <c r="L21" i="2"/>
  <c r="L29" i="2"/>
  <c r="L37" i="2"/>
  <c r="L45" i="2"/>
  <c r="L53" i="2"/>
  <c r="L61" i="2"/>
  <c r="L9" i="2"/>
  <c r="L17" i="2"/>
  <c r="L25" i="2"/>
  <c r="L33" i="2"/>
  <c r="L41" i="2"/>
  <c r="L49" i="2"/>
  <c r="L57" i="2"/>
  <c r="L65" i="2"/>
  <c r="I3" i="2"/>
  <c r="I5" i="2"/>
  <c r="I7" i="2"/>
  <c r="I9" i="2"/>
  <c r="I11" i="2"/>
  <c r="I13" i="2"/>
  <c r="I15" i="2"/>
  <c r="I17" i="2"/>
  <c r="I19" i="2"/>
  <c r="I21" i="2"/>
  <c r="I23" i="2"/>
  <c r="I25" i="2"/>
  <c r="I27" i="2"/>
  <c r="I29" i="2"/>
  <c r="I31" i="2"/>
  <c r="I33" i="2"/>
  <c r="I35" i="2"/>
  <c r="I37" i="2"/>
  <c r="I39" i="2"/>
  <c r="I41" i="2"/>
  <c r="I43" i="2"/>
  <c r="I45" i="2"/>
  <c r="I47" i="2"/>
  <c r="I49" i="2"/>
  <c r="I51" i="2"/>
  <c r="I53" i="2"/>
  <c r="I55" i="2"/>
  <c r="I57" i="2"/>
  <c r="I59" i="2"/>
  <c r="I61" i="2"/>
  <c r="I63" i="2"/>
  <c r="I65" i="2"/>
  <c r="I67" i="2"/>
  <c r="I4" i="2"/>
  <c r="I8" i="2"/>
  <c r="I12" i="2"/>
  <c r="I16" i="2"/>
  <c r="I20" i="2"/>
  <c r="I24" i="2"/>
  <c r="I28" i="2"/>
  <c r="I32" i="2"/>
  <c r="I36" i="2"/>
  <c r="I40" i="2"/>
  <c r="I44" i="2"/>
  <c r="I48" i="2"/>
  <c r="I52" i="2"/>
  <c r="I56" i="2"/>
  <c r="I60" i="2"/>
  <c r="I64" i="2"/>
  <c r="I68" i="2"/>
  <c r="I2" i="2"/>
  <c r="I6" i="2"/>
  <c r="I10" i="2"/>
  <c r="I14" i="2"/>
  <c r="I18" i="2"/>
  <c r="I22" i="2"/>
  <c r="I26" i="2"/>
  <c r="I30" i="2"/>
  <c r="I34" i="2"/>
  <c r="I38" i="2"/>
  <c r="I42" i="2"/>
  <c r="I46" i="2"/>
  <c r="I50" i="2"/>
  <c r="I54" i="2"/>
  <c r="I58" i="2"/>
  <c r="I62" i="2"/>
  <c r="I66" i="2"/>
  <c r="N3" i="2"/>
  <c r="N5" i="2"/>
  <c r="N7" i="2"/>
  <c r="N9" i="2"/>
  <c r="N11" i="2"/>
  <c r="N13" i="2"/>
  <c r="N15" i="2"/>
  <c r="N17" i="2"/>
  <c r="N19" i="2"/>
  <c r="N21" i="2"/>
  <c r="N23" i="2"/>
  <c r="N25" i="2"/>
  <c r="N27" i="2"/>
  <c r="N29" i="2"/>
  <c r="N31" i="2"/>
  <c r="N33" i="2"/>
  <c r="N35" i="2"/>
  <c r="N4" i="2"/>
  <c r="N8" i="2"/>
  <c r="N12" i="2"/>
  <c r="N16" i="2"/>
  <c r="N20" i="2"/>
  <c r="N24" i="2"/>
  <c r="N28" i="2"/>
  <c r="N32" i="2"/>
  <c r="N36" i="2"/>
  <c r="N38" i="2"/>
  <c r="N40" i="2"/>
  <c r="N42" i="2"/>
  <c r="N44" i="2"/>
  <c r="N46" i="2"/>
  <c r="N48" i="2"/>
  <c r="N50" i="2"/>
  <c r="N52" i="2"/>
  <c r="N54" i="2"/>
  <c r="N56" i="2"/>
  <c r="N58" i="2"/>
  <c r="N60" i="2"/>
  <c r="N62" i="2"/>
  <c r="N64" i="2"/>
  <c r="N66" i="2"/>
  <c r="N68" i="2"/>
  <c r="N6" i="2"/>
  <c r="N14" i="2"/>
  <c r="N22" i="2"/>
  <c r="N30" i="2"/>
  <c r="N37" i="2"/>
  <c r="N41" i="2"/>
  <c r="N45" i="2"/>
  <c r="N49" i="2"/>
  <c r="N53" i="2"/>
  <c r="N57" i="2"/>
  <c r="N61" i="2"/>
  <c r="N65" i="2"/>
  <c r="N2" i="2"/>
  <c r="N18" i="2"/>
  <c r="N34" i="2"/>
  <c r="N43" i="2"/>
  <c r="N51" i="2"/>
  <c r="N59" i="2"/>
  <c r="N67" i="2"/>
  <c r="N10" i="2"/>
  <c r="N26" i="2"/>
  <c r="N39" i="2"/>
  <c r="N47" i="2"/>
  <c r="N55" i="2"/>
  <c r="N63" i="2"/>
  <c r="H2" i="2"/>
  <c r="H4" i="2"/>
  <c r="H6" i="2"/>
  <c r="H8" i="2"/>
  <c r="H10" i="2"/>
  <c r="H12" i="2"/>
  <c r="H14" i="2"/>
  <c r="H16" i="2"/>
  <c r="H18" i="2"/>
  <c r="H20" i="2"/>
  <c r="H22" i="2"/>
  <c r="H24" i="2"/>
  <c r="H26" i="2"/>
  <c r="H28" i="2"/>
  <c r="H30" i="2"/>
  <c r="H32" i="2"/>
  <c r="H34" i="2"/>
  <c r="H36" i="2"/>
  <c r="H38" i="2"/>
  <c r="H40" i="2"/>
  <c r="H42" i="2"/>
  <c r="H44" i="2"/>
  <c r="H46" i="2"/>
  <c r="H48" i="2"/>
  <c r="H50" i="2"/>
  <c r="H52" i="2"/>
  <c r="H54" i="2"/>
  <c r="H56" i="2"/>
  <c r="H58" i="2"/>
  <c r="H60" i="2"/>
  <c r="H62" i="2"/>
  <c r="H64" i="2"/>
  <c r="H66" i="2"/>
  <c r="H68" i="2"/>
  <c r="J2" i="2"/>
  <c r="J4" i="2"/>
  <c r="J6" i="2"/>
  <c r="J8" i="2"/>
  <c r="J10" i="2"/>
  <c r="J12" i="2"/>
  <c r="J14" i="2"/>
  <c r="J16" i="2"/>
  <c r="J18" i="2"/>
  <c r="J20" i="2"/>
  <c r="J22" i="2"/>
  <c r="J5" i="2"/>
  <c r="J9" i="2"/>
  <c r="J13" i="2"/>
  <c r="J17" i="2"/>
  <c r="J21" i="2"/>
  <c r="J24" i="2"/>
  <c r="J26" i="2"/>
  <c r="J28" i="2"/>
  <c r="J30" i="2"/>
  <c r="J32" i="2"/>
  <c r="J34" i="2"/>
  <c r="J36" i="2"/>
  <c r="J38" i="2"/>
  <c r="J40" i="2"/>
  <c r="J42" i="2"/>
  <c r="J44" i="2"/>
  <c r="J46" i="2"/>
  <c r="J48" i="2"/>
  <c r="J50" i="2"/>
  <c r="J52" i="2"/>
  <c r="J54" i="2"/>
  <c r="J56" i="2"/>
  <c r="J58" i="2"/>
  <c r="J60" i="2"/>
  <c r="J62" i="2"/>
  <c r="J64" i="2"/>
  <c r="J66" i="2"/>
  <c r="J68" i="2"/>
  <c r="H67" i="2"/>
  <c r="H63" i="2"/>
  <c r="H59" i="2"/>
  <c r="H55" i="2"/>
  <c r="H51" i="2"/>
  <c r="H47" i="2"/>
  <c r="H43" i="2"/>
  <c r="H39" i="2"/>
  <c r="H35" i="2"/>
  <c r="H31" i="2"/>
  <c r="H27" i="2"/>
  <c r="H23" i="2"/>
  <c r="H19" i="2"/>
  <c r="H15" i="2"/>
  <c r="H11" i="2"/>
  <c r="H7" i="2"/>
  <c r="H3" i="2"/>
  <c r="J65" i="2"/>
  <c r="J61" i="2"/>
  <c r="J57" i="2"/>
  <c r="J53" i="2"/>
  <c r="J49" i="2"/>
  <c r="J45" i="2"/>
  <c r="J41" i="2"/>
  <c r="J37" i="2"/>
  <c r="J33" i="2"/>
  <c r="J29" i="2"/>
  <c r="J25" i="2"/>
  <c r="J19" i="2"/>
  <c r="J11" i="2"/>
  <c r="J3" i="2"/>
  <c r="H65" i="2"/>
  <c r="H61" i="2"/>
  <c r="H57" i="2"/>
  <c r="H53" i="2"/>
  <c r="H49" i="2"/>
  <c r="H45" i="2"/>
  <c r="H41" i="2"/>
  <c r="H37" i="2"/>
  <c r="H33" i="2"/>
  <c r="H29" i="2"/>
  <c r="H25" i="2"/>
  <c r="H21" i="2"/>
  <c r="H17" i="2"/>
  <c r="H13" i="2"/>
  <c r="H9" i="2"/>
  <c r="H5" i="2"/>
  <c r="J67" i="2"/>
  <c r="J63" i="2"/>
  <c r="J59" i="2"/>
  <c r="J55" i="2"/>
  <c r="J51" i="2"/>
  <c r="J47" i="2"/>
  <c r="J43" i="2"/>
  <c r="J39" i="2"/>
  <c r="J35" i="2"/>
  <c r="J31" i="2"/>
  <c r="J27" i="2"/>
  <c r="J23" i="2"/>
  <c r="J15" i="2"/>
  <c r="J7" i="2"/>
  <c r="Q2" i="3"/>
  <c r="Q4" i="3"/>
  <c r="Q6" i="3"/>
  <c r="Q8" i="3"/>
  <c r="Q10" i="3"/>
  <c r="Q12" i="3"/>
  <c r="Q14" i="3"/>
  <c r="Q16" i="3"/>
  <c r="Q18" i="3"/>
  <c r="Q20" i="3"/>
  <c r="Q22" i="3"/>
  <c r="Q24" i="3"/>
  <c r="Q26" i="3"/>
  <c r="Q28" i="3"/>
  <c r="Q30" i="3"/>
  <c r="Q32" i="3"/>
  <c r="Q34" i="3"/>
  <c r="Q36" i="3"/>
  <c r="Q38" i="3"/>
  <c r="Q40" i="3"/>
  <c r="Q42" i="3"/>
  <c r="Q44" i="3"/>
  <c r="Q46" i="3"/>
  <c r="Q48" i="3"/>
  <c r="Q50" i="3"/>
  <c r="Q52" i="3"/>
  <c r="Q54" i="3"/>
  <c r="Q56" i="3"/>
  <c r="Q58" i="3"/>
  <c r="Q60" i="3"/>
  <c r="Q62" i="3"/>
  <c r="Q64" i="3"/>
  <c r="Q66" i="3"/>
  <c r="Q68" i="3"/>
  <c r="Q3" i="3"/>
  <c r="Q7" i="3"/>
  <c r="Q11" i="3"/>
  <c r="Q15" i="3"/>
  <c r="Q19" i="3"/>
  <c r="Q23" i="3"/>
  <c r="Q27" i="3"/>
  <c r="Q31" i="3"/>
  <c r="Q35" i="3"/>
  <c r="Q39" i="3"/>
  <c r="Q43" i="3"/>
  <c r="Q47" i="3"/>
  <c r="Q51" i="3"/>
  <c r="Q55" i="3"/>
  <c r="Q59" i="3"/>
  <c r="Q63" i="3"/>
  <c r="Q67" i="3"/>
  <c r="Q9" i="3"/>
  <c r="Q17" i="3"/>
  <c r="Q25" i="3"/>
  <c r="Q33" i="3"/>
  <c r="Q41" i="3"/>
  <c r="Q49" i="3"/>
  <c r="Q57" i="3"/>
  <c r="Q65" i="3"/>
  <c r="Q5" i="3"/>
  <c r="Q21" i="3"/>
  <c r="Q37" i="3"/>
  <c r="Q53" i="3"/>
  <c r="Q13" i="3"/>
  <c r="Q29" i="3"/>
  <c r="Q45" i="3"/>
  <c r="Q61" i="3"/>
  <c r="O3" i="3"/>
  <c r="O5" i="3"/>
  <c r="O7" i="3"/>
  <c r="O9" i="3"/>
  <c r="O11" i="3"/>
  <c r="O13" i="3"/>
  <c r="O15" i="3"/>
  <c r="O17" i="3"/>
  <c r="O19" i="3"/>
  <c r="O21" i="3"/>
  <c r="O23" i="3"/>
  <c r="O25" i="3"/>
  <c r="O27" i="3"/>
  <c r="O29" i="3"/>
  <c r="O31" i="3"/>
  <c r="O33" i="3"/>
  <c r="O35" i="3"/>
  <c r="O37" i="3"/>
  <c r="O39" i="3"/>
  <c r="O41" i="3"/>
  <c r="O43" i="3"/>
  <c r="O45" i="3"/>
  <c r="O47" i="3"/>
  <c r="O49" i="3"/>
  <c r="O51" i="3"/>
  <c r="O53" i="3"/>
  <c r="O55" i="3"/>
  <c r="O57" i="3"/>
  <c r="O59" i="3"/>
  <c r="O61" i="3"/>
  <c r="O63" i="3"/>
  <c r="O65" i="3"/>
  <c r="O67" i="3"/>
  <c r="O2" i="3"/>
  <c r="O6" i="3"/>
  <c r="O10" i="3"/>
  <c r="O14" i="3"/>
  <c r="O18" i="3"/>
  <c r="O22" i="3"/>
  <c r="O26" i="3"/>
  <c r="O30" i="3"/>
  <c r="O34" i="3"/>
  <c r="O38" i="3"/>
  <c r="O42" i="3"/>
  <c r="O46" i="3"/>
  <c r="O50" i="3"/>
  <c r="O54" i="3"/>
  <c r="O58" i="3"/>
  <c r="O62" i="3"/>
  <c r="O66" i="3"/>
  <c r="O8" i="3"/>
  <c r="O16" i="3"/>
  <c r="O24" i="3"/>
  <c r="O32" i="3"/>
  <c r="O40" i="3"/>
  <c r="O48" i="3"/>
  <c r="O56" i="3"/>
  <c r="O64" i="3"/>
  <c r="O4" i="3"/>
  <c r="O12" i="3"/>
  <c r="O20" i="3"/>
  <c r="O28" i="3"/>
  <c r="O36" i="3"/>
  <c r="O44" i="3"/>
  <c r="O52" i="3"/>
  <c r="O60" i="3"/>
  <c r="O68" i="3"/>
  <c r="M3" i="3"/>
  <c r="M5" i="3"/>
  <c r="M7" i="3"/>
  <c r="M9" i="3"/>
  <c r="M11" i="3"/>
  <c r="M13" i="3"/>
  <c r="M15" i="3"/>
  <c r="M17" i="3"/>
  <c r="M19" i="3"/>
  <c r="M21" i="3"/>
  <c r="M23" i="3"/>
  <c r="M25" i="3"/>
  <c r="M27" i="3"/>
  <c r="M29" i="3"/>
  <c r="M31" i="3"/>
  <c r="M33" i="3"/>
  <c r="M35" i="3"/>
  <c r="M37" i="3"/>
  <c r="M39" i="3"/>
  <c r="M41" i="3"/>
  <c r="M43" i="3"/>
  <c r="M45" i="3"/>
  <c r="M47" i="3"/>
  <c r="M49" i="3"/>
  <c r="M51" i="3"/>
  <c r="M53" i="3"/>
  <c r="M55" i="3"/>
  <c r="M57" i="3"/>
  <c r="M59" i="3"/>
  <c r="M61" i="3"/>
  <c r="M63" i="3"/>
  <c r="M65" i="3"/>
  <c r="M67" i="3"/>
  <c r="M4" i="3"/>
  <c r="M8" i="3"/>
  <c r="M12" i="3"/>
  <c r="M16" i="3"/>
  <c r="M20" i="3"/>
  <c r="M24" i="3"/>
  <c r="M28" i="3"/>
  <c r="M32" i="3"/>
  <c r="M36" i="3"/>
  <c r="M40" i="3"/>
  <c r="M44" i="3"/>
  <c r="M48" i="3"/>
  <c r="M52" i="3"/>
  <c r="M56" i="3"/>
  <c r="M60" i="3"/>
  <c r="M64" i="3"/>
  <c r="M68" i="3"/>
  <c r="M2" i="3"/>
  <c r="M10" i="3"/>
  <c r="M18" i="3"/>
  <c r="M26" i="3"/>
  <c r="M34" i="3"/>
  <c r="M42" i="3"/>
  <c r="M50" i="3"/>
  <c r="M58" i="3"/>
  <c r="M66" i="3"/>
  <c r="M6" i="3"/>
  <c r="M14" i="3"/>
  <c r="M22" i="3"/>
  <c r="M30" i="3"/>
  <c r="M38" i="3"/>
  <c r="M46" i="3"/>
  <c r="M54" i="3"/>
  <c r="M62" i="3"/>
  <c r="K3" i="3"/>
  <c r="K5" i="3"/>
  <c r="K7" i="3"/>
  <c r="K9" i="3"/>
  <c r="K11" i="3"/>
  <c r="K13" i="3"/>
  <c r="K15" i="3"/>
  <c r="K17" i="3"/>
  <c r="K19" i="3"/>
  <c r="K21" i="3"/>
  <c r="K23" i="3"/>
  <c r="K25" i="3"/>
  <c r="K27" i="3"/>
  <c r="K29" i="3"/>
  <c r="K31" i="3"/>
  <c r="K33" i="3"/>
  <c r="K35" i="3"/>
  <c r="K37" i="3"/>
  <c r="K39" i="3"/>
  <c r="K41" i="3"/>
  <c r="K43" i="3"/>
  <c r="K45" i="3"/>
  <c r="K47" i="3"/>
  <c r="K49" i="3"/>
  <c r="K51" i="3"/>
  <c r="K53" i="3"/>
  <c r="K55" i="3"/>
  <c r="K57" i="3"/>
  <c r="K59" i="3"/>
  <c r="K61" i="3"/>
  <c r="K63" i="3"/>
  <c r="K65" i="3"/>
  <c r="K67" i="3"/>
  <c r="K4" i="3"/>
  <c r="K8" i="3"/>
  <c r="K12" i="3"/>
  <c r="K16" i="3"/>
  <c r="K20" i="3"/>
  <c r="K24" i="3"/>
  <c r="K28" i="3"/>
  <c r="K32" i="3"/>
  <c r="K36" i="3"/>
  <c r="K40" i="3"/>
  <c r="K44" i="3"/>
  <c r="K48" i="3"/>
  <c r="K52" i="3"/>
  <c r="K56" i="3"/>
  <c r="K60" i="3"/>
  <c r="K64" i="3"/>
  <c r="K68" i="3"/>
  <c r="K2" i="3"/>
  <c r="K6" i="3"/>
  <c r="K10" i="3"/>
  <c r="K14" i="3"/>
  <c r="K18" i="3"/>
  <c r="K22" i="3"/>
  <c r="K26" i="3"/>
  <c r="K30" i="3"/>
  <c r="K34" i="3"/>
  <c r="K38" i="3"/>
  <c r="K42" i="3"/>
  <c r="K46" i="3"/>
  <c r="K50" i="3"/>
  <c r="K54" i="3"/>
  <c r="K58" i="3"/>
  <c r="K62" i="3"/>
  <c r="K66" i="3"/>
  <c r="I3" i="3"/>
  <c r="I5" i="3"/>
  <c r="I7" i="3"/>
  <c r="I9" i="3"/>
  <c r="I11" i="3"/>
  <c r="I13" i="3"/>
  <c r="I15" i="3"/>
  <c r="I17" i="3"/>
  <c r="I19" i="3"/>
  <c r="I21" i="3"/>
  <c r="I23" i="3"/>
  <c r="I25" i="3"/>
  <c r="I27" i="3"/>
  <c r="I29" i="3"/>
  <c r="I31" i="3"/>
  <c r="I33" i="3"/>
  <c r="I35" i="3"/>
  <c r="I37" i="3"/>
  <c r="I39" i="3"/>
  <c r="I41" i="3"/>
  <c r="I43" i="3"/>
  <c r="I45" i="3"/>
  <c r="I47" i="3"/>
  <c r="I49" i="3"/>
  <c r="I51" i="3"/>
  <c r="I53" i="3"/>
  <c r="I55" i="3"/>
  <c r="I57" i="3"/>
  <c r="I59" i="3"/>
  <c r="I61" i="3"/>
  <c r="I63" i="3"/>
  <c r="I65" i="3"/>
  <c r="I67" i="3"/>
  <c r="I2" i="3"/>
  <c r="I6" i="3"/>
  <c r="I10" i="3"/>
  <c r="I14" i="3"/>
  <c r="I18" i="3"/>
  <c r="I22" i="3"/>
  <c r="I26" i="3"/>
  <c r="I30" i="3"/>
  <c r="I34" i="3"/>
  <c r="I38" i="3"/>
  <c r="I42" i="3"/>
  <c r="I46" i="3"/>
  <c r="I50" i="3"/>
  <c r="I54" i="3"/>
  <c r="I58" i="3"/>
  <c r="I62" i="3"/>
  <c r="I66" i="3"/>
  <c r="I4" i="3"/>
  <c r="I8" i="3"/>
  <c r="I12" i="3"/>
  <c r="I16" i="3"/>
  <c r="I20" i="3"/>
  <c r="I24" i="3"/>
  <c r="I28" i="3"/>
  <c r="I32" i="3"/>
  <c r="I36" i="3"/>
  <c r="I40" i="3"/>
  <c r="I44" i="3"/>
  <c r="I48" i="3"/>
  <c r="I52" i="3"/>
  <c r="I56" i="3"/>
  <c r="I60" i="3"/>
  <c r="I64" i="3"/>
  <c r="I68" i="3"/>
  <c r="P3" i="3"/>
  <c r="P5" i="3"/>
  <c r="P7" i="3"/>
  <c r="P9" i="3"/>
  <c r="P11" i="3"/>
  <c r="P13" i="3"/>
  <c r="P15" i="3"/>
  <c r="P17" i="3"/>
  <c r="P19" i="3"/>
  <c r="P21" i="3"/>
  <c r="P23" i="3"/>
  <c r="P25" i="3"/>
  <c r="P27" i="3"/>
  <c r="P29" i="3"/>
  <c r="P31" i="3"/>
  <c r="P33" i="3"/>
  <c r="P35" i="3"/>
  <c r="P4" i="3"/>
  <c r="P8" i="3"/>
  <c r="P12" i="3"/>
  <c r="P16" i="3"/>
  <c r="P20" i="3"/>
  <c r="P24" i="3"/>
  <c r="P28" i="3"/>
  <c r="P32" i="3"/>
  <c r="P36" i="3"/>
  <c r="P38" i="3"/>
  <c r="P40" i="3"/>
  <c r="P42" i="3"/>
  <c r="P44" i="3"/>
  <c r="P46" i="3"/>
  <c r="P48" i="3"/>
  <c r="P50" i="3"/>
  <c r="P52" i="3"/>
  <c r="P54" i="3"/>
  <c r="P56" i="3"/>
  <c r="P58" i="3"/>
  <c r="P60" i="3"/>
  <c r="P62" i="3"/>
  <c r="P64" i="3"/>
  <c r="P66" i="3"/>
  <c r="P68" i="3"/>
  <c r="P6" i="3"/>
  <c r="P14" i="3"/>
  <c r="P22" i="3"/>
  <c r="P30" i="3"/>
  <c r="P37" i="3"/>
  <c r="P41" i="3"/>
  <c r="P45" i="3"/>
  <c r="P49" i="3"/>
  <c r="P53" i="3"/>
  <c r="P57" i="3"/>
  <c r="P61" i="3"/>
  <c r="P65" i="3"/>
  <c r="P2" i="3"/>
  <c r="P18" i="3"/>
  <c r="P34" i="3"/>
  <c r="P43" i="3"/>
  <c r="P51" i="3"/>
  <c r="P59" i="3"/>
  <c r="P67" i="3"/>
  <c r="P10" i="3"/>
  <c r="P26" i="3"/>
  <c r="P39" i="3"/>
  <c r="P47" i="3"/>
  <c r="P55" i="3"/>
  <c r="P63" i="3"/>
  <c r="N2" i="3"/>
  <c r="N4" i="3"/>
  <c r="N6" i="3"/>
  <c r="N8" i="3"/>
  <c r="N10" i="3"/>
  <c r="N12" i="3"/>
  <c r="N14" i="3"/>
  <c r="N16" i="3"/>
  <c r="N18" i="3"/>
  <c r="N20" i="3"/>
  <c r="N22" i="3"/>
  <c r="N24" i="3"/>
  <c r="N26" i="3"/>
  <c r="N28" i="3"/>
  <c r="N30" i="3"/>
  <c r="N32" i="3"/>
  <c r="N34" i="3"/>
  <c r="N36" i="3"/>
  <c r="N38" i="3"/>
  <c r="N40" i="3"/>
  <c r="N42" i="3"/>
  <c r="N44" i="3"/>
  <c r="N46" i="3"/>
  <c r="N48" i="3"/>
  <c r="N50" i="3"/>
  <c r="N52" i="3"/>
  <c r="N54" i="3"/>
  <c r="N56" i="3"/>
  <c r="N58" i="3"/>
  <c r="N60" i="3"/>
  <c r="N62" i="3"/>
  <c r="N64" i="3"/>
  <c r="N66" i="3"/>
  <c r="N68" i="3"/>
  <c r="N3" i="3"/>
  <c r="N7" i="3"/>
  <c r="N11" i="3"/>
  <c r="N15" i="3"/>
  <c r="N19" i="3"/>
  <c r="N23" i="3"/>
  <c r="N27" i="3"/>
  <c r="N31" i="3"/>
  <c r="N35" i="3"/>
  <c r="N39" i="3"/>
  <c r="N43" i="3"/>
  <c r="N47" i="3"/>
  <c r="N51" i="3"/>
  <c r="N55" i="3"/>
  <c r="N59" i="3"/>
  <c r="N63" i="3"/>
  <c r="N67" i="3"/>
  <c r="N5" i="3"/>
  <c r="N13" i="3"/>
  <c r="N21" i="3"/>
  <c r="N29" i="3"/>
  <c r="N37" i="3"/>
  <c r="N45" i="3"/>
  <c r="N53" i="3"/>
  <c r="N61" i="3"/>
  <c r="N9" i="3"/>
  <c r="N17" i="3"/>
  <c r="N25" i="3"/>
  <c r="N33" i="3"/>
  <c r="N41" i="3"/>
  <c r="N49" i="3"/>
  <c r="N57" i="3"/>
  <c r="N65" i="3"/>
  <c r="L2" i="3"/>
  <c r="L4" i="3"/>
  <c r="L6" i="3"/>
  <c r="L8" i="3"/>
  <c r="L10" i="3"/>
  <c r="L12" i="3"/>
  <c r="L14" i="3"/>
  <c r="L16" i="3"/>
  <c r="L18" i="3"/>
  <c r="L20" i="3"/>
  <c r="L22" i="3"/>
  <c r="L5" i="3"/>
  <c r="L9" i="3"/>
  <c r="L13" i="3"/>
  <c r="L17" i="3"/>
  <c r="L21" i="3"/>
  <c r="L24" i="3"/>
  <c r="L26" i="3"/>
  <c r="L28" i="3"/>
  <c r="L30" i="3"/>
  <c r="L32" i="3"/>
  <c r="L34" i="3"/>
  <c r="L36" i="3"/>
  <c r="L38" i="3"/>
  <c r="L40" i="3"/>
  <c r="L42" i="3"/>
  <c r="L44" i="3"/>
  <c r="L46" i="3"/>
  <c r="L48" i="3"/>
  <c r="L50" i="3"/>
  <c r="L52" i="3"/>
  <c r="L54" i="3"/>
  <c r="L56" i="3"/>
  <c r="L58" i="3"/>
  <c r="L60" i="3"/>
  <c r="L62" i="3"/>
  <c r="L64" i="3"/>
  <c r="L66" i="3"/>
  <c r="L68" i="3"/>
  <c r="L7" i="3"/>
  <c r="L15" i="3"/>
  <c r="L23" i="3"/>
  <c r="L27" i="3"/>
  <c r="L31" i="3"/>
  <c r="L35" i="3"/>
  <c r="L39" i="3"/>
  <c r="L43" i="3"/>
  <c r="L47" i="3"/>
  <c r="L51" i="3"/>
  <c r="L55" i="3"/>
  <c r="L59" i="3"/>
  <c r="L63" i="3"/>
  <c r="L67" i="3"/>
  <c r="L3" i="3"/>
  <c r="L11" i="3"/>
  <c r="L19" i="3"/>
  <c r="L25" i="3"/>
  <c r="L29" i="3"/>
  <c r="L33" i="3"/>
  <c r="L37" i="3"/>
  <c r="L41" i="3"/>
  <c r="L45" i="3"/>
  <c r="L49" i="3"/>
  <c r="L53" i="3"/>
  <c r="L57" i="3"/>
  <c r="L61" i="3"/>
  <c r="L65" i="3"/>
  <c r="J2" i="3"/>
  <c r="J4" i="3"/>
  <c r="J6" i="3"/>
  <c r="J8" i="3"/>
  <c r="J10" i="3"/>
  <c r="J12" i="3"/>
  <c r="J14" i="3"/>
  <c r="J16" i="3"/>
  <c r="J18" i="3"/>
  <c r="J20" i="3"/>
  <c r="J22" i="3"/>
  <c r="J24" i="3"/>
  <c r="J26" i="3"/>
  <c r="J28" i="3"/>
  <c r="J30" i="3"/>
  <c r="J32" i="3"/>
  <c r="J34" i="3"/>
  <c r="J36" i="3"/>
  <c r="J38" i="3"/>
  <c r="J40" i="3"/>
  <c r="J42" i="3"/>
  <c r="J44" i="3"/>
  <c r="J46" i="3"/>
  <c r="J48" i="3"/>
  <c r="J50" i="3"/>
  <c r="J52" i="3"/>
  <c r="J54" i="3"/>
  <c r="J56" i="3"/>
  <c r="J58" i="3"/>
  <c r="J60" i="3"/>
  <c r="J62" i="3"/>
  <c r="J64" i="3"/>
  <c r="J66" i="3"/>
  <c r="J68" i="3"/>
  <c r="J5" i="3"/>
  <c r="J9" i="3"/>
  <c r="J13" i="3"/>
  <c r="J17" i="3"/>
  <c r="J21" i="3"/>
  <c r="J25" i="3"/>
  <c r="J29" i="3"/>
  <c r="J33" i="3"/>
  <c r="J37" i="3"/>
  <c r="J41" i="3"/>
  <c r="J45" i="3"/>
  <c r="J49" i="3"/>
  <c r="J53" i="3"/>
  <c r="J57" i="3"/>
  <c r="J61" i="3"/>
  <c r="J65" i="3"/>
  <c r="J3" i="3"/>
  <c r="J7" i="3"/>
  <c r="J11" i="3"/>
  <c r="J15" i="3"/>
  <c r="J19" i="3"/>
  <c r="J23" i="3"/>
  <c r="J27" i="3"/>
  <c r="J31" i="3"/>
  <c r="J35" i="3"/>
  <c r="J39" i="3"/>
  <c r="J43" i="3"/>
  <c r="J47" i="3"/>
  <c r="J51" i="3"/>
  <c r="J55" i="3"/>
  <c r="J59" i="3"/>
  <c r="J63" i="3"/>
  <c r="J67" i="3"/>
  <c r="H2" i="3"/>
  <c r="H4" i="3"/>
  <c r="H6" i="3"/>
  <c r="H8" i="3"/>
  <c r="H10" i="3"/>
  <c r="H12" i="3"/>
  <c r="H14" i="3"/>
  <c r="H16" i="3"/>
  <c r="H18" i="3"/>
  <c r="H20" i="3"/>
  <c r="H22" i="3"/>
  <c r="H24" i="3"/>
  <c r="H26" i="3"/>
  <c r="H28" i="3"/>
  <c r="H30" i="3"/>
  <c r="H32" i="3"/>
  <c r="H34" i="3"/>
  <c r="H36" i="3"/>
  <c r="H38" i="3"/>
  <c r="H40" i="3"/>
  <c r="H42" i="3"/>
  <c r="H44" i="3"/>
  <c r="H46" i="3"/>
  <c r="H48" i="3"/>
  <c r="H50" i="3"/>
  <c r="H52" i="3"/>
  <c r="H54" i="3"/>
  <c r="H56" i="3"/>
  <c r="H58" i="3"/>
  <c r="H60" i="3"/>
  <c r="H62" i="3"/>
  <c r="H64" i="3"/>
  <c r="H66" i="3"/>
  <c r="H68" i="3"/>
  <c r="H3" i="3"/>
  <c r="H7" i="3"/>
  <c r="H11" i="3"/>
  <c r="H15" i="3"/>
  <c r="H19" i="3"/>
  <c r="H23" i="3"/>
  <c r="H27" i="3"/>
  <c r="H31" i="3"/>
  <c r="H35" i="3"/>
  <c r="H39" i="3"/>
  <c r="H43" i="3"/>
  <c r="H47" i="3"/>
  <c r="H51" i="3"/>
  <c r="H55" i="3"/>
  <c r="H59" i="3"/>
  <c r="H63" i="3"/>
  <c r="H67" i="3"/>
  <c r="H5" i="3"/>
  <c r="H9" i="3"/>
  <c r="H13" i="3"/>
  <c r="H17" i="3"/>
  <c r="H21" i="3"/>
  <c r="H25" i="3"/>
  <c r="H29" i="3"/>
  <c r="H33" i="3"/>
  <c r="H37" i="3"/>
  <c r="H41" i="3"/>
  <c r="H45" i="3"/>
  <c r="H49" i="3"/>
  <c r="H53" i="3"/>
  <c r="H57" i="3"/>
  <c r="H61" i="3"/>
  <c r="H65" i="3"/>
  <c r="T16" i="1" l="1"/>
  <c r="Y16" i="1" s="1"/>
  <c r="T15" i="1"/>
  <c r="Y15" i="1" s="1"/>
  <c r="T14" i="1"/>
  <c r="Y14" i="1" s="1"/>
  <c r="T13" i="1"/>
  <c r="Y13" i="1" s="1"/>
  <c r="T12" i="1"/>
  <c r="Y12" i="1" s="1"/>
  <c r="T11" i="1"/>
  <c r="Y11" i="1" s="1"/>
  <c r="T10" i="1"/>
  <c r="Y10" i="1" s="1"/>
  <c r="T9" i="1"/>
  <c r="Y9" i="1" s="1"/>
  <c r="T8" i="1"/>
  <c r="Y8" i="1" s="1"/>
  <c r="T7" i="1"/>
  <c r="Y7" i="1" s="1"/>
  <c r="U17" i="1"/>
  <c r="W17" i="1" s="1"/>
  <c r="V17" i="1" s="1"/>
  <c r="S7" i="1" l="1"/>
  <c r="C7" i="7" s="1"/>
  <c r="S8" i="1"/>
  <c r="C8" i="7" s="1"/>
  <c r="S9" i="1"/>
  <c r="C9" i="7" s="1"/>
  <c r="S10" i="1"/>
  <c r="C10" i="7" s="1"/>
  <c r="S11" i="1"/>
  <c r="C11" i="7" s="1"/>
  <c r="S12" i="1"/>
  <c r="C12" i="7" s="1"/>
  <c r="S13" i="1"/>
  <c r="C13" i="7" s="1"/>
  <c r="S14" i="1"/>
  <c r="C14" i="7" s="1"/>
  <c r="S15" i="1"/>
  <c r="C15" i="7" s="1"/>
  <c r="S16" i="1"/>
  <c r="C16" i="7" s="1"/>
  <c r="R7" i="1"/>
  <c r="C7" i="10" s="1"/>
  <c r="R8" i="1"/>
  <c r="C8" i="10" s="1"/>
  <c r="R9" i="1"/>
  <c r="C9" i="10" s="1"/>
  <c r="R10" i="1"/>
  <c r="C10" i="10" s="1"/>
  <c r="R11" i="1"/>
  <c r="C11" i="10" s="1"/>
  <c r="R12" i="1"/>
  <c r="C12" i="10" s="1"/>
  <c r="R13" i="1"/>
  <c r="C13" i="10" s="1"/>
  <c r="R14" i="1"/>
  <c r="C14" i="10" s="1"/>
  <c r="R15" i="1"/>
  <c r="R16" i="1"/>
  <c r="G17" i="1" l="1"/>
  <c r="F17" i="1"/>
  <c r="E17" i="1"/>
  <c r="D17" i="1"/>
  <c r="J17" i="1" l="1"/>
  <c r="J4" i="1" s="1"/>
  <c r="L17" i="1"/>
  <c r="L4" i="1" s="1"/>
  <c r="M17" i="1"/>
  <c r="K17" i="1"/>
  <c r="D17" i="7" s="1"/>
  <c r="J2" i="1" l="1"/>
  <c r="J5" i="1"/>
  <c r="J3" i="1"/>
  <c r="H3" i="10" s="1"/>
  <c r="D84" i="9" s="1"/>
  <c r="J6" i="1"/>
  <c r="E6" i="6" s="1"/>
  <c r="E17" i="6"/>
  <c r="L2" i="1"/>
  <c r="L5" i="1"/>
  <c r="E5" i="7" s="1"/>
  <c r="L6" i="1"/>
  <c r="E6" i="7" s="1"/>
  <c r="L3" i="1"/>
  <c r="E3" i="7" s="1"/>
  <c r="G17" i="6"/>
  <c r="E17" i="7"/>
  <c r="F17" i="7" s="1"/>
  <c r="E2" i="7"/>
  <c r="G2" i="6"/>
  <c r="E4" i="7"/>
  <c r="G4" i="6"/>
  <c r="G6" i="10"/>
  <c r="M3" i="1"/>
  <c r="M2" i="1"/>
  <c r="F17" i="6"/>
  <c r="M6" i="1"/>
  <c r="G5" i="6"/>
  <c r="G2" i="10"/>
  <c r="E2" i="6"/>
  <c r="H2" i="10"/>
  <c r="H4" i="10"/>
  <c r="E84" i="9" s="1"/>
  <c r="G4" i="10"/>
  <c r="E4" i="6"/>
  <c r="M4" i="1"/>
  <c r="G3" i="6"/>
  <c r="H5" i="10"/>
  <c r="F84" i="9" s="1"/>
  <c r="G5" i="10"/>
  <c r="E5" i="6"/>
  <c r="H17" i="6"/>
  <c r="M5" i="1"/>
  <c r="H17" i="7"/>
  <c r="I17" i="7" s="1"/>
  <c r="K3" i="1"/>
  <c r="K5" i="1"/>
  <c r="K2" i="1"/>
  <c r="K4" i="1"/>
  <c r="K6" i="1"/>
  <c r="S17" i="1"/>
  <c r="H3" i="1"/>
  <c r="D21" i="1"/>
  <c r="H5" i="1"/>
  <c r="H6" i="1"/>
  <c r="H7" i="1"/>
  <c r="N7" i="1" s="1"/>
  <c r="C7" i="6" s="1"/>
  <c r="H8" i="1"/>
  <c r="H9" i="1"/>
  <c r="N9" i="1" s="1"/>
  <c r="C9" i="6" s="1"/>
  <c r="H10" i="1"/>
  <c r="N10" i="1" s="1"/>
  <c r="C10" i="6" s="1"/>
  <c r="H11" i="1"/>
  <c r="N11" i="1" s="1"/>
  <c r="C11" i="6" s="1"/>
  <c r="H12" i="1"/>
  <c r="N12" i="1" s="1"/>
  <c r="C12" i="6" s="1"/>
  <c r="H13" i="1"/>
  <c r="H14" i="1"/>
  <c r="N14" i="1" s="1"/>
  <c r="C14" i="6" s="1"/>
  <c r="H15" i="1"/>
  <c r="N15" i="1" s="1"/>
  <c r="C15" i="6" s="1"/>
  <c r="H16" i="1"/>
  <c r="N16" i="1" s="1"/>
  <c r="C16" i="6" s="1"/>
  <c r="H6" i="10" l="1"/>
  <c r="G84" i="9" s="1"/>
  <c r="E3" i="6"/>
  <c r="G3" i="10"/>
  <c r="D87" i="9" s="1"/>
  <c r="G6" i="6"/>
  <c r="K17" i="6"/>
  <c r="S2" i="1"/>
  <c r="C2" i="7" s="1"/>
  <c r="D2" i="7"/>
  <c r="F2" i="7" s="1"/>
  <c r="C84" i="5" s="1"/>
  <c r="F2" i="6"/>
  <c r="K2" i="6" s="1"/>
  <c r="C70" i="3" s="1"/>
  <c r="F87" i="9"/>
  <c r="I5" i="10"/>
  <c r="H4" i="7"/>
  <c r="I4" i="7" s="1"/>
  <c r="E85" i="8" s="1"/>
  <c r="H4" i="6"/>
  <c r="H15" i="10"/>
  <c r="C84" i="9"/>
  <c r="H3" i="6"/>
  <c r="H3" i="7"/>
  <c r="I3" i="7" s="1"/>
  <c r="D85" i="8" s="1"/>
  <c r="S5" i="1"/>
  <c r="C5" i="7" s="1"/>
  <c r="D5" i="7"/>
  <c r="F5" i="7" s="1"/>
  <c r="F84" i="5" s="1"/>
  <c r="F5" i="6"/>
  <c r="K5" i="6" s="1"/>
  <c r="F70" i="3" s="1"/>
  <c r="H5" i="7"/>
  <c r="I5" i="7" s="1"/>
  <c r="F85" i="8" s="1"/>
  <c r="H5" i="6"/>
  <c r="F4" i="9"/>
  <c r="F9" i="9"/>
  <c r="F17" i="9"/>
  <c r="F25" i="9"/>
  <c r="F33" i="9"/>
  <c r="F41" i="9"/>
  <c r="F49" i="9"/>
  <c r="F57" i="9"/>
  <c r="F65" i="9"/>
  <c r="F73" i="9"/>
  <c r="F81" i="9"/>
  <c r="F76" i="9"/>
  <c r="F60" i="9"/>
  <c r="F44" i="9"/>
  <c r="F28" i="9"/>
  <c r="F12" i="9"/>
  <c r="F82" i="9"/>
  <c r="F66" i="9"/>
  <c r="F50" i="9"/>
  <c r="F34" i="9"/>
  <c r="F18" i="9"/>
  <c r="F8" i="9"/>
  <c r="F15" i="9"/>
  <c r="F27" i="9"/>
  <c r="F37" i="9"/>
  <c r="F47" i="9"/>
  <c r="F59" i="9"/>
  <c r="F69" i="9"/>
  <c r="F79" i="9"/>
  <c r="F68" i="9"/>
  <c r="F48" i="9"/>
  <c r="F24" i="9"/>
  <c r="F74" i="9"/>
  <c r="F54" i="9"/>
  <c r="F30" i="9"/>
  <c r="F10" i="9"/>
  <c r="F5" i="9"/>
  <c r="F19" i="9"/>
  <c r="F29" i="9"/>
  <c r="F39" i="9"/>
  <c r="F51" i="9"/>
  <c r="F61" i="9"/>
  <c r="F71" i="9"/>
  <c r="F64" i="9"/>
  <c r="F40" i="9"/>
  <c r="F20" i="9"/>
  <c r="F70" i="9"/>
  <c r="F46" i="9"/>
  <c r="F26" i="9"/>
  <c r="F3" i="9"/>
  <c r="F2" i="9"/>
  <c r="F11" i="9"/>
  <c r="F21" i="9"/>
  <c r="F31" i="9"/>
  <c r="F43" i="9"/>
  <c r="F53" i="9"/>
  <c r="F63" i="9"/>
  <c r="F75" i="9"/>
  <c r="F80" i="9"/>
  <c r="F56" i="9"/>
  <c r="F36" i="9"/>
  <c r="F16" i="9"/>
  <c r="F62" i="9"/>
  <c r="F42" i="9"/>
  <c r="F22" i="9"/>
  <c r="F6" i="9"/>
  <c r="F13" i="9"/>
  <c r="F23" i="9"/>
  <c r="F35" i="9"/>
  <c r="F45" i="9"/>
  <c r="F55" i="9"/>
  <c r="F67" i="9"/>
  <c r="F77" i="9"/>
  <c r="F72" i="9"/>
  <c r="F52" i="9"/>
  <c r="F32" i="9"/>
  <c r="F7" i="9"/>
  <c r="F78" i="9"/>
  <c r="F58" i="9"/>
  <c r="F38" i="9"/>
  <c r="F14" i="9"/>
  <c r="H6" i="7"/>
  <c r="I6" i="7" s="1"/>
  <c r="G85" i="8" s="1"/>
  <c r="H6" i="6"/>
  <c r="G16" i="9"/>
  <c r="G24" i="9"/>
  <c r="G8" i="9"/>
  <c r="G80" i="9"/>
  <c r="G5" i="9"/>
  <c r="G13" i="9"/>
  <c r="G21" i="9"/>
  <c r="G29" i="9"/>
  <c r="G37" i="9"/>
  <c r="G45" i="9"/>
  <c r="G53" i="9"/>
  <c r="G61" i="9"/>
  <c r="G69" i="9"/>
  <c r="G77" i="9"/>
  <c r="G6" i="9"/>
  <c r="G22" i="9"/>
  <c r="G38" i="9"/>
  <c r="G54" i="9"/>
  <c r="G70" i="9"/>
  <c r="G76" i="9"/>
  <c r="G44" i="9"/>
  <c r="G12" i="9"/>
  <c r="G56" i="9"/>
  <c r="G48" i="9"/>
  <c r="G3" i="9"/>
  <c r="G15" i="9"/>
  <c r="G25" i="9"/>
  <c r="G35" i="9"/>
  <c r="G47" i="9"/>
  <c r="G57" i="9"/>
  <c r="G67" i="9"/>
  <c r="G79" i="9"/>
  <c r="G14" i="9"/>
  <c r="G34" i="9"/>
  <c r="G58" i="9"/>
  <c r="G78" i="9"/>
  <c r="G52" i="9"/>
  <c r="G4" i="9"/>
  <c r="G40" i="9"/>
  <c r="G32" i="9"/>
  <c r="G7" i="9"/>
  <c r="G17" i="9"/>
  <c r="G27" i="9"/>
  <c r="G39" i="9"/>
  <c r="G49" i="9"/>
  <c r="G59" i="9"/>
  <c r="G71" i="9"/>
  <c r="G81" i="9"/>
  <c r="G18" i="9"/>
  <c r="G42" i="9"/>
  <c r="G62" i="9"/>
  <c r="G82" i="9"/>
  <c r="G36" i="9"/>
  <c r="G9" i="9"/>
  <c r="G19" i="9"/>
  <c r="G31" i="9"/>
  <c r="G41" i="9"/>
  <c r="G51" i="9"/>
  <c r="G63" i="9"/>
  <c r="G73" i="9"/>
  <c r="G2" i="9"/>
  <c r="G26" i="9"/>
  <c r="G46" i="9"/>
  <c r="G66" i="9"/>
  <c r="G68" i="9"/>
  <c r="G28" i="9"/>
  <c r="G72" i="9"/>
  <c r="G64" i="9"/>
  <c r="G11" i="9"/>
  <c r="G23" i="9"/>
  <c r="G33" i="9"/>
  <c r="G43" i="9"/>
  <c r="G55" i="9"/>
  <c r="G65" i="9"/>
  <c r="G75" i="9"/>
  <c r="G10" i="9"/>
  <c r="G30" i="9"/>
  <c r="G50" i="9"/>
  <c r="G74" i="9"/>
  <c r="G60" i="9"/>
  <c r="G20" i="9"/>
  <c r="S6" i="1"/>
  <c r="C6" i="7" s="1"/>
  <c r="D6" i="7"/>
  <c r="F6" i="7" s="1"/>
  <c r="G84" i="5" s="1"/>
  <c r="F6" i="6"/>
  <c r="K6" i="6" s="1"/>
  <c r="G70" i="3" s="1"/>
  <c r="S3" i="1"/>
  <c r="C3" i="7" s="1"/>
  <c r="D3" i="7"/>
  <c r="F3" i="7" s="1"/>
  <c r="D84" i="5" s="1"/>
  <c r="F3" i="6"/>
  <c r="K3" i="6" s="1"/>
  <c r="D70" i="3" s="1"/>
  <c r="D5" i="9"/>
  <c r="D13" i="9"/>
  <c r="D21" i="9"/>
  <c r="D29" i="9"/>
  <c r="D37" i="9"/>
  <c r="D45" i="9"/>
  <c r="D53" i="9"/>
  <c r="D61" i="9"/>
  <c r="D69" i="9"/>
  <c r="D77" i="9"/>
  <c r="D74" i="9"/>
  <c r="D58" i="9"/>
  <c r="D42" i="9"/>
  <c r="D26" i="9"/>
  <c r="D10" i="9"/>
  <c r="D80" i="9"/>
  <c r="D64" i="9"/>
  <c r="D48" i="9"/>
  <c r="D32" i="9"/>
  <c r="D16" i="9"/>
  <c r="D3" i="9"/>
  <c r="D15" i="9"/>
  <c r="D25" i="9"/>
  <c r="D35" i="9"/>
  <c r="D47" i="9"/>
  <c r="D57" i="9"/>
  <c r="D67" i="9"/>
  <c r="D79" i="9"/>
  <c r="D70" i="9"/>
  <c r="D50" i="9"/>
  <c r="D30" i="9"/>
  <c r="D6" i="9"/>
  <c r="D60" i="9"/>
  <c r="D40" i="9"/>
  <c r="D20" i="9"/>
  <c r="D7" i="9"/>
  <c r="D17" i="9"/>
  <c r="D27" i="9"/>
  <c r="D39" i="9"/>
  <c r="D49" i="9"/>
  <c r="D59" i="9"/>
  <c r="D71" i="9"/>
  <c r="D81" i="9"/>
  <c r="D66" i="9"/>
  <c r="D46" i="9"/>
  <c r="D22" i="9"/>
  <c r="D2" i="9"/>
  <c r="D76" i="9"/>
  <c r="D56" i="9"/>
  <c r="D36" i="9"/>
  <c r="D12" i="9"/>
  <c r="D9" i="9"/>
  <c r="D19" i="9"/>
  <c r="D31" i="9"/>
  <c r="D41" i="9"/>
  <c r="D51" i="9"/>
  <c r="D63" i="9"/>
  <c r="D73" i="9"/>
  <c r="D82" i="9"/>
  <c r="D62" i="9"/>
  <c r="D38" i="9"/>
  <c r="D18" i="9"/>
  <c r="D72" i="9"/>
  <c r="D52" i="9"/>
  <c r="D28" i="9"/>
  <c r="D8" i="9"/>
  <c r="D11" i="9"/>
  <c r="D23" i="9"/>
  <c r="D33" i="9"/>
  <c r="D43" i="9"/>
  <c r="D55" i="9"/>
  <c r="D65" i="9"/>
  <c r="D75" i="9"/>
  <c r="D78" i="9"/>
  <c r="D54" i="9"/>
  <c r="D34" i="9"/>
  <c r="D14" i="9"/>
  <c r="D68" i="9"/>
  <c r="D44" i="9"/>
  <c r="D24" i="9"/>
  <c r="D4" i="9"/>
  <c r="E87" i="9"/>
  <c r="I4" i="10"/>
  <c r="I2" i="10"/>
  <c r="G15" i="10"/>
  <c r="C87" i="9"/>
  <c r="S4" i="1"/>
  <c r="C4" i="7" s="1"/>
  <c r="D4" i="7"/>
  <c r="F4" i="7" s="1"/>
  <c r="E84" i="5" s="1"/>
  <c r="F4" i="6"/>
  <c r="K4" i="6" s="1"/>
  <c r="E70" i="3" s="1"/>
  <c r="E7" i="9"/>
  <c r="E67" i="9"/>
  <c r="E35" i="9"/>
  <c r="E3" i="9"/>
  <c r="E51" i="9"/>
  <c r="E11" i="9"/>
  <c r="E71" i="9"/>
  <c r="E39" i="9"/>
  <c r="E6" i="9"/>
  <c r="E14" i="9"/>
  <c r="E22" i="9"/>
  <c r="E30" i="9"/>
  <c r="E38" i="9"/>
  <c r="E46" i="9"/>
  <c r="E54" i="9"/>
  <c r="E62" i="9"/>
  <c r="E70" i="9"/>
  <c r="E78" i="9"/>
  <c r="E81" i="9"/>
  <c r="E65" i="9"/>
  <c r="E49" i="9"/>
  <c r="E33" i="9"/>
  <c r="E17" i="9"/>
  <c r="E43" i="9"/>
  <c r="E79" i="9"/>
  <c r="E31" i="9"/>
  <c r="E10" i="9"/>
  <c r="E20" i="9"/>
  <c r="E32" i="9"/>
  <c r="E42" i="9"/>
  <c r="E52" i="9"/>
  <c r="E64" i="9"/>
  <c r="E74" i="9"/>
  <c r="E77" i="9"/>
  <c r="E57" i="9"/>
  <c r="E37" i="9"/>
  <c r="E13" i="9"/>
  <c r="E27" i="9"/>
  <c r="E63" i="9"/>
  <c r="E23" i="9"/>
  <c r="E2" i="9"/>
  <c r="E12" i="9"/>
  <c r="E24" i="9"/>
  <c r="E34" i="9"/>
  <c r="E44" i="9"/>
  <c r="E56" i="9"/>
  <c r="E66" i="9"/>
  <c r="E76" i="9"/>
  <c r="E73" i="9"/>
  <c r="E53" i="9"/>
  <c r="E29" i="9"/>
  <c r="E9" i="9"/>
  <c r="E75" i="9"/>
  <c r="E19" i="9"/>
  <c r="E55" i="9"/>
  <c r="E15" i="9"/>
  <c r="E4" i="9"/>
  <c r="E16" i="9"/>
  <c r="E26" i="9"/>
  <c r="E36" i="9"/>
  <c r="E48" i="9"/>
  <c r="E58" i="9"/>
  <c r="E68" i="9"/>
  <c r="E80" i="9"/>
  <c r="E69" i="9"/>
  <c r="E45" i="9"/>
  <c r="E25" i="9"/>
  <c r="E5" i="9"/>
  <c r="E59" i="9"/>
  <c r="E47" i="9"/>
  <c r="E8" i="9"/>
  <c r="E18" i="9"/>
  <c r="E28" i="9"/>
  <c r="E40" i="9"/>
  <c r="E50" i="9"/>
  <c r="E60" i="9"/>
  <c r="E72" i="9"/>
  <c r="E82" i="9"/>
  <c r="E61" i="9"/>
  <c r="E41" i="9"/>
  <c r="E21" i="9"/>
  <c r="H2" i="7"/>
  <c r="I2" i="7" s="1"/>
  <c r="C85" i="8" s="1"/>
  <c r="H2" i="6"/>
  <c r="G87" i="9"/>
  <c r="I6" i="10"/>
  <c r="N13" i="1"/>
  <c r="N8" i="1"/>
  <c r="O7" i="1"/>
  <c r="Q7" i="1"/>
  <c r="O11" i="1"/>
  <c r="Q11" i="1"/>
  <c r="P11" i="1"/>
  <c r="P7" i="1"/>
  <c r="O15" i="1"/>
  <c r="Q15" i="1"/>
  <c r="P15" i="1"/>
  <c r="Q10" i="1"/>
  <c r="P10" i="1"/>
  <c r="O10" i="1"/>
  <c r="P12" i="1"/>
  <c r="O12" i="1"/>
  <c r="Q12" i="1"/>
  <c r="Q9" i="1"/>
  <c r="P9" i="1"/>
  <c r="O9" i="1"/>
  <c r="Q14" i="1"/>
  <c r="P14" i="1"/>
  <c r="O14" i="1"/>
  <c r="P16" i="1"/>
  <c r="O16" i="1"/>
  <c r="Q16" i="1"/>
  <c r="I3" i="10" l="1"/>
  <c r="D69" i="5"/>
  <c r="D33" i="5"/>
  <c r="D9" i="5"/>
  <c r="D80" i="5"/>
  <c r="D76" i="5"/>
  <c r="D72" i="5"/>
  <c r="D68" i="5"/>
  <c r="D64" i="5"/>
  <c r="D60" i="5"/>
  <c r="D56" i="5"/>
  <c r="D52" i="5"/>
  <c r="D48" i="5"/>
  <c r="D44" i="5"/>
  <c r="D40" i="5"/>
  <c r="D36" i="5"/>
  <c r="D32" i="5"/>
  <c r="D28" i="5"/>
  <c r="D24" i="5"/>
  <c r="D20" i="5"/>
  <c r="D16" i="5"/>
  <c r="D12" i="5"/>
  <c r="D8" i="5"/>
  <c r="D4" i="5"/>
  <c r="D53" i="5"/>
  <c r="D65" i="5"/>
  <c r="D41" i="5"/>
  <c r="D17" i="5"/>
  <c r="D79" i="5"/>
  <c r="D75" i="5"/>
  <c r="D71" i="5"/>
  <c r="D67" i="5"/>
  <c r="D63" i="5"/>
  <c r="D59" i="5"/>
  <c r="D55" i="5"/>
  <c r="D51" i="5"/>
  <c r="D47" i="5"/>
  <c r="D43" i="5"/>
  <c r="D39" i="5"/>
  <c r="D35" i="5"/>
  <c r="D31" i="5"/>
  <c r="D27" i="5"/>
  <c r="D23" i="5"/>
  <c r="D19" i="5"/>
  <c r="D15" i="5"/>
  <c r="D11" i="5"/>
  <c r="D7" i="5"/>
  <c r="D3" i="5"/>
  <c r="D81" i="5"/>
  <c r="D61" i="5"/>
  <c r="D37" i="5"/>
  <c r="D25" i="5"/>
  <c r="D5" i="5"/>
  <c r="D77" i="5"/>
  <c r="D57" i="5"/>
  <c r="D49" i="5"/>
  <c r="D29" i="5"/>
  <c r="D21" i="5"/>
  <c r="D82" i="5"/>
  <c r="D78" i="5"/>
  <c r="D74" i="5"/>
  <c r="D70" i="5"/>
  <c r="D66" i="5"/>
  <c r="D62" i="5"/>
  <c r="D58" i="5"/>
  <c r="D54" i="5"/>
  <c r="D50" i="5"/>
  <c r="D46" i="5"/>
  <c r="D42" i="5"/>
  <c r="D38" i="5"/>
  <c r="D34" i="5"/>
  <c r="D30" i="5"/>
  <c r="D26" i="5"/>
  <c r="D22" i="5"/>
  <c r="D18" i="5"/>
  <c r="D14" i="5"/>
  <c r="D10" i="5"/>
  <c r="D6" i="5"/>
  <c r="D2" i="5"/>
  <c r="D73" i="5"/>
  <c r="D45" i="5"/>
  <c r="D13" i="5"/>
  <c r="C81" i="5"/>
  <c r="C77" i="5"/>
  <c r="C73" i="5"/>
  <c r="C69" i="5"/>
  <c r="C65" i="5"/>
  <c r="C61" i="5"/>
  <c r="C57" i="5"/>
  <c r="C53" i="5"/>
  <c r="C49" i="5"/>
  <c r="C45" i="5"/>
  <c r="C41" i="5"/>
  <c r="C37" i="5"/>
  <c r="C33" i="5"/>
  <c r="C29" i="5"/>
  <c r="C25" i="5"/>
  <c r="C21" i="5"/>
  <c r="C17" i="5"/>
  <c r="C13" i="5"/>
  <c r="C9" i="5"/>
  <c r="C5" i="5"/>
  <c r="C66" i="5"/>
  <c r="C10" i="5"/>
  <c r="C62" i="5"/>
  <c r="C80" i="5"/>
  <c r="C76" i="5"/>
  <c r="C72" i="5"/>
  <c r="C68" i="5"/>
  <c r="C64" i="5"/>
  <c r="C60" i="5"/>
  <c r="C56" i="5"/>
  <c r="C52" i="5"/>
  <c r="C48" i="5"/>
  <c r="C44" i="5"/>
  <c r="C40" i="5"/>
  <c r="C36" i="5"/>
  <c r="C32" i="5"/>
  <c r="C28" i="5"/>
  <c r="C24" i="5"/>
  <c r="C20" i="5"/>
  <c r="C16" i="5"/>
  <c r="C12" i="5"/>
  <c r="C8" i="5"/>
  <c r="C4" i="5"/>
  <c r="C70" i="5"/>
  <c r="C58" i="5"/>
  <c r="C38" i="5"/>
  <c r="C34" i="5"/>
  <c r="C22" i="5"/>
  <c r="C74" i="5"/>
  <c r="C46" i="5"/>
  <c r="C26" i="5"/>
  <c r="C2" i="5"/>
  <c r="C79" i="5"/>
  <c r="C75" i="5"/>
  <c r="C71" i="5"/>
  <c r="C67" i="5"/>
  <c r="C63" i="5"/>
  <c r="C59" i="5"/>
  <c r="C55" i="5"/>
  <c r="C51" i="5"/>
  <c r="C47" i="5"/>
  <c r="C43" i="5"/>
  <c r="C39" i="5"/>
  <c r="C35" i="5"/>
  <c r="C31" i="5"/>
  <c r="C27" i="5"/>
  <c r="C23" i="5"/>
  <c r="C19" i="5"/>
  <c r="C15" i="5"/>
  <c r="C11" i="5"/>
  <c r="C7" i="5"/>
  <c r="C3" i="5"/>
  <c r="C82" i="5"/>
  <c r="C50" i="5"/>
  <c r="C18" i="5"/>
  <c r="C78" i="5"/>
  <c r="C54" i="5"/>
  <c r="C42" i="5"/>
  <c r="C30" i="5"/>
  <c r="C14" i="5"/>
  <c r="C6" i="5"/>
  <c r="C17" i="7"/>
  <c r="I85" i="8"/>
  <c r="C8" i="8"/>
  <c r="C16" i="8"/>
  <c r="C24" i="8"/>
  <c r="C32" i="8"/>
  <c r="C40" i="8"/>
  <c r="C48" i="8"/>
  <c r="C56" i="8"/>
  <c r="C64" i="8"/>
  <c r="C72" i="8"/>
  <c r="C80" i="8"/>
  <c r="C7" i="8"/>
  <c r="C15" i="8"/>
  <c r="C23" i="8"/>
  <c r="C31" i="8"/>
  <c r="C39" i="8"/>
  <c r="C47" i="8"/>
  <c r="C55" i="8"/>
  <c r="C63" i="8"/>
  <c r="C71" i="8"/>
  <c r="C79" i="8"/>
  <c r="C81" i="8"/>
  <c r="C2" i="8"/>
  <c r="C12" i="8"/>
  <c r="C22" i="8"/>
  <c r="C34" i="8"/>
  <c r="C44" i="8"/>
  <c r="C54" i="8"/>
  <c r="C66" i="8"/>
  <c r="C76" i="8"/>
  <c r="C5" i="8"/>
  <c r="C17" i="8"/>
  <c r="C27" i="8"/>
  <c r="C37" i="8"/>
  <c r="C49" i="8"/>
  <c r="C59" i="8"/>
  <c r="C69" i="8"/>
  <c r="C83" i="8"/>
  <c r="C4" i="8"/>
  <c r="C14" i="8"/>
  <c r="C26" i="8"/>
  <c r="C36" i="8"/>
  <c r="C46" i="8"/>
  <c r="C58" i="8"/>
  <c r="C68" i="8"/>
  <c r="C78" i="8"/>
  <c r="C9" i="8"/>
  <c r="C19" i="8"/>
  <c r="C29" i="8"/>
  <c r="C41" i="8"/>
  <c r="C51" i="8"/>
  <c r="C61" i="8"/>
  <c r="C73" i="8"/>
  <c r="C6" i="8"/>
  <c r="C18" i="8"/>
  <c r="C28" i="8"/>
  <c r="C38" i="8"/>
  <c r="C50" i="8"/>
  <c r="C60" i="8"/>
  <c r="C70" i="8"/>
  <c r="C82" i="8"/>
  <c r="C11" i="8"/>
  <c r="C21" i="8"/>
  <c r="C33" i="8"/>
  <c r="C43" i="8"/>
  <c r="C53" i="8"/>
  <c r="C65" i="8"/>
  <c r="C75" i="8"/>
  <c r="C10" i="8"/>
  <c r="C20" i="8"/>
  <c r="C30" i="8"/>
  <c r="C42" i="8"/>
  <c r="C52" i="8"/>
  <c r="C62" i="8"/>
  <c r="C74" i="8"/>
  <c r="C3" i="8"/>
  <c r="C13" i="8"/>
  <c r="C25" i="8"/>
  <c r="C35" i="8"/>
  <c r="C45" i="8"/>
  <c r="C57" i="8"/>
  <c r="C67" i="8"/>
  <c r="C77" i="8"/>
  <c r="D90" i="9"/>
  <c r="D91" i="9"/>
  <c r="D92" i="9"/>
  <c r="F90" i="9"/>
  <c r="F92" i="9"/>
  <c r="F91" i="9"/>
  <c r="C92" i="9"/>
  <c r="C91" i="9"/>
  <c r="C90" i="9"/>
  <c r="J87" i="9"/>
  <c r="E91" i="9"/>
  <c r="E90" i="9"/>
  <c r="E92" i="9"/>
  <c r="F2" i="3"/>
  <c r="F10" i="3"/>
  <c r="F18" i="3"/>
  <c r="F26" i="3"/>
  <c r="F34" i="3"/>
  <c r="F42" i="3"/>
  <c r="F50" i="3"/>
  <c r="F58" i="3"/>
  <c r="F66" i="3"/>
  <c r="F13" i="3"/>
  <c r="F29" i="3"/>
  <c r="F45" i="3"/>
  <c r="F61" i="3"/>
  <c r="F11" i="3"/>
  <c r="F27" i="3"/>
  <c r="F43" i="3"/>
  <c r="F59" i="3"/>
  <c r="F4" i="3"/>
  <c r="F12" i="3"/>
  <c r="F20" i="3"/>
  <c r="F28" i="3"/>
  <c r="F36" i="3"/>
  <c r="F44" i="3"/>
  <c r="F52" i="3"/>
  <c r="F60" i="3"/>
  <c r="F68" i="3"/>
  <c r="F17" i="3"/>
  <c r="F33" i="3"/>
  <c r="F49" i="3"/>
  <c r="F65" i="3"/>
  <c r="F15" i="3"/>
  <c r="F31" i="3"/>
  <c r="F47" i="3"/>
  <c r="F63" i="3"/>
  <c r="F6" i="3"/>
  <c r="F14" i="3"/>
  <c r="F22" i="3"/>
  <c r="F30" i="3"/>
  <c r="F38" i="3"/>
  <c r="F46" i="3"/>
  <c r="F54" i="3"/>
  <c r="F62" i="3"/>
  <c r="F5" i="3"/>
  <c r="F21" i="3"/>
  <c r="F37" i="3"/>
  <c r="F53" i="3"/>
  <c r="F3" i="3"/>
  <c r="F19" i="3"/>
  <c r="F35" i="3"/>
  <c r="F51" i="3"/>
  <c r="F67" i="3"/>
  <c r="F8" i="3"/>
  <c r="F16" i="3"/>
  <c r="F24" i="3"/>
  <c r="F32" i="3"/>
  <c r="F40" i="3"/>
  <c r="F48" i="3"/>
  <c r="F56" i="3"/>
  <c r="F64" i="3"/>
  <c r="F9" i="3"/>
  <c r="F25" i="3"/>
  <c r="F41" i="3"/>
  <c r="F57" i="3"/>
  <c r="F7" i="3"/>
  <c r="F23" i="3"/>
  <c r="F39" i="3"/>
  <c r="F55" i="3"/>
  <c r="D3" i="8"/>
  <c r="D11" i="8"/>
  <c r="D19" i="8"/>
  <c r="D27" i="8"/>
  <c r="D35" i="8"/>
  <c r="D43" i="8"/>
  <c r="D51" i="8"/>
  <c r="D59" i="8"/>
  <c r="D67" i="8"/>
  <c r="D75" i="8"/>
  <c r="D12" i="8"/>
  <c r="D28" i="8"/>
  <c r="D44" i="8"/>
  <c r="D60" i="8"/>
  <c r="D76" i="8"/>
  <c r="D2" i="8"/>
  <c r="D18" i="8"/>
  <c r="D34" i="8"/>
  <c r="D50" i="8"/>
  <c r="D66" i="8"/>
  <c r="D80" i="8"/>
  <c r="D9" i="8"/>
  <c r="D21" i="8"/>
  <c r="D31" i="8"/>
  <c r="D41" i="8"/>
  <c r="D53" i="8"/>
  <c r="D63" i="8"/>
  <c r="D73" i="8"/>
  <c r="D16" i="8"/>
  <c r="D36" i="8"/>
  <c r="D56" i="8"/>
  <c r="D79" i="8"/>
  <c r="D10" i="8"/>
  <c r="D30" i="8"/>
  <c r="D54" i="8"/>
  <c r="D74" i="8"/>
  <c r="D13" i="8"/>
  <c r="D23" i="8"/>
  <c r="D33" i="8"/>
  <c r="D45" i="8"/>
  <c r="D55" i="8"/>
  <c r="D65" i="8"/>
  <c r="D77" i="8"/>
  <c r="D20" i="8"/>
  <c r="D40" i="8"/>
  <c r="D64" i="8"/>
  <c r="D81" i="8"/>
  <c r="D14" i="8"/>
  <c r="D38" i="8"/>
  <c r="D58" i="8"/>
  <c r="D78" i="8"/>
  <c r="D7" i="8"/>
  <c r="D29" i="8"/>
  <c r="D49" i="8"/>
  <c r="D71" i="8"/>
  <c r="D32" i="8"/>
  <c r="D72" i="8"/>
  <c r="D26" i="8"/>
  <c r="D70" i="8"/>
  <c r="D15" i="8"/>
  <c r="D37" i="8"/>
  <c r="D57" i="8"/>
  <c r="D4" i="8"/>
  <c r="D48" i="8"/>
  <c r="D83" i="8"/>
  <c r="D42" i="8"/>
  <c r="D82" i="8"/>
  <c r="D17" i="8"/>
  <c r="D39" i="8"/>
  <c r="D61" i="8"/>
  <c r="D8" i="8"/>
  <c r="D52" i="8"/>
  <c r="D6" i="8"/>
  <c r="D46" i="8"/>
  <c r="D5" i="8"/>
  <c r="D25" i="8"/>
  <c r="D47" i="8"/>
  <c r="D69" i="8"/>
  <c r="D24" i="8"/>
  <c r="D68" i="8"/>
  <c r="D22" i="8"/>
  <c r="D62" i="8"/>
  <c r="C6" i="3"/>
  <c r="C14" i="3"/>
  <c r="C22" i="3"/>
  <c r="C30" i="3"/>
  <c r="C38" i="3"/>
  <c r="C46" i="3"/>
  <c r="C54" i="3"/>
  <c r="C62" i="3"/>
  <c r="C3" i="3"/>
  <c r="C11" i="3"/>
  <c r="C19" i="3"/>
  <c r="C27" i="3"/>
  <c r="C35" i="3"/>
  <c r="C43" i="3"/>
  <c r="C51" i="3"/>
  <c r="C59" i="3"/>
  <c r="C67" i="3"/>
  <c r="R70" i="3"/>
  <c r="C8" i="3"/>
  <c r="C16" i="3"/>
  <c r="C24" i="3"/>
  <c r="C32" i="3"/>
  <c r="C40" i="3"/>
  <c r="C48" i="3"/>
  <c r="C56" i="3"/>
  <c r="C64" i="3"/>
  <c r="C5" i="3"/>
  <c r="C13" i="3"/>
  <c r="C21" i="3"/>
  <c r="C29" i="3"/>
  <c r="C37" i="3"/>
  <c r="C45" i="3"/>
  <c r="C53" i="3"/>
  <c r="C61" i="3"/>
  <c r="C2" i="3"/>
  <c r="C10" i="3"/>
  <c r="C18" i="3"/>
  <c r="C26" i="3"/>
  <c r="C34" i="3"/>
  <c r="C42" i="3"/>
  <c r="C50" i="3"/>
  <c r="C58" i="3"/>
  <c r="C66" i="3"/>
  <c r="C7" i="3"/>
  <c r="C15" i="3"/>
  <c r="C23" i="3"/>
  <c r="C31" i="3"/>
  <c r="C39" i="3"/>
  <c r="C47" i="3"/>
  <c r="C55" i="3"/>
  <c r="C63" i="3"/>
  <c r="C4" i="3"/>
  <c r="C12" i="3"/>
  <c r="C20" i="3"/>
  <c r="C28" i="3"/>
  <c r="C36" i="3"/>
  <c r="C44" i="3"/>
  <c r="C52" i="3"/>
  <c r="C60" i="3"/>
  <c r="C68" i="3"/>
  <c r="C9" i="3"/>
  <c r="C17" i="3"/>
  <c r="C25" i="3"/>
  <c r="C33" i="3"/>
  <c r="C41" i="3"/>
  <c r="C49" i="3"/>
  <c r="C57" i="3"/>
  <c r="C65" i="3"/>
  <c r="Q8" i="1"/>
  <c r="C8" i="6"/>
  <c r="G91" i="9"/>
  <c r="G92" i="9"/>
  <c r="G90" i="9"/>
  <c r="E7" i="3"/>
  <c r="E15" i="3"/>
  <c r="E23" i="3"/>
  <c r="E31" i="3"/>
  <c r="E39" i="3"/>
  <c r="E47" i="3"/>
  <c r="E55" i="3"/>
  <c r="E63" i="3"/>
  <c r="E10" i="3"/>
  <c r="E26" i="3"/>
  <c r="E42" i="3"/>
  <c r="E58" i="3"/>
  <c r="E4" i="3"/>
  <c r="E20" i="3"/>
  <c r="E36" i="3"/>
  <c r="E52" i="3"/>
  <c r="E67" i="3"/>
  <c r="E9" i="3"/>
  <c r="E17" i="3"/>
  <c r="E25" i="3"/>
  <c r="E33" i="3"/>
  <c r="E41" i="3"/>
  <c r="E49" i="3"/>
  <c r="E57" i="3"/>
  <c r="E65" i="3"/>
  <c r="E14" i="3"/>
  <c r="E30" i="3"/>
  <c r="E46" i="3"/>
  <c r="E62" i="3"/>
  <c r="E8" i="3"/>
  <c r="E24" i="3"/>
  <c r="E40" i="3"/>
  <c r="E56" i="3"/>
  <c r="E3" i="3"/>
  <c r="E11" i="3"/>
  <c r="E19" i="3"/>
  <c r="E27" i="3"/>
  <c r="E35" i="3"/>
  <c r="E43" i="3"/>
  <c r="E51" i="3"/>
  <c r="E59" i="3"/>
  <c r="E2" i="3"/>
  <c r="E18" i="3"/>
  <c r="E34" i="3"/>
  <c r="E50" i="3"/>
  <c r="E66" i="3"/>
  <c r="E12" i="3"/>
  <c r="E28" i="3"/>
  <c r="E44" i="3"/>
  <c r="E60" i="3"/>
  <c r="E5" i="3"/>
  <c r="E13" i="3"/>
  <c r="E21" i="3"/>
  <c r="E29" i="3"/>
  <c r="E37" i="3"/>
  <c r="E45" i="3"/>
  <c r="E53" i="3"/>
  <c r="E61" i="3"/>
  <c r="E6" i="3"/>
  <c r="E22" i="3"/>
  <c r="E38" i="3"/>
  <c r="E54" i="3"/>
  <c r="E68" i="3"/>
  <c r="E16" i="3"/>
  <c r="E32" i="3"/>
  <c r="E48" i="3"/>
  <c r="E64" i="3"/>
  <c r="G5" i="3"/>
  <c r="G13" i="3"/>
  <c r="G21" i="3"/>
  <c r="G29" i="3"/>
  <c r="G37" i="3"/>
  <c r="G45" i="3"/>
  <c r="G53" i="3"/>
  <c r="G61" i="3"/>
  <c r="G4" i="3"/>
  <c r="G20" i="3"/>
  <c r="G36" i="3"/>
  <c r="G52" i="3"/>
  <c r="G68" i="3"/>
  <c r="G14" i="3"/>
  <c r="G30" i="3"/>
  <c r="G46" i="3"/>
  <c r="G62" i="3"/>
  <c r="G7" i="3"/>
  <c r="G15" i="3"/>
  <c r="G23" i="3"/>
  <c r="G31" i="3"/>
  <c r="G39" i="3"/>
  <c r="G47" i="3"/>
  <c r="G55" i="3"/>
  <c r="G63" i="3"/>
  <c r="G8" i="3"/>
  <c r="G24" i="3"/>
  <c r="G40" i="3"/>
  <c r="G56" i="3"/>
  <c r="G2" i="3"/>
  <c r="G18" i="3"/>
  <c r="G34" i="3"/>
  <c r="G50" i="3"/>
  <c r="G66" i="3"/>
  <c r="G9" i="3"/>
  <c r="G17" i="3"/>
  <c r="G25" i="3"/>
  <c r="G33" i="3"/>
  <c r="G41" i="3"/>
  <c r="G49" i="3"/>
  <c r="G57" i="3"/>
  <c r="G65" i="3"/>
  <c r="G12" i="3"/>
  <c r="G28" i="3"/>
  <c r="G44" i="3"/>
  <c r="G60" i="3"/>
  <c r="G6" i="3"/>
  <c r="G22" i="3"/>
  <c r="G38" i="3"/>
  <c r="G54" i="3"/>
  <c r="G3" i="3"/>
  <c r="G11" i="3"/>
  <c r="G19" i="3"/>
  <c r="G27" i="3"/>
  <c r="G35" i="3"/>
  <c r="G43" i="3"/>
  <c r="G51" i="3"/>
  <c r="G59" i="3"/>
  <c r="G67" i="3"/>
  <c r="G16" i="3"/>
  <c r="G32" i="3"/>
  <c r="G48" i="3"/>
  <c r="G64" i="3"/>
  <c r="G10" i="3"/>
  <c r="G26" i="3"/>
  <c r="G42" i="3"/>
  <c r="G58" i="3"/>
  <c r="F7" i="8"/>
  <c r="F15" i="8"/>
  <c r="F23" i="8"/>
  <c r="F31" i="8"/>
  <c r="F39" i="8"/>
  <c r="F47" i="8"/>
  <c r="F55" i="8"/>
  <c r="F63" i="8"/>
  <c r="F71" i="8"/>
  <c r="F79" i="8"/>
  <c r="F8" i="8"/>
  <c r="F24" i="8"/>
  <c r="F40" i="8"/>
  <c r="F56" i="8"/>
  <c r="F72" i="8"/>
  <c r="F6" i="8"/>
  <c r="F22" i="8"/>
  <c r="F38" i="8"/>
  <c r="F54" i="8"/>
  <c r="F70" i="8"/>
  <c r="F3" i="8"/>
  <c r="F13" i="8"/>
  <c r="F25" i="8"/>
  <c r="F35" i="8"/>
  <c r="F45" i="8"/>
  <c r="F57" i="8"/>
  <c r="F67" i="8"/>
  <c r="F77" i="8"/>
  <c r="F12" i="8"/>
  <c r="F32" i="8"/>
  <c r="F52" i="8"/>
  <c r="F76" i="8"/>
  <c r="F14" i="8"/>
  <c r="F34" i="8"/>
  <c r="F58" i="8"/>
  <c r="F78" i="8"/>
  <c r="F5" i="8"/>
  <c r="F17" i="8"/>
  <c r="F27" i="8"/>
  <c r="F37" i="8"/>
  <c r="F49" i="8"/>
  <c r="F59" i="8"/>
  <c r="F69" i="8"/>
  <c r="F81" i="8"/>
  <c r="F16" i="8"/>
  <c r="F36" i="8"/>
  <c r="F60" i="8"/>
  <c r="F80" i="8"/>
  <c r="F18" i="8"/>
  <c r="F42" i="8"/>
  <c r="F62" i="8"/>
  <c r="F82" i="8"/>
  <c r="F21" i="8"/>
  <c r="F43" i="8"/>
  <c r="F65" i="8"/>
  <c r="F4" i="8"/>
  <c r="F48" i="8"/>
  <c r="F10" i="8"/>
  <c r="F50" i="8"/>
  <c r="F9" i="8"/>
  <c r="F29" i="8"/>
  <c r="F51" i="8"/>
  <c r="F73" i="8"/>
  <c r="F20" i="8"/>
  <c r="F64" i="8"/>
  <c r="F26" i="8"/>
  <c r="F66" i="8"/>
  <c r="F11" i="8"/>
  <c r="F33" i="8"/>
  <c r="F53" i="8"/>
  <c r="F75" i="8"/>
  <c r="F28" i="8"/>
  <c r="F68" i="8"/>
  <c r="F30" i="8"/>
  <c r="F74" i="8"/>
  <c r="F19" i="8"/>
  <c r="F41" i="8"/>
  <c r="F61" i="8"/>
  <c r="F83" i="8"/>
  <c r="F44" i="8"/>
  <c r="F2" i="8"/>
  <c r="F46" i="8"/>
  <c r="F75" i="5"/>
  <c r="F59" i="5"/>
  <c r="F43" i="5"/>
  <c r="F27" i="5"/>
  <c r="F11" i="5"/>
  <c r="F16" i="5"/>
  <c r="F32" i="5"/>
  <c r="F48" i="5"/>
  <c r="F64" i="5"/>
  <c r="F80" i="5"/>
  <c r="F20" i="5"/>
  <c r="F53" i="5"/>
  <c r="F14" i="5"/>
  <c r="F30" i="5"/>
  <c r="F46" i="5"/>
  <c r="F62" i="5"/>
  <c r="F78" i="5"/>
  <c r="F9" i="5"/>
  <c r="F41" i="5"/>
  <c r="F73" i="5"/>
  <c r="F67" i="5"/>
  <c r="F47" i="5"/>
  <c r="F23" i="5"/>
  <c r="F3" i="5"/>
  <c r="F4" i="5"/>
  <c r="F24" i="5"/>
  <c r="F44" i="5"/>
  <c r="F68" i="5"/>
  <c r="F5" i="5"/>
  <c r="F45" i="5"/>
  <c r="F6" i="5"/>
  <c r="F26" i="5"/>
  <c r="F50" i="5"/>
  <c r="F70" i="5"/>
  <c r="F17" i="5"/>
  <c r="F57" i="5"/>
  <c r="F2" i="5"/>
  <c r="F63" i="5"/>
  <c r="F39" i="5"/>
  <c r="F19" i="5"/>
  <c r="F8" i="5"/>
  <c r="F28" i="5"/>
  <c r="F52" i="5"/>
  <c r="F72" i="5"/>
  <c r="F51" i="5"/>
  <c r="F7" i="5"/>
  <c r="F40" i="5"/>
  <c r="F61" i="5"/>
  <c r="F18" i="5"/>
  <c r="F42" i="5"/>
  <c r="F74" i="5"/>
  <c r="F49" i="5"/>
  <c r="F79" i="5"/>
  <c r="F35" i="5"/>
  <c r="F12" i="5"/>
  <c r="F56" i="5"/>
  <c r="F13" i="5"/>
  <c r="F69" i="5"/>
  <c r="F22" i="5"/>
  <c r="F54" i="5"/>
  <c r="F82" i="5"/>
  <c r="F65" i="5"/>
  <c r="F71" i="5"/>
  <c r="F31" i="5"/>
  <c r="F21" i="5"/>
  <c r="F60" i="5"/>
  <c r="F29" i="5"/>
  <c r="F77" i="5"/>
  <c r="F34" i="5"/>
  <c r="F58" i="5"/>
  <c r="F25" i="5"/>
  <c r="F81" i="5"/>
  <c r="F55" i="5"/>
  <c r="F15" i="5"/>
  <c r="F36" i="5"/>
  <c r="F76" i="5"/>
  <c r="F37" i="5"/>
  <c r="F10" i="5"/>
  <c r="F38" i="5"/>
  <c r="F66" i="5"/>
  <c r="F33" i="5"/>
  <c r="E7" i="8"/>
  <c r="E15" i="8"/>
  <c r="E23" i="8"/>
  <c r="E31" i="8"/>
  <c r="E39" i="8"/>
  <c r="E47" i="8"/>
  <c r="E55" i="8"/>
  <c r="E63" i="8"/>
  <c r="E71" i="8"/>
  <c r="E79" i="8"/>
  <c r="E6" i="8"/>
  <c r="E22" i="8"/>
  <c r="E38" i="8"/>
  <c r="E54" i="8"/>
  <c r="E70" i="8"/>
  <c r="E4" i="8"/>
  <c r="E20" i="8"/>
  <c r="E36" i="8"/>
  <c r="E52" i="8"/>
  <c r="E68" i="8"/>
  <c r="E3" i="8"/>
  <c r="E13" i="8"/>
  <c r="E25" i="8"/>
  <c r="E35" i="8"/>
  <c r="E45" i="8"/>
  <c r="E57" i="8"/>
  <c r="E67" i="8"/>
  <c r="E77" i="8"/>
  <c r="E10" i="8"/>
  <c r="E30" i="8"/>
  <c r="E50" i="8"/>
  <c r="E74" i="8"/>
  <c r="E12" i="8"/>
  <c r="E32" i="8"/>
  <c r="E56" i="8"/>
  <c r="E76" i="8"/>
  <c r="E5" i="8"/>
  <c r="E17" i="8"/>
  <c r="E27" i="8"/>
  <c r="E37" i="8"/>
  <c r="E49" i="8"/>
  <c r="E59" i="8"/>
  <c r="E69" i="8"/>
  <c r="E81" i="8"/>
  <c r="E14" i="8"/>
  <c r="E34" i="8"/>
  <c r="E58" i="8"/>
  <c r="E78" i="8"/>
  <c r="E16" i="8"/>
  <c r="E40" i="8"/>
  <c r="E60" i="8"/>
  <c r="E80" i="8"/>
  <c r="E21" i="8"/>
  <c r="E43" i="8"/>
  <c r="E65" i="8"/>
  <c r="E2" i="8"/>
  <c r="E46" i="8"/>
  <c r="E8" i="8"/>
  <c r="E48" i="8"/>
  <c r="E9" i="8"/>
  <c r="E29" i="8"/>
  <c r="E51" i="8"/>
  <c r="E73" i="8"/>
  <c r="E18" i="8"/>
  <c r="E62" i="8"/>
  <c r="E24" i="8"/>
  <c r="E64" i="8"/>
  <c r="E11" i="8"/>
  <c r="E33" i="8"/>
  <c r="E53" i="8"/>
  <c r="E75" i="8"/>
  <c r="E26" i="8"/>
  <c r="E66" i="8"/>
  <c r="E28" i="8"/>
  <c r="E72" i="8"/>
  <c r="E19" i="8"/>
  <c r="E41" i="8"/>
  <c r="E61" i="8"/>
  <c r="E83" i="8"/>
  <c r="E42" i="8"/>
  <c r="E82" i="8"/>
  <c r="E44" i="8"/>
  <c r="R84" i="5"/>
  <c r="Q13" i="1"/>
  <c r="C13" i="6"/>
  <c r="E69" i="5"/>
  <c r="E68" i="5"/>
  <c r="E4" i="5"/>
  <c r="E49" i="5"/>
  <c r="E17" i="5"/>
  <c r="E44" i="5"/>
  <c r="E29" i="5"/>
  <c r="E3" i="5"/>
  <c r="E78" i="5"/>
  <c r="E62" i="5"/>
  <c r="E46" i="5"/>
  <c r="E30" i="5"/>
  <c r="E14" i="5"/>
  <c r="E15" i="5"/>
  <c r="E31" i="5"/>
  <c r="E47" i="5"/>
  <c r="E63" i="5"/>
  <c r="E24" i="5"/>
  <c r="E56" i="5"/>
  <c r="E20" i="5"/>
  <c r="E5" i="5"/>
  <c r="E21" i="5"/>
  <c r="E41" i="5"/>
  <c r="E76" i="5"/>
  <c r="E45" i="5"/>
  <c r="E81" i="5"/>
  <c r="E66" i="5"/>
  <c r="E42" i="5"/>
  <c r="E22" i="5"/>
  <c r="E2" i="5"/>
  <c r="E11" i="5"/>
  <c r="E35" i="5"/>
  <c r="E55" i="5"/>
  <c r="E77" i="5"/>
  <c r="E16" i="5"/>
  <c r="E64" i="5"/>
  <c r="E53" i="5"/>
  <c r="E37" i="5"/>
  <c r="E73" i="5"/>
  <c r="E33" i="5"/>
  <c r="E60" i="5"/>
  <c r="E61" i="5"/>
  <c r="E36" i="5"/>
  <c r="E9" i="5"/>
  <c r="E70" i="5"/>
  <c r="E38" i="5"/>
  <c r="E10" i="5"/>
  <c r="E23" i="5"/>
  <c r="E51" i="5"/>
  <c r="E32" i="5"/>
  <c r="E80" i="5"/>
  <c r="E65" i="5"/>
  <c r="E28" i="5"/>
  <c r="E13" i="5"/>
  <c r="E75" i="5"/>
  <c r="E58" i="5"/>
  <c r="E34" i="5"/>
  <c r="E6" i="5"/>
  <c r="E27" i="5"/>
  <c r="E59" i="5"/>
  <c r="E40" i="5"/>
  <c r="E57" i="5"/>
  <c r="E12" i="5"/>
  <c r="E79" i="5"/>
  <c r="E82" i="5"/>
  <c r="E54" i="5"/>
  <c r="E26" i="5"/>
  <c r="E7" i="5"/>
  <c r="E39" i="5"/>
  <c r="E67" i="5"/>
  <c r="E48" i="5"/>
  <c r="E52" i="5"/>
  <c r="E25" i="5"/>
  <c r="E74" i="5"/>
  <c r="E50" i="5"/>
  <c r="E18" i="5"/>
  <c r="E19" i="5"/>
  <c r="E43" i="5"/>
  <c r="E71" i="5"/>
  <c r="E8" i="5"/>
  <c r="E72" i="5"/>
  <c r="I15" i="10"/>
  <c r="D5" i="3"/>
  <c r="D13" i="3"/>
  <c r="D21" i="3"/>
  <c r="D29" i="3"/>
  <c r="D37" i="3"/>
  <c r="D45" i="3"/>
  <c r="D53" i="3"/>
  <c r="D61" i="3"/>
  <c r="D2" i="3"/>
  <c r="D10" i="3"/>
  <c r="D18" i="3"/>
  <c r="D26" i="3"/>
  <c r="D34" i="3"/>
  <c r="D42" i="3"/>
  <c r="D50" i="3"/>
  <c r="D58" i="3"/>
  <c r="D66" i="3"/>
  <c r="D7" i="3"/>
  <c r="D15" i="3"/>
  <c r="D23" i="3"/>
  <c r="D31" i="3"/>
  <c r="D39" i="3"/>
  <c r="D47" i="3"/>
  <c r="D55" i="3"/>
  <c r="D63" i="3"/>
  <c r="D4" i="3"/>
  <c r="D12" i="3"/>
  <c r="D20" i="3"/>
  <c r="D28" i="3"/>
  <c r="D36" i="3"/>
  <c r="D44" i="3"/>
  <c r="D52" i="3"/>
  <c r="D60" i="3"/>
  <c r="D68" i="3"/>
  <c r="D9" i="3"/>
  <c r="D17" i="3"/>
  <c r="D25" i="3"/>
  <c r="D33" i="3"/>
  <c r="D41" i="3"/>
  <c r="D49" i="3"/>
  <c r="D57" i="3"/>
  <c r="D65" i="3"/>
  <c r="D6" i="3"/>
  <c r="D14" i="3"/>
  <c r="D22" i="3"/>
  <c r="D30" i="3"/>
  <c r="D38" i="3"/>
  <c r="D46" i="3"/>
  <c r="D54" i="3"/>
  <c r="D62" i="3"/>
  <c r="D3" i="3"/>
  <c r="D11" i="3"/>
  <c r="D19" i="3"/>
  <c r="D27" i="3"/>
  <c r="D35" i="3"/>
  <c r="D43" i="3"/>
  <c r="D51" i="3"/>
  <c r="D59" i="3"/>
  <c r="D67" i="3"/>
  <c r="D8" i="3"/>
  <c r="D16" i="3"/>
  <c r="D24" i="3"/>
  <c r="D32" i="3"/>
  <c r="D40" i="3"/>
  <c r="D48" i="3"/>
  <c r="D56" i="3"/>
  <c r="D64" i="3"/>
  <c r="G36" i="5"/>
  <c r="G67" i="5"/>
  <c r="G42" i="5"/>
  <c r="G60" i="5"/>
  <c r="G65" i="5"/>
  <c r="G21" i="5"/>
  <c r="G3" i="5"/>
  <c r="G19" i="5"/>
  <c r="G35" i="5"/>
  <c r="G51" i="5"/>
  <c r="G5" i="5"/>
  <c r="G37" i="5"/>
  <c r="G9" i="5"/>
  <c r="G80" i="5"/>
  <c r="G62" i="5"/>
  <c r="G30" i="5"/>
  <c r="G24" i="5"/>
  <c r="G56" i="5"/>
  <c r="G77" i="5"/>
  <c r="G50" i="5"/>
  <c r="G70" i="5"/>
  <c r="G44" i="5"/>
  <c r="G58" i="5"/>
  <c r="G23" i="5"/>
  <c r="G43" i="5"/>
  <c r="G63" i="5"/>
  <c r="G45" i="5"/>
  <c r="G41" i="5"/>
  <c r="G68" i="5"/>
  <c r="G22" i="5"/>
  <c r="G16" i="5"/>
  <c r="G64" i="5"/>
  <c r="G34" i="5"/>
  <c r="G10" i="5"/>
  <c r="G28" i="5"/>
  <c r="G26" i="5"/>
  <c r="G52" i="5"/>
  <c r="G71" i="5"/>
  <c r="G75" i="5"/>
  <c r="G15" i="5"/>
  <c r="G47" i="5"/>
  <c r="G20" i="5"/>
  <c r="G25" i="5"/>
  <c r="G54" i="5"/>
  <c r="G6" i="5"/>
  <c r="G8" i="5"/>
  <c r="G69" i="5"/>
  <c r="G74" i="5"/>
  <c r="G12" i="5"/>
  <c r="G27" i="5"/>
  <c r="G55" i="5"/>
  <c r="G29" i="5"/>
  <c r="G57" i="5"/>
  <c r="G46" i="5"/>
  <c r="G32" i="5"/>
  <c r="G73" i="5"/>
  <c r="G2" i="5"/>
  <c r="G82" i="5"/>
  <c r="G49" i="5"/>
  <c r="G4" i="5"/>
  <c r="G33" i="5"/>
  <c r="G78" i="5"/>
  <c r="G7" i="5"/>
  <c r="G31" i="5"/>
  <c r="G59" i="5"/>
  <c r="G53" i="5"/>
  <c r="G76" i="5"/>
  <c r="G38" i="5"/>
  <c r="G40" i="5"/>
  <c r="G81" i="5"/>
  <c r="G18" i="5"/>
  <c r="G17" i="5"/>
  <c r="G79" i="5"/>
  <c r="G11" i="5"/>
  <c r="G39" i="5"/>
  <c r="G13" i="5"/>
  <c r="G61" i="5"/>
  <c r="G72" i="5"/>
  <c r="G14" i="5"/>
  <c r="G48" i="5"/>
  <c r="G66" i="5"/>
  <c r="G2" i="8"/>
  <c r="G10" i="8"/>
  <c r="G18" i="8"/>
  <c r="G26" i="8"/>
  <c r="G34" i="8"/>
  <c r="G42" i="8"/>
  <c r="G50" i="8"/>
  <c r="G58" i="8"/>
  <c r="G66" i="8"/>
  <c r="G13" i="8"/>
  <c r="G29" i="8"/>
  <c r="G45" i="8"/>
  <c r="G61" i="8"/>
  <c r="G73" i="8"/>
  <c r="G81" i="8"/>
  <c r="G23" i="8"/>
  <c r="G55" i="8"/>
  <c r="G78" i="8"/>
  <c r="G19" i="8"/>
  <c r="G51" i="8"/>
  <c r="G76" i="8"/>
  <c r="G6" i="8"/>
  <c r="G16" i="8"/>
  <c r="G28" i="8"/>
  <c r="G38" i="8"/>
  <c r="G48" i="8"/>
  <c r="G60" i="8"/>
  <c r="G5" i="8"/>
  <c r="G25" i="8"/>
  <c r="G49" i="8"/>
  <c r="G69" i="8"/>
  <c r="G79" i="8"/>
  <c r="G31" i="8"/>
  <c r="G70" i="8"/>
  <c r="G11" i="8"/>
  <c r="G59" i="8"/>
  <c r="G8" i="8"/>
  <c r="G20" i="8"/>
  <c r="G30" i="8"/>
  <c r="G40" i="8"/>
  <c r="G52" i="8"/>
  <c r="G62" i="8"/>
  <c r="G9" i="8"/>
  <c r="G33" i="8"/>
  <c r="G53" i="8"/>
  <c r="G71" i="8"/>
  <c r="G83" i="8"/>
  <c r="G39" i="8"/>
  <c r="G74" i="8"/>
  <c r="G27" i="8"/>
  <c r="G67" i="8"/>
  <c r="G14" i="8"/>
  <c r="G36" i="8"/>
  <c r="G56" i="8"/>
  <c r="G21" i="8"/>
  <c r="G65" i="8"/>
  <c r="G15" i="8"/>
  <c r="G3" i="8"/>
  <c r="G80" i="8"/>
  <c r="G22" i="8"/>
  <c r="G44" i="8"/>
  <c r="G64" i="8"/>
  <c r="G37" i="8"/>
  <c r="G75" i="8"/>
  <c r="G47" i="8"/>
  <c r="G35" i="8"/>
  <c r="G4" i="8"/>
  <c r="G24" i="8"/>
  <c r="G46" i="8"/>
  <c r="G68" i="8"/>
  <c r="G41" i="8"/>
  <c r="G77" i="8"/>
  <c r="G63" i="8"/>
  <c r="G43" i="8"/>
  <c r="G12" i="8"/>
  <c r="G32" i="8"/>
  <c r="G54" i="8"/>
  <c r="G17" i="8"/>
  <c r="G57" i="8"/>
  <c r="G7" i="8"/>
  <c r="G82" i="8"/>
  <c r="G72" i="8"/>
  <c r="C9" i="9"/>
  <c r="J9" i="9" s="1"/>
  <c r="C69" i="9"/>
  <c r="J69" i="9" s="1"/>
  <c r="C53" i="9"/>
  <c r="J53" i="9" s="1"/>
  <c r="C37" i="9"/>
  <c r="J37" i="9" s="1"/>
  <c r="C21" i="9"/>
  <c r="J21" i="9" s="1"/>
  <c r="C81" i="9"/>
  <c r="J81" i="9" s="1"/>
  <c r="C61" i="9"/>
  <c r="J61" i="9" s="1"/>
  <c r="C41" i="9"/>
  <c r="J41" i="9" s="1"/>
  <c r="C13" i="9"/>
  <c r="J13" i="9" s="1"/>
  <c r="C75" i="9"/>
  <c r="J75" i="9" s="1"/>
  <c r="C59" i="9"/>
  <c r="J59" i="9" s="1"/>
  <c r="C43" i="9"/>
  <c r="J43" i="9" s="1"/>
  <c r="C27" i="9"/>
  <c r="J27" i="9" s="1"/>
  <c r="C2" i="9"/>
  <c r="J2" i="9" s="1"/>
  <c r="C10" i="9"/>
  <c r="J10" i="9" s="1"/>
  <c r="C18" i="9"/>
  <c r="J18" i="9" s="1"/>
  <c r="C82" i="9"/>
  <c r="J82" i="9" s="1"/>
  <c r="C74" i="9"/>
  <c r="J74" i="9" s="1"/>
  <c r="C66" i="9"/>
  <c r="J66" i="9" s="1"/>
  <c r="C58" i="9"/>
  <c r="J58" i="9" s="1"/>
  <c r="C50" i="9"/>
  <c r="J50" i="9" s="1"/>
  <c r="C42" i="9"/>
  <c r="J42" i="9" s="1"/>
  <c r="C34" i="9"/>
  <c r="J34" i="9" s="1"/>
  <c r="C26" i="9"/>
  <c r="J26" i="9" s="1"/>
  <c r="C15" i="9"/>
  <c r="J15" i="9" s="1"/>
  <c r="C77" i="9"/>
  <c r="J77" i="9" s="1"/>
  <c r="C49" i="9"/>
  <c r="J49" i="9" s="1"/>
  <c r="C25" i="9"/>
  <c r="J25" i="9" s="1"/>
  <c r="C79" i="9"/>
  <c r="J79" i="9" s="1"/>
  <c r="C55" i="9"/>
  <c r="J55" i="9" s="1"/>
  <c r="C35" i="9"/>
  <c r="J35" i="9" s="1"/>
  <c r="C8" i="9"/>
  <c r="J8" i="9" s="1"/>
  <c r="C20" i="9"/>
  <c r="J20" i="9" s="1"/>
  <c r="C76" i="9"/>
  <c r="J76" i="9" s="1"/>
  <c r="C64" i="9"/>
  <c r="J64" i="9" s="1"/>
  <c r="C54" i="9"/>
  <c r="J54" i="9" s="1"/>
  <c r="C44" i="9"/>
  <c r="J44" i="9" s="1"/>
  <c r="C32" i="9"/>
  <c r="J32" i="9" s="1"/>
  <c r="C22" i="9"/>
  <c r="J22" i="9" s="1"/>
  <c r="C3" i="9"/>
  <c r="J3" i="9" s="1"/>
  <c r="C73" i="9"/>
  <c r="J73" i="9" s="1"/>
  <c r="C45" i="9"/>
  <c r="J45" i="9" s="1"/>
  <c r="C5" i="9"/>
  <c r="J5" i="9" s="1"/>
  <c r="C71" i="9"/>
  <c r="J71" i="9" s="1"/>
  <c r="C51" i="9"/>
  <c r="J51" i="9" s="1"/>
  <c r="C31" i="9"/>
  <c r="J31" i="9" s="1"/>
  <c r="C12" i="9"/>
  <c r="J12" i="9" s="1"/>
  <c r="C72" i="9"/>
  <c r="J72" i="9" s="1"/>
  <c r="C62" i="9"/>
  <c r="J62" i="9" s="1"/>
  <c r="C52" i="9"/>
  <c r="J52" i="9" s="1"/>
  <c r="C40" i="9"/>
  <c r="J40" i="9" s="1"/>
  <c r="C30" i="9"/>
  <c r="J30" i="9" s="1"/>
  <c r="C19" i="9"/>
  <c r="J19" i="9" s="1"/>
  <c r="C65" i="9"/>
  <c r="J65" i="9" s="1"/>
  <c r="C33" i="9"/>
  <c r="J33" i="9" s="1"/>
  <c r="C67" i="9"/>
  <c r="J67" i="9" s="1"/>
  <c r="C47" i="9"/>
  <c r="J47" i="9" s="1"/>
  <c r="C23" i="9"/>
  <c r="J23" i="9" s="1"/>
  <c r="C4" i="9"/>
  <c r="J4" i="9" s="1"/>
  <c r="C14" i="9"/>
  <c r="J14" i="9" s="1"/>
  <c r="C80" i="9"/>
  <c r="J80" i="9" s="1"/>
  <c r="C70" i="9"/>
  <c r="J70" i="9" s="1"/>
  <c r="C60" i="9"/>
  <c r="J60" i="9" s="1"/>
  <c r="C48" i="9"/>
  <c r="J48" i="9" s="1"/>
  <c r="C38" i="9"/>
  <c r="J38" i="9" s="1"/>
  <c r="C28" i="9"/>
  <c r="J28" i="9" s="1"/>
  <c r="C11" i="9"/>
  <c r="J11" i="9" s="1"/>
  <c r="C57" i="9"/>
  <c r="J57" i="9" s="1"/>
  <c r="C29" i="9"/>
  <c r="J29" i="9" s="1"/>
  <c r="C63" i="9"/>
  <c r="J63" i="9" s="1"/>
  <c r="C39" i="9"/>
  <c r="J39" i="9" s="1"/>
  <c r="C17" i="9"/>
  <c r="J17" i="9" s="1"/>
  <c r="C6" i="9"/>
  <c r="J6" i="9" s="1"/>
  <c r="C16" i="9"/>
  <c r="J16" i="9" s="1"/>
  <c r="C78" i="9"/>
  <c r="J78" i="9" s="1"/>
  <c r="C68" i="9"/>
  <c r="J68" i="9" s="1"/>
  <c r="C56" i="9"/>
  <c r="J56" i="9" s="1"/>
  <c r="C46" i="9"/>
  <c r="J46" i="9" s="1"/>
  <c r="C36" i="9"/>
  <c r="J36" i="9" s="1"/>
  <c r="C24" i="9"/>
  <c r="J24" i="9" s="1"/>
  <c r="C7" i="9"/>
  <c r="J7" i="9" s="1"/>
  <c r="J84" i="9"/>
  <c r="P13" i="1"/>
  <c r="O13" i="1"/>
  <c r="P8" i="1"/>
  <c r="O8" i="1"/>
  <c r="I12" i="8" l="1"/>
  <c r="I56" i="8"/>
  <c r="R58" i="5"/>
  <c r="R18" i="5"/>
  <c r="R72" i="5"/>
  <c r="R64" i="3"/>
  <c r="R80" i="5"/>
  <c r="R39" i="5"/>
  <c r="R22" i="5"/>
  <c r="R75" i="5"/>
  <c r="R11" i="5"/>
  <c r="R7" i="5"/>
  <c r="I3" i="8"/>
  <c r="I70" i="8"/>
  <c r="I61" i="8"/>
  <c r="I71" i="8"/>
  <c r="R20" i="5"/>
  <c r="R24" i="3"/>
  <c r="I49" i="8"/>
  <c r="I44" i="8"/>
  <c r="R15" i="5"/>
  <c r="R32" i="5"/>
  <c r="R35" i="5"/>
  <c r="R21" i="5"/>
  <c r="R13" i="5"/>
  <c r="R12" i="5"/>
  <c r="R47" i="5"/>
  <c r="R6" i="5"/>
  <c r="R62" i="5"/>
  <c r="R67" i="5"/>
  <c r="R52" i="5"/>
  <c r="R2" i="5"/>
  <c r="R68" i="5"/>
  <c r="R49" i="3"/>
  <c r="R17" i="3"/>
  <c r="R52" i="3"/>
  <c r="R20" i="3"/>
  <c r="R55" i="3"/>
  <c r="R23" i="3"/>
  <c r="R58" i="3"/>
  <c r="R26" i="3"/>
  <c r="R61" i="3"/>
  <c r="R29" i="3"/>
  <c r="R32" i="3"/>
  <c r="R43" i="3"/>
  <c r="R11" i="3"/>
  <c r="R46" i="3"/>
  <c r="R14" i="3"/>
  <c r="I45" i="8"/>
  <c r="I42" i="8"/>
  <c r="I75" i="8"/>
  <c r="I33" i="8"/>
  <c r="I28" i="8"/>
  <c r="I19" i="8"/>
  <c r="I58" i="8"/>
  <c r="I14" i="8"/>
  <c r="I59" i="8"/>
  <c r="I17" i="8"/>
  <c r="I54" i="8"/>
  <c r="I39" i="8"/>
  <c r="I7" i="8"/>
  <c r="I24" i="8"/>
  <c r="R48" i="5"/>
  <c r="R33" i="5"/>
  <c r="R50" i="5"/>
  <c r="R14" i="5"/>
  <c r="R63" i="5"/>
  <c r="R28" i="5"/>
  <c r="R27" i="5"/>
  <c r="R10" i="5"/>
  <c r="R4" i="5"/>
  <c r="R57" i="5"/>
  <c r="R5" i="5"/>
  <c r="R24" i="5"/>
  <c r="R66" i="5"/>
  <c r="R69" i="5"/>
  <c r="R9" i="5"/>
  <c r="R54" i="5"/>
  <c r="R59" i="5"/>
  <c r="R23" i="5"/>
  <c r="R45" i="5"/>
  <c r="R8" i="5"/>
  <c r="R41" i="3"/>
  <c r="R9" i="3"/>
  <c r="R44" i="3"/>
  <c r="R12" i="3"/>
  <c r="R47" i="3"/>
  <c r="R15" i="3"/>
  <c r="R50" i="3"/>
  <c r="R18" i="3"/>
  <c r="R53" i="3"/>
  <c r="R21" i="3"/>
  <c r="R56" i="3"/>
  <c r="R67" i="3"/>
  <c r="R35" i="3"/>
  <c r="R3" i="3"/>
  <c r="R38" i="3"/>
  <c r="R6" i="3"/>
  <c r="I77" i="8"/>
  <c r="I35" i="8"/>
  <c r="I74" i="8"/>
  <c r="I30" i="8"/>
  <c r="I65" i="8"/>
  <c r="I21" i="8"/>
  <c r="I60" i="8"/>
  <c r="I18" i="8"/>
  <c r="I51" i="8"/>
  <c r="I9" i="8"/>
  <c r="I46" i="8"/>
  <c r="I4" i="8"/>
  <c r="I5" i="8"/>
  <c r="I2" i="8"/>
  <c r="I63" i="8"/>
  <c r="I31" i="8"/>
  <c r="I80" i="8"/>
  <c r="I48" i="8"/>
  <c r="I16" i="8"/>
  <c r="R41" i="5"/>
  <c r="R44" i="5"/>
  <c r="R55" i="5"/>
  <c r="R42" i="5"/>
  <c r="R3" i="5"/>
  <c r="R73" i="5"/>
  <c r="R51" i="5"/>
  <c r="R40" i="5"/>
  <c r="R38" i="5"/>
  <c r="R81" i="5"/>
  <c r="R43" i="5"/>
  <c r="R78" i="5"/>
  <c r="R25" i="5"/>
  <c r="R64" i="5"/>
  <c r="R61" i="5"/>
  <c r="R82" i="5"/>
  <c r="R46" i="5"/>
  <c r="R19" i="5"/>
  <c r="R71" i="5"/>
  <c r="R65" i="3"/>
  <c r="R33" i="3"/>
  <c r="R68" i="3"/>
  <c r="R36" i="3"/>
  <c r="R4" i="3"/>
  <c r="R39" i="3"/>
  <c r="R7" i="3"/>
  <c r="R42" i="3"/>
  <c r="R10" i="3"/>
  <c r="R45" i="3"/>
  <c r="R13" i="3"/>
  <c r="R48" i="3"/>
  <c r="R16" i="3"/>
  <c r="R59" i="3"/>
  <c r="R27" i="3"/>
  <c r="R62" i="3"/>
  <c r="R30" i="3"/>
  <c r="J92" i="9"/>
  <c r="J91" i="9"/>
  <c r="J90" i="9"/>
  <c r="I67" i="8"/>
  <c r="I25" i="8"/>
  <c r="I62" i="8"/>
  <c r="I20" i="8"/>
  <c r="I53" i="8"/>
  <c r="I11" i="8"/>
  <c r="I50" i="8"/>
  <c r="I6" i="8"/>
  <c r="I41" i="8"/>
  <c r="I78" i="8"/>
  <c r="I36" i="8"/>
  <c r="I83" i="8"/>
  <c r="I37" i="8"/>
  <c r="I76" i="8"/>
  <c r="I34" i="8"/>
  <c r="I81" i="8"/>
  <c r="I55" i="8"/>
  <c r="I23" i="8"/>
  <c r="I72" i="8"/>
  <c r="I40" i="8"/>
  <c r="I8" i="8"/>
  <c r="R30" i="5"/>
  <c r="R31" i="5"/>
  <c r="R56" i="5"/>
  <c r="R49" i="5"/>
  <c r="R17" i="5"/>
  <c r="R26" i="5"/>
  <c r="R53" i="5"/>
  <c r="R37" i="5"/>
  <c r="R36" i="5"/>
  <c r="R16" i="5"/>
  <c r="R76" i="5"/>
  <c r="R65" i="5"/>
  <c r="R29" i="5"/>
  <c r="R70" i="5"/>
  <c r="R77" i="5"/>
  <c r="R60" i="5"/>
  <c r="R74" i="5"/>
  <c r="R34" i="5"/>
  <c r="R79" i="5"/>
  <c r="R57" i="3"/>
  <c r="R25" i="3"/>
  <c r="R60" i="3"/>
  <c r="R28" i="3"/>
  <c r="R63" i="3"/>
  <c r="R31" i="3"/>
  <c r="R66" i="3"/>
  <c r="R34" i="3"/>
  <c r="R2" i="3"/>
  <c r="R37" i="3"/>
  <c r="R5" i="3"/>
  <c r="R40" i="3"/>
  <c r="R8" i="3"/>
  <c r="R51" i="3"/>
  <c r="R19" i="3"/>
  <c r="R54" i="3"/>
  <c r="R22" i="3"/>
  <c r="I57" i="8"/>
  <c r="I13" i="8"/>
  <c r="I52" i="8"/>
  <c r="I10" i="8"/>
  <c r="I43" i="8"/>
  <c r="I82" i="8"/>
  <c r="I38" i="8"/>
  <c r="I73" i="8"/>
  <c r="I29" i="8"/>
  <c r="I68" i="8"/>
  <c r="I26" i="8"/>
  <c r="I69" i="8"/>
  <c r="I27" i="8"/>
  <c r="I66" i="8"/>
  <c r="I22" i="8"/>
  <c r="I79" i="8"/>
  <c r="I47" i="8"/>
  <c r="I15" i="8"/>
  <c r="I64" i="8"/>
  <c r="I32" i="8"/>
  <c r="D37" i="1" l="1"/>
  <c r="H2" i="1" l="1"/>
  <c r="H17" i="1" l="1"/>
  <c r="I17" i="1"/>
  <c r="R17" i="1" s="1"/>
  <c r="D17" i="6" l="1"/>
  <c r="J17" i="6" s="1"/>
  <c r="T17" i="1"/>
  <c r="I3" i="1"/>
  <c r="I6" i="1"/>
  <c r="I2" i="1"/>
  <c r="I4" i="1"/>
  <c r="X17" i="1"/>
  <c r="I5" i="1"/>
  <c r="N17" i="1"/>
  <c r="Q17" i="1" l="1"/>
  <c r="O17" i="1"/>
  <c r="P17" i="1"/>
  <c r="C17" i="6"/>
  <c r="T5" i="1"/>
  <c r="N5" i="1"/>
  <c r="D5" i="10"/>
  <c r="E5" i="10"/>
  <c r="F92" i="4" s="1"/>
  <c r="R5" i="1"/>
  <c r="C5" i="10" s="1"/>
  <c r="X5" i="1"/>
  <c r="D5" i="6"/>
  <c r="J5" i="6" s="1"/>
  <c r="F70" i="2" s="1"/>
  <c r="R3" i="1"/>
  <c r="C3" i="10" s="1"/>
  <c r="T3" i="1"/>
  <c r="Y3" i="1" s="1"/>
  <c r="D3" i="10"/>
  <c r="D3" i="6"/>
  <c r="J3" i="6" s="1"/>
  <c r="D70" i="2" s="1"/>
  <c r="E3" i="10"/>
  <c r="D92" i="4" s="1"/>
  <c r="N3" i="1"/>
  <c r="X3" i="1"/>
  <c r="N4" i="1"/>
  <c r="E4" i="10"/>
  <c r="E92" i="4" s="1"/>
  <c r="D4" i="6"/>
  <c r="J4" i="6" s="1"/>
  <c r="E70" i="2" s="1"/>
  <c r="D4" i="10"/>
  <c r="T4" i="1"/>
  <c r="J22" i="1" s="1"/>
  <c r="D22" i="1"/>
  <c r="K21" i="1" s="1"/>
  <c r="R4" i="1"/>
  <c r="C4" i="10" s="1"/>
  <c r="X4" i="1"/>
  <c r="K22" i="1" s="1"/>
  <c r="X2" i="1"/>
  <c r="T2" i="1"/>
  <c r="R2" i="1"/>
  <c r="C2" i="10" s="1"/>
  <c r="D2" i="10"/>
  <c r="D2" i="6"/>
  <c r="J2" i="6" s="1"/>
  <c r="C70" i="2" s="1"/>
  <c r="E2" i="10"/>
  <c r="N2" i="1"/>
  <c r="N6" i="1"/>
  <c r="R6" i="1"/>
  <c r="C6" i="10" s="1"/>
  <c r="X6" i="1"/>
  <c r="D6" i="10"/>
  <c r="D6" i="6"/>
  <c r="J6" i="6" s="1"/>
  <c r="G70" i="2" s="1"/>
  <c r="G14" i="2" s="1"/>
  <c r="T6" i="1"/>
  <c r="Y6" i="1" s="1"/>
  <c r="E6" i="10"/>
  <c r="G92" i="4" s="1"/>
  <c r="Y17" i="1"/>
  <c r="C10" i="2" l="1"/>
  <c r="C6" i="2"/>
  <c r="C15" i="10"/>
  <c r="C92" i="4"/>
  <c r="E15" i="10"/>
  <c r="G99" i="4"/>
  <c r="F6" i="10"/>
  <c r="D35" i="2"/>
  <c r="D41" i="2"/>
  <c r="D44" i="2"/>
  <c r="D12" i="2"/>
  <c r="D65" i="2"/>
  <c r="D53" i="2"/>
  <c r="D50" i="2"/>
  <c r="D18" i="2"/>
  <c r="D19" i="2"/>
  <c r="D60" i="2"/>
  <c r="D56" i="2"/>
  <c r="D24" i="2"/>
  <c r="D8" i="2"/>
  <c r="D9" i="2"/>
  <c r="D36" i="2"/>
  <c r="D3" i="2"/>
  <c r="D61" i="2"/>
  <c r="D33" i="2"/>
  <c r="D42" i="2"/>
  <c r="D2" i="2"/>
  <c r="D17" i="2"/>
  <c r="D48" i="2"/>
  <c r="D54" i="2"/>
  <c r="D67" i="2"/>
  <c r="D28" i="2"/>
  <c r="D22" i="2"/>
  <c r="D58" i="2"/>
  <c r="D46" i="2"/>
  <c r="D20" i="2"/>
  <c r="D29" i="2"/>
  <c r="D51" i="2"/>
  <c r="D15" i="2"/>
  <c r="D5" i="2"/>
  <c r="D55" i="2"/>
  <c r="D66" i="2"/>
  <c r="D40" i="2"/>
  <c r="D64" i="2"/>
  <c r="D39" i="2"/>
  <c r="D31" i="2"/>
  <c r="D21" i="2"/>
  <c r="D34" i="2"/>
  <c r="D25" i="2"/>
  <c r="D23" i="2"/>
  <c r="D11" i="2"/>
  <c r="D59" i="2"/>
  <c r="D47" i="2"/>
  <c r="D10" i="2"/>
  <c r="D16" i="2"/>
  <c r="D45" i="2"/>
  <c r="D37" i="2"/>
  <c r="D7" i="2"/>
  <c r="D32" i="2"/>
  <c r="D63" i="2"/>
  <c r="D4" i="2"/>
  <c r="D43" i="2"/>
  <c r="D57" i="2"/>
  <c r="D68" i="2"/>
  <c r="D13" i="2"/>
  <c r="D52" i="2"/>
  <c r="D62" i="2"/>
  <c r="D38" i="2"/>
  <c r="D30" i="2"/>
  <c r="D14" i="2"/>
  <c r="D49" i="2"/>
  <c r="D26" i="2"/>
  <c r="D6" i="2"/>
  <c r="D27" i="2"/>
  <c r="F2" i="10"/>
  <c r="D15" i="10"/>
  <c r="C99" i="4"/>
  <c r="F3" i="10"/>
  <c r="D99" i="4"/>
  <c r="C5" i="2"/>
  <c r="C47" i="2"/>
  <c r="C62" i="2"/>
  <c r="C41" i="2"/>
  <c r="C50" i="2"/>
  <c r="C59" i="2"/>
  <c r="C66" i="2"/>
  <c r="C17" i="2"/>
  <c r="C46" i="2"/>
  <c r="C45" i="2"/>
  <c r="C21" i="2"/>
  <c r="C24" i="2"/>
  <c r="C25" i="2"/>
  <c r="C37" i="2"/>
  <c r="C64" i="2"/>
  <c r="C22" i="2"/>
  <c r="C14" i="2"/>
  <c r="C13" i="2"/>
  <c r="C39" i="2"/>
  <c r="C67" i="2"/>
  <c r="C65" i="2"/>
  <c r="C19" i="2"/>
  <c r="C51" i="2"/>
  <c r="C2" i="2"/>
  <c r="C18" i="2"/>
  <c r="C36" i="2"/>
  <c r="C53" i="2"/>
  <c r="C26" i="2"/>
  <c r="C33" i="2"/>
  <c r="C44" i="2"/>
  <c r="C11" i="2"/>
  <c r="C56" i="2"/>
  <c r="C43" i="2"/>
  <c r="C12" i="2"/>
  <c r="C35" i="2"/>
  <c r="C52" i="2"/>
  <c r="C32" i="2"/>
  <c r="C48" i="2"/>
  <c r="C34" i="2"/>
  <c r="C3" i="2"/>
  <c r="C15" i="2"/>
  <c r="C4" i="2"/>
  <c r="C60" i="2"/>
  <c r="C49" i="2"/>
  <c r="C55" i="2"/>
  <c r="C38" i="2"/>
  <c r="C27" i="2"/>
  <c r="C57" i="2"/>
  <c r="C23" i="2"/>
  <c r="C20" i="2"/>
  <c r="C54" i="2"/>
  <c r="C8" i="2"/>
  <c r="P70" i="2"/>
  <c r="C40" i="2"/>
  <c r="C30" i="2"/>
  <c r="C61" i="2"/>
  <c r="C9" i="2"/>
  <c r="C42" i="2"/>
  <c r="C16" i="2"/>
  <c r="C63" i="2"/>
  <c r="C68" i="2"/>
  <c r="C58" i="2"/>
  <c r="C29" i="2"/>
  <c r="C28" i="2"/>
  <c r="C31" i="2"/>
  <c r="C7" i="2"/>
  <c r="G77" i="4"/>
  <c r="G18" i="4"/>
  <c r="G38" i="4"/>
  <c r="G28" i="4"/>
  <c r="G5" i="4"/>
  <c r="G45" i="4"/>
  <c r="G69" i="4"/>
  <c r="G63" i="4"/>
  <c r="G43" i="4"/>
  <c r="G36" i="4"/>
  <c r="G56" i="4"/>
  <c r="G24" i="4"/>
  <c r="G19" i="4"/>
  <c r="G31" i="4"/>
  <c r="G78" i="4"/>
  <c r="G75" i="4"/>
  <c r="G50" i="4"/>
  <c r="G83" i="4"/>
  <c r="G86" i="4"/>
  <c r="G68" i="4"/>
  <c r="G15" i="4"/>
  <c r="G89" i="4"/>
  <c r="G32" i="4"/>
  <c r="G47" i="4"/>
  <c r="G21" i="4"/>
  <c r="G49" i="4"/>
  <c r="G88" i="4"/>
  <c r="G46" i="4"/>
  <c r="G35" i="4"/>
  <c r="G79" i="4"/>
  <c r="G16" i="4"/>
  <c r="G73" i="4"/>
  <c r="G87" i="4"/>
  <c r="G13" i="4"/>
  <c r="G71" i="4"/>
  <c r="G44" i="4"/>
  <c r="G34" i="4"/>
  <c r="G11" i="4"/>
  <c r="G8" i="4"/>
  <c r="G81" i="4"/>
  <c r="G29" i="4"/>
  <c r="G65" i="4"/>
  <c r="G25" i="4"/>
  <c r="G61" i="4"/>
  <c r="G2" i="4"/>
  <c r="G3" i="4"/>
  <c r="G41" i="4"/>
  <c r="G84" i="4"/>
  <c r="G72" i="4"/>
  <c r="G27" i="4"/>
  <c r="G40" i="4"/>
  <c r="G12" i="4"/>
  <c r="G55" i="4"/>
  <c r="G82" i="4"/>
  <c r="G80" i="4"/>
  <c r="G42" i="4"/>
  <c r="G6" i="4"/>
  <c r="G53" i="4"/>
  <c r="G37" i="4"/>
  <c r="G9" i="4"/>
  <c r="G33" i="4"/>
  <c r="G70" i="4"/>
  <c r="G7" i="4"/>
  <c r="G26" i="4"/>
  <c r="G4" i="4"/>
  <c r="G22" i="4"/>
  <c r="G62" i="4"/>
  <c r="G76" i="4"/>
  <c r="G60" i="4"/>
  <c r="G48" i="4"/>
  <c r="G54" i="4"/>
  <c r="G39" i="4"/>
  <c r="G10" i="4"/>
  <c r="G74" i="4"/>
  <c r="G58" i="4"/>
  <c r="G90" i="4"/>
  <c r="G52" i="4"/>
  <c r="G67" i="4"/>
  <c r="G59" i="4"/>
  <c r="G64" i="4"/>
  <c r="G51" i="4"/>
  <c r="G20" i="4"/>
  <c r="G17" i="4"/>
  <c r="G57" i="4"/>
  <c r="G30" i="4"/>
  <c r="G14" i="4"/>
  <c r="G66" i="4"/>
  <c r="G85" i="4"/>
  <c r="G23" i="4"/>
  <c r="F26" i="4"/>
  <c r="F10" i="4"/>
  <c r="F8" i="4"/>
  <c r="F16" i="4"/>
  <c r="F5" i="4"/>
  <c r="F20" i="4"/>
  <c r="F38" i="4"/>
  <c r="F64" i="4"/>
  <c r="F53" i="4"/>
  <c r="F36" i="4"/>
  <c r="F71" i="4"/>
  <c r="F31" i="4"/>
  <c r="F41" i="4"/>
  <c r="F23" i="4"/>
  <c r="F73" i="4"/>
  <c r="F21" i="4"/>
  <c r="F60" i="4"/>
  <c r="F54" i="4"/>
  <c r="F58" i="4"/>
  <c r="F45" i="4"/>
  <c r="F87" i="4"/>
  <c r="F40" i="4"/>
  <c r="F28" i="4"/>
  <c r="F46" i="4"/>
  <c r="F56" i="4"/>
  <c r="F6" i="4"/>
  <c r="F90" i="4"/>
  <c r="F61" i="4"/>
  <c r="F72" i="4"/>
  <c r="F22" i="4"/>
  <c r="F15" i="4"/>
  <c r="F86" i="4"/>
  <c r="F17" i="4"/>
  <c r="F11" i="4"/>
  <c r="F24" i="4"/>
  <c r="F25" i="4"/>
  <c r="F70" i="4"/>
  <c r="F88" i="4"/>
  <c r="F89" i="4"/>
  <c r="F49" i="4"/>
  <c r="F83" i="4"/>
  <c r="F44" i="4"/>
  <c r="F65" i="4"/>
  <c r="F42" i="4"/>
  <c r="F19" i="4"/>
  <c r="F68" i="4"/>
  <c r="F52" i="4"/>
  <c r="F12" i="4"/>
  <c r="F77" i="4"/>
  <c r="F51" i="4"/>
  <c r="F81" i="4"/>
  <c r="F29" i="4"/>
  <c r="F48" i="4"/>
  <c r="F85" i="4"/>
  <c r="F57" i="4"/>
  <c r="F66" i="4"/>
  <c r="F9" i="4"/>
  <c r="F82" i="4"/>
  <c r="F34" i="4"/>
  <c r="F75" i="4"/>
  <c r="F14" i="4"/>
  <c r="F67" i="4"/>
  <c r="F33" i="4"/>
  <c r="F50" i="4"/>
  <c r="F30" i="4"/>
  <c r="F7" i="4"/>
  <c r="F69" i="4"/>
  <c r="F18" i="4"/>
  <c r="F80" i="4"/>
  <c r="F62" i="4"/>
  <c r="F74" i="4"/>
  <c r="F2" i="4"/>
  <c r="F76" i="4"/>
  <c r="F63" i="4"/>
  <c r="F13" i="4"/>
  <c r="F78" i="4"/>
  <c r="F47" i="4"/>
  <c r="F27" i="4"/>
  <c r="F32" i="4"/>
  <c r="F3" i="4"/>
  <c r="F59" i="4"/>
  <c r="F4" i="4"/>
  <c r="F43" i="4"/>
  <c r="F55" i="4"/>
  <c r="F79" i="4"/>
  <c r="F84" i="4"/>
  <c r="F35" i="4"/>
  <c r="F37" i="4"/>
  <c r="F39" i="4"/>
  <c r="G16" i="2"/>
  <c r="G45" i="2"/>
  <c r="G3" i="2"/>
  <c r="G12" i="2"/>
  <c r="G32" i="2"/>
  <c r="G67" i="2"/>
  <c r="G18" i="2"/>
  <c r="G9" i="2"/>
  <c r="G24" i="2"/>
  <c r="G30" i="2"/>
  <c r="G20" i="2"/>
  <c r="G43" i="2"/>
  <c r="G15" i="2"/>
  <c r="G36" i="2"/>
  <c r="G4" i="2"/>
  <c r="G55" i="2"/>
  <c r="G65" i="2"/>
  <c r="G58" i="2"/>
  <c r="G27" i="2"/>
  <c r="G44" i="2"/>
  <c r="G42" i="2"/>
  <c r="G33" i="2"/>
  <c r="G26" i="2"/>
  <c r="G49" i="2"/>
  <c r="G7" i="2"/>
  <c r="G19" i="2"/>
  <c r="G59" i="2"/>
  <c r="G6" i="2"/>
  <c r="G28" i="2"/>
  <c r="G46" i="2"/>
  <c r="G40" i="2"/>
  <c r="G56" i="2"/>
  <c r="G62" i="2"/>
  <c r="G39" i="2"/>
  <c r="G68" i="2"/>
  <c r="G25" i="2"/>
  <c r="G31" i="2"/>
  <c r="G10" i="2"/>
  <c r="G61" i="2"/>
  <c r="G13" i="2"/>
  <c r="G38" i="2"/>
  <c r="G2" i="2"/>
  <c r="G11" i="2"/>
  <c r="G29" i="2"/>
  <c r="G52" i="2"/>
  <c r="G51" i="2"/>
  <c r="G5" i="2"/>
  <c r="G35" i="2"/>
  <c r="G48" i="2"/>
  <c r="G41" i="2"/>
  <c r="G47" i="2"/>
  <c r="G8" i="2"/>
  <c r="G63" i="2"/>
  <c r="G66" i="2"/>
  <c r="G17" i="2"/>
  <c r="G23" i="2"/>
  <c r="G60" i="2"/>
  <c r="G21" i="2"/>
  <c r="G54" i="2"/>
  <c r="G57" i="2"/>
  <c r="G37" i="2"/>
  <c r="G53" i="2"/>
  <c r="G50" i="2"/>
  <c r="G22" i="2"/>
  <c r="G34" i="2"/>
  <c r="G64" i="2"/>
  <c r="Q5" i="1"/>
  <c r="O5" i="1"/>
  <c r="P5" i="1"/>
  <c r="C5" i="6"/>
  <c r="Y5" i="1"/>
  <c r="Q4" i="1"/>
  <c r="C4" i="6"/>
  <c r="P4" i="1"/>
  <c r="O4" i="1"/>
  <c r="D23" i="1" s="1"/>
  <c r="J21" i="1" s="1"/>
  <c r="O6" i="1"/>
  <c r="C6" i="6"/>
  <c r="P6" i="1"/>
  <c r="Q6" i="1"/>
  <c r="D82" i="4"/>
  <c r="D56" i="4"/>
  <c r="D38" i="4"/>
  <c r="D6" i="4"/>
  <c r="D9" i="4"/>
  <c r="D12" i="4"/>
  <c r="D34" i="4"/>
  <c r="D30" i="4"/>
  <c r="D10" i="4"/>
  <c r="D45" i="4"/>
  <c r="D84" i="4"/>
  <c r="D32" i="4"/>
  <c r="D11" i="4"/>
  <c r="D54" i="4"/>
  <c r="D29" i="4"/>
  <c r="D31" i="4"/>
  <c r="D28" i="4"/>
  <c r="D85" i="4"/>
  <c r="D50" i="4"/>
  <c r="D68" i="4"/>
  <c r="D62" i="4"/>
  <c r="D51" i="4"/>
  <c r="D90" i="4"/>
  <c r="D43" i="4"/>
  <c r="D19" i="4"/>
  <c r="D63" i="4"/>
  <c r="D15" i="4"/>
  <c r="D52" i="4"/>
  <c r="D16" i="4"/>
  <c r="D55" i="4"/>
  <c r="D21" i="4"/>
  <c r="D25" i="4"/>
  <c r="D27" i="4"/>
  <c r="D4" i="4"/>
  <c r="D65" i="4"/>
  <c r="D80" i="4"/>
  <c r="D60" i="4"/>
  <c r="D13" i="4"/>
  <c r="D89" i="4"/>
  <c r="D35" i="4"/>
  <c r="D42" i="4"/>
  <c r="D66" i="4"/>
  <c r="D41" i="4"/>
  <c r="D46" i="4"/>
  <c r="D74" i="4"/>
  <c r="D8" i="4"/>
  <c r="D23" i="4"/>
  <c r="D81" i="4"/>
  <c r="D2" i="4"/>
  <c r="D76" i="4"/>
  <c r="D36" i="4"/>
  <c r="D83" i="4"/>
  <c r="D26" i="4"/>
  <c r="D5" i="4"/>
  <c r="D71" i="4"/>
  <c r="D39" i="4"/>
  <c r="D14" i="4"/>
  <c r="D78" i="4"/>
  <c r="D48" i="4"/>
  <c r="D47" i="4"/>
  <c r="D69" i="4"/>
  <c r="D86" i="4"/>
  <c r="D77" i="4"/>
  <c r="D87" i="4"/>
  <c r="D37" i="4"/>
  <c r="D7" i="4"/>
  <c r="D18" i="4"/>
  <c r="D33" i="4"/>
  <c r="D22" i="4"/>
  <c r="D64" i="4"/>
  <c r="D70" i="4"/>
  <c r="D75" i="4"/>
  <c r="D61" i="4"/>
  <c r="D3" i="4"/>
  <c r="D20" i="4"/>
  <c r="D73" i="4"/>
  <c r="D17" i="4"/>
  <c r="D88" i="4"/>
  <c r="D72" i="4"/>
  <c r="D59" i="4"/>
  <c r="D58" i="4"/>
  <c r="D53" i="4"/>
  <c r="D79" i="4"/>
  <c r="D24" i="4"/>
  <c r="D49" i="4"/>
  <c r="D67" i="4"/>
  <c r="D44" i="4"/>
  <c r="D57" i="4"/>
  <c r="D40" i="4"/>
  <c r="Y2" i="1"/>
  <c r="F58" i="2"/>
  <c r="F30" i="2"/>
  <c r="F4" i="2"/>
  <c r="F50" i="2"/>
  <c r="F59" i="2"/>
  <c r="F46" i="2"/>
  <c r="F36" i="2"/>
  <c r="F10" i="2"/>
  <c r="F22" i="2"/>
  <c r="F68" i="2"/>
  <c r="F15" i="2"/>
  <c r="F42" i="2"/>
  <c r="F38" i="2"/>
  <c r="F55" i="2"/>
  <c r="F40" i="2"/>
  <c r="F20" i="2"/>
  <c r="F21" i="2"/>
  <c r="F13" i="2"/>
  <c r="F60" i="2"/>
  <c r="F37" i="2"/>
  <c r="F25" i="2"/>
  <c r="F52" i="2"/>
  <c r="F49" i="2"/>
  <c r="F39" i="2"/>
  <c r="F51" i="2"/>
  <c r="F8" i="2"/>
  <c r="F9" i="2"/>
  <c r="F45" i="2"/>
  <c r="F24" i="2"/>
  <c r="F19" i="2"/>
  <c r="F48" i="2"/>
  <c r="F61" i="2"/>
  <c r="F27" i="2"/>
  <c r="F57" i="2"/>
  <c r="F14" i="2"/>
  <c r="F43" i="2"/>
  <c r="F23" i="2"/>
  <c r="F47" i="2"/>
  <c r="F7" i="2"/>
  <c r="F33" i="2"/>
  <c r="F63" i="2"/>
  <c r="F35" i="2"/>
  <c r="F2" i="2"/>
  <c r="F54" i="2"/>
  <c r="F29" i="2"/>
  <c r="F11" i="2"/>
  <c r="F12" i="2"/>
  <c r="F34" i="2"/>
  <c r="F6" i="2"/>
  <c r="F17" i="2"/>
  <c r="F64" i="2"/>
  <c r="F41" i="2"/>
  <c r="F31" i="2"/>
  <c r="F65" i="2"/>
  <c r="F18" i="2"/>
  <c r="F16" i="2"/>
  <c r="F28" i="2"/>
  <c r="F44" i="2"/>
  <c r="F62" i="2"/>
  <c r="F5" i="2"/>
  <c r="F32" i="2"/>
  <c r="F67" i="2"/>
  <c r="F26" i="2"/>
  <c r="F66" i="2"/>
  <c r="F53" i="2"/>
  <c r="F3" i="2"/>
  <c r="F56" i="2"/>
  <c r="Y4" i="1"/>
  <c r="D38" i="1" s="1"/>
  <c r="F99" i="4"/>
  <c r="F5" i="10"/>
  <c r="E99" i="4"/>
  <c r="F4" i="10"/>
  <c r="E4" i="2"/>
  <c r="E12" i="2"/>
  <c r="E14" i="2"/>
  <c r="E54" i="2"/>
  <c r="E20" i="2"/>
  <c r="E15" i="2"/>
  <c r="E40" i="2"/>
  <c r="E36" i="2"/>
  <c r="E5" i="2"/>
  <c r="E28" i="2"/>
  <c r="E67" i="2"/>
  <c r="E42" i="2"/>
  <c r="E45" i="2"/>
  <c r="E11" i="2"/>
  <c r="E10" i="2"/>
  <c r="E34" i="2"/>
  <c r="E49" i="2"/>
  <c r="E17" i="2"/>
  <c r="E22" i="2"/>
  <c r="E55" i="2"/>
  <c r="E60" i="2"/>
  <c r="E53" i="2"/>
  <c r="E9" i="2"/>
  <c r="E7" i="2"/>
  <c r="E27" i="2"/>
  <c r="E25" i="2"/>
  <c r="E38" i="2"/>
  <c r="E24" i="2"/>
  <c r="E26" i="2"/>
  <c r="E29" i="2"/>
  <c r="E59" i="2"/>
  <c r="E52" i="2"/>
  <c r="E13" i="2"/>
  <c r="E48" i="2"/>
  <c r="E68" i="2"/>
  <c r="E56" i="2"/>
  <c r="E65" i="2"/>
  <c r="E47" i="2"/>
  <c r="E39" i="2"/>
  <c r="E32" i="2"/>
  <c r="E64" i="2"/>
  <c r="E50" i="2"/>
  <c r="E33" i="2"/>
  <c r="E23" i="2"/>
  <c r="E63" i="2"/>
  <c r="E35" i="2"/>
  <c r="E58" i="2"/>
  <c r="E3" i="2"/>
  <c r="E51" i="2"/>
  <c r="E44" i="2"/>
  <c r="E43" i="2"/>
  <c r="E37" i="2"/>
  <c r="E61" i="2"/>
  <c r="E21" i="2"/>
  <c r="E16" i="2"/>
  <c r="E2" i="2"/>
  <c r="E46" i="2"/>
  <c r="E62" i="2"/>
  <c r="E57" i="2"/>
  <c r="E66" i="2"/>
  <c r="E19" i="2"/>
  <c r="E41" i="2"/>
  <c r="E18" i="2"/>
  <c r="E6" i="2"/>
  <c r="E8" i="2"/>
  <c r="E31" i="2"/>
  <c r="E30" i="2"/>
  <c r="E83" i="4"/>
  <c r="E89" i="4"/>
  <c r="E55" i="4"/>
  <c r="E90" i="4"/>
  <c r="E35" i="4"/>
  <c r="E7" i="4"/>
  <c r="E39" i="4"/>
  <c r="E27" i="4"/>
  <c r="E47" i="4"/>
  <c r="E30" i="4"/>
  <c r="E32" i="4"/>
  <c r="E58" i="4"/>
  <c r="E43" i="4"/>
  <c r="E75" i="4"/>
  <c r="E26" i="4"/>
  <c r="E86" i="4"/>
  <c r="E10" i="4"/>
  <c r="E41" i="4"/>
  <c r="E65" i="4"/>
  <c r="E79" i="4"/>
  <c r="E44" i="4"/>
  <c r="E70" i="4"/>
  <c r="E19" i="4"/>
  <c r="E5" i="4"/>
  <c r="E24" i="4"/>
  <c r="E50" i="4"/>
  <c r="E22" i="4"/>
  <c r="E37" i="4"/>
  <c r="E36" i="4"/>
  <c r="E40" i="4"/>
  <c r="E14" i="4"/>
  <c r="E2" i="4"/>
  <c r="E42" i="4"/>
  <c r="E68" i="4"/>
  <c r="E20" i="4"/>
  <c r="E69" i="4"/>
  <c r="E67" i="4"/>
  <c r="E76" i="4"/>
  <c r="E4" i="4"/>
  <c r="E8" i="4"/>
  <c r="E62" i="4"/>
  <c r="E54" i="4"/>
  <c r="E3" i="4"/>
  <c r="E60" i="4"/>
  <c r="E15" i="4"/>
  <c r="E53" i="4"/>
  <c r="E13" i="4"/>
  <c r="E88" i="4"/>
  <c r="E45" i="4"/>
  <c r="E63" i="4"/>
  <c r="E31" i="4"/>
  <c r="E29" i="4"/>
  <c r="E78" i="4"/>
  <c r="E80" i="4"/>
  <c r="E34" i="4"/>
  <c r="E66" i="4"/>
  <c r="E61" i="4"/>
  <c r="E71" i="4"/>
  <c r="E28" i="4"/>
  <c r="E23" i="4"/>
  <c r="E72" i="4"/>
  <c r="E9" i="4"/>
  <c r="E56" i="4"/>
  <c r="E17" i="4"/>
  <c r="E64" i="4"/>
  <c r="E51" i="4"/>
  <c r="E73" i="4"/>
  <c r="E59" i="4"/>
  <c r="E74" i="4"/>
  <c r="E25" i="4"/>
  <c r="E57" i="4"/>
  <c r="E6" i="4"/>
  <c r="E85" i="4"/>
  <c r="E12" i="4"/>
  <c r="E49" i="4"/>
  <c r="E52" i="4"/>
  <c r="E38" i="4"/>
  <c r="E11" i="4"/>
  <c r="E81" i="4"/>
  <c r="E46" i="4"/>
  <c r="E82" i="4"/>
  <c r="E87" i="4"/>
  <c r="E48" i="4"/>
  <c r="E18" i="4"/>
  <c r="E21" i="4"/>
  <c r="E84" i="4"/>
  <c r="E16" i="4"/>
  <c r="E77" i="4"/>
  <c r="E33" i="4"/>
  <c r="O2" i="1"/>
  <c r="C2" i="6"/>
  <c r="P2" i="1"/>
  <c r="Q2" i="1"/>
  <c r="O3" i="1"/>
  <c r="Q3" i="1"/>
  <c r="C3" i="6"/>
  <c r="P3" i="1"/>
  <c r="D39" i="1" l="1"/>
  <c r="K23" i="1"/>
  <c r="K25" i="1" s="1"/>
  <c r="G138" i="13" s="1"/>
  <c r="D149" i="13" s="1"/>
  <c r="D24" i="1"/>
  <c r="I21" i="1" s="1"/>
  <c r="I25" i="1" s="1"/>
  <c r="P47" i="2"/>
  <c r="P31" i="2"/>
  <c r="P43" i="2"/>
  <c r="P23" i="2"/>
  <c r="P7" i="2"/>
  <c r="P20" i="2"/>
  <c r="P12" i="2"/>
  <c r="P39" i="2"/>
  <c r="P41" i="2"/>
  <c r="P44" i="2"/>
  <c r="P33" i="2"/>
  <c r="P63" i="2"/>
  <c r="P28" i="2"/>
  <c r="P29" i="2"/>
  <c r="P58" i="2"/>
  <c r="P64" i="2"/>
  <c r="P49" i="2"/>
  <c r="P25" i="2"/>
  <c r="P53" i="2"/>
  <c r="P3" i="2"/>
  <c r="P18" i="2"/>
  <c r="P46" i="2"/>
  <c r="E97" i="4"/>
  <c r="E95" i="4"/>
  <c r="E96" i="4"/>
  <c r="P30" i="2"/>
  <c r="P34" i="2"/>
  <c r="P2" i="2"/>
  <c r="P17" i="2"/>
  <c r="P62" i="2"/>
  <c r="P14" i="2"/>
  <c r="P22" i="2"/>
  <c r="P38" i="2"/>
  <c r="C97" i="4"/>
  <c r="P99" i="4"/>
  <c r="C95" i="4"/>
  <c r="C96" i="4"/>
  <c r="P60" i="2"/>
  <c r="P42" i="2"/>
  <c r="P6" i="2"/>
  <c r="P21" i="2"/>
  <c r="P9" i="2"/>
  <c r="P45" i="2"/>
  <c r="P40" i="2"/>
  <c r="P48" i="2"/>
  <c r="P66" i="2"/>
  <c r="P32" i="2"/>
  <c r="P19" i="2"/>
  <c r="P59" i="2"/>
  <c r="G96" i="4"/>
  <c r="G95" i="4"/>
  <c r="G97" i="4"/>
  <c r="P13" i="2"/>
  <c r="P57" i="2"/>
  <c r="P11" i="2"/>
  <c r="P5" i="2"/>
  <c r="D96" i="4"/>
  <c r="D95" i="4"/>
  <c r="D97" i="4"/>
  <c r="P68" i="2"/>
  <c r="P37" i="2"/>
  <c r="P16" i="2"/>
  <c r="P24" i="2"/>
  <c r="P4" i="2"/>
  <c r="F15" i="10"/>
  <c r="P15" i="2"/>
  <c r="P61" i="2"/>
  <c r="F97" i="4"/>
  <c r="F96" i="4"/>
  <c r="F95" i="4"/>
  <c r="P8" i="2"/>
  <c r="P52" i="2"/>
  <c r="P65" i="2"/>
  <c r="P10" i="2"/>
  <c r="P56" i="2"/>
  <c r="P27" i="2"/>
  <c r="P55" i="2"/>
  <c r="P26" i="2"/>
  <c r="P36" i="2"/>
  <c r="P51" i="2"/>
  <c r="P54" i="2"/>
  <c r="P35" i="2"/>
  <c r="P67" i="2"/>
  <c r="P50" i="2"/>
  <c r="C62" i="4"/>
  <c r="P62" i="4" s="1"/>
  <c r="C83" i="4"/>
  <c r="P83" i="4" s="1"/>
  <c r="C15" i="4"/>
  <c r="P15" i="4" s="1"/>
  <c r="C51" i="4"/>
  <c r="P51" i="4" s="1"/>
  <c r="C39" i="4"/>
  <c r="P39" i="4" s="1"/>
  <c r="C9" i="4"/>
  <c r="P9" i="4" s="1"/>
  <c r="C53" i="4"/>
  <c r="P53" i="4" s="1"/>
  <c r="C90" i="4"/>
  <c r="P90" i="4" s="1"/>
  <c r="C61" i="4"/>
  <c r="P61" i="4" s="1"/>
  <c r="C85" i="4"/>
  <c r="P85" i="4" s="1"/>
  <c r="C71" i="4"/>
  <c r="P71" i="4" s="1"/>
  <c r="P92" i="4"/>
  <c r="C22" i="4"/>
  <c r="P22" i="4" s="1"/>
  <c r="C17" i="4"/>
  <c r="P17" i="4" s="1"/>
  <c r="C60" i="4"/>
  <c r="P60" i="4" s="1"/>
  <c r="C72" i="4"/>
  <c r="P72" i="4" s="1"/>
  <c r="C84" i="4"/>
  <c r="P84" i="4" s="1"/>
  <c r="C35" i="4"/>
  <c r="P35" i="4" s="1"/>
  <c r="C78" i="4"/>
  <c r="P78" i="4" s="1"/>
  <c r="C4" i="4"/>
  <c r="P4" i="4" s="1"/>
  <c r="C5" i="4"/>
  <c r="P5" i="4" s="1"/>
  <c r="C24" i="4"/>
  <c r="P24" i="4" s="1"/>
  <c r="C13" i="4"/>
  <c r="P13" i="4" s="1"/>
  <c r="C81" i="4"/>
  <c r="P81" i="4" s="1"/>
  <c r="C36" i="4"/>
  <c r="P36" i="4" s="1"/>
  <c r="C89" i="4"/>
  <c r="P89" i="4" s="1"/>
  <c r="C27" i="4"/>
  <c r="P27" i="4" s="1"/>
  <c r="C28" i="4"/>
  <c r="P28" i="4" s="1"/>
  <c r="C66" i="4"/>
  <c r="P66" i="4" s="1"/>
  <c r="C87" i="4"/>
  <c r="P87" i="4" s="1"/>
  <c r="C26" i="4"/>
  <c r="P26" i="4" s="1"/>
  <c r="C31" i="4"/>
  <c r="P31" i="4" s="1"/>
  <c r="C34" i="4"/>
  <c r="P34" i="4" s="1"/>
  <c r="C23" i="4"/>
  <c r="P23" i="4" s="1"/>
  <c r="C46" i="4"/>
  <c r="P46" i="4" s="1"/>
  <c r="C75" i="4"/>
  <c r="P75" i="4" s="1"/>
  <c r="C69" i="4"/>
  <c r="P69" i="4" s="1"/>
  <c r="C74" i="4"/>
  <c r="P74" i="4" s="1"/>
  <c r="C12" i="4"/>
  <c r="P12" i="4" s="1"/>
  <c r="C68" i="4"/>
  <c r="P68" i="4" s="1"/>
  <c r="C45" i="4"/>
  <c r="P45" i="4" s="1"/>
  <c r="C6" i="4"/>
  <c r="P6" i="4" s="1"/>
  <c r="C20" i="4"/>
  <c r="P20" i="4" s="1"/>
  <c r="C73" i="4"/>
  <c r="P73" i="4" s="1"/>
  <c r="C56" i="4"/>
  <c r="P56" i="4" s="1"/>
  <c r="C58" i="4"/>
  <c r="P58" i="4" s="1"/>
  <c r="C59" i="4"/>
  <c r="P59" i="4" s="1"/>
  <c r="C86" i="4"/>
  <c r="P86" i="4" s="1"/>
  <c r="C82" i="4"/>
  <c r="P82" i="4" s="1"/>
  <c r="C54" i="4"/>
  <c r="P54" i="4" s="1"/>
  <c r="C19" i="4"/>
  <c r="P19" i="4" s="1"/>
  <c r="C42" i="4"/>
  <c r="P42" i="4" s="1"/>
  <c r="C79" i="4"/>
  <c r="P79" i="4" s="1"/>
  <c r="C44" i="4"/>
  <c r="P44" i="4" s="1"/>
  <c r="C80" i="4"/>
  <c r="P80" i="4" s="1"/>
  <c r="C25" i="4"/>
  <c r="P25" i="4" s="1"/>
  <c r="C3" i="4"/>
  <c r="P3" i="4" s="1"/>
  <c r="C65" i="4"/>
  <c r="P65" i="4" s="1"/>
  <c r="C41" i="4"/>
  <c r="P41" i="4" s="1"/>
  <c r="C10" i="4"/>
  <c r="P10" i="4" s="1"/>
  <c r="C50" i="4"/>
  <c r="P50" i="4" s="1"/>
  <c r="C8" i="4"/>
  <c r="P8" i="4" s="1"/>
  <c r="C63" i="4"/>
  <c r="P63" i="4" s="1"/>
  <c r="C55" i="4"/>
  <c r="P55" i="4" s="1"/>
  <c r="C70" i="4"/>
  <c r="P70" i="4" s="1"/>
  <c r="C57" i="4"/>
  <c r="P57" i="4" s="1"/>
  <c r="C64" i="4"/>
  <c r="P64" i="4" s="1"/>
  <c r="C30" i="4"/>
  <c r="P30" i="4" s="1"/>
  <c r="C47" i="4"/>
  <c r="P47" i="4" s="1"/>
  <c r="C16" i="4"/>
  <c r="P16" i="4" s="1"/>
  <c r="C29" i="4"/>
  <c r="P29" i="4" s="1"/>
  <c r="C38" i="4"/>
  <c r="P38" i="4" s="1"/>
  <c r="C48" i="4"/>
  <c r="P48" i="4" s="1"/>
  <c r="C7" i="4"/>
  <c r="P7" i="4" s="1"/>
  <c r="C18" i="4"/>
  <c r="P18" i="4" s="1"/>
  <c r="C11" i="4"/>
  <c r="P11" i="4" s="1"/>
  <c r="C32" i="4"/>
  <c r="P32" i="4" s="1"/>
  <c r="C76" i="4"/>
  <c r="P76" i="4" s="1"/>
  <c r="C49" i="4"/>
  <c r="P49" i="4" s="1"/>
  <c r="C2" i="4"/>
  <c r="P2" i="4" s="1"/>
  <c r="C43" i="4"/>
  <c r="P43" i="4" s="1"/>
  <c r="C33" i="4"/>
  <c r="P33" i="4" s="1"/>
  <c r="C52" i="4"/>
  <c r="P52" i="4" s="1"/>
  <c r="C21" i="4"/>
  <c r="P21" i="4" s="1"/>
  <c r="C14" i="4"/>
  <c r="P14" i="4" s="1"/>
  <c r="C37" i="4"/>
  <c r="P37" i="4" s="1"/>
  <c r="C77" i="4"/>
  <c r="P77" i="4" s="1"/>
  <c r="C40" i="4"/>
  <c r="P40" i="4" s="1"/>
  <c r="C67" i="4"/>
  <c r="P67" i="4" s="1"/>
  <c r="C88" i="4"/>
  <c r="P88" i="4" s="1"/>
  <c r="J23" i="1" l="1"/>
  <c r="J25" i="1" s="1"/>
  <c r="G139" i="13" s="1"/>
  <c r="G141" i="13" s="1"/>
  <c r="G142" i="13" s="1"/>
  <c r="P96" i="4"/>
  <c r="P95" i="4"/>
  <c r="P97" i="4"/>
  <c r="D150" i="13" l="1"/>
</calcChain>
</file>

<file path=xl/sharedStrings.xml><?xml version="1.0" encoding="utf-8"?>
<sst xmlns="http://schemas.openxmlformats.org/spreadsheetml/2006/main" count="2234" uniqueCount="454">
  <si>
    <t>Payment #</t>
  </si>
  <si>
    <t>Approx Date</t>
  </si>
  <si>
    <t>Total Less Fees</t>
  </si>
  <si>
    <t>Commonwealth</t>
  </si>
  <si>
    <t>County</t>
  </si>
  <si>
    <t>Litigating</t>
  </si>
  <si>
    <t>Total</t>
  </si>
  <si>
    <t>Teva Attorney Fees</t>
  </si>
  <si>
    <t xml:space="preserve">Allergan Attorney Fees </t>
  </si>
  <si>
    <t>Walgreens Attorney Fees</t>
  </si>
  <si>
    <t>CVS Attorney Fees</t>
  </si>
  <si>
    <t>Walmart Attorney Fees</t>
  </si>
  <si>
    <t>Teva</t>
  </si>
  <si>
    <t>Allergan</t>
  </si>
  <si>
    <t>Walgreens</t>
  </si>
  <si>
    <t>CVS</t>
  </si>
  <si>
    <t>Walmart</t>
  </si>
  <si>
    <t>Pre Fee Total</t>
  </si>
  <si>
    <t>Teva/Allergan Litigating</t>
  </si>
  <si>
    <t>Pharmacies Litigating</t>
  </si>
  <si>
    <t>Commonwealth Escrow Amount</t>
  </si>
  <si>
    <t>Subdivision Escrow Amount</t>
  </si>
  <si>
    <t>Fee Escrow Amount</t>
  </si>
  <si>
    <t>Total Escrow</t>
  </si>
  <si>
    <t>Adjusted % (W/Floors)</t>
  </si>
  <si>
    <t>Payment Total</t>
  </si>
  <si>
    <t>Adams</t>
  </si>
  <si>
    <t>Allegheny</t>
  </si>
  <si>
    <t>Armstrong</t>
  </si>
  <si>
    <t>Beaver</t>
  </si>
  <si>
    <t>Bedford</t>
  </si>
  <si>
    <t>Berks</t>
  </si>
  <si>
    <t>Blair</t>
  </si>
  <si>
    <t>Bradford</t>
  </si>
  <si>
    <t>Bucks</t>
  </si>
  <si>
    <t>Butler</t>
  </si>
  <si>
    <t>Cambria</t>
  </si>
  <si>
    <t>Cameron</t>
  </si>
  <si>
    <t>Carbon</t>
  </si>
  <si>
    <t>Centre</t>
  </si>
  <si>
    <t>Chester</t>
  </si>
  <si>
    <t>Clarion</t>
  </si>
  <si>
    <t>Clearfield</t>
  </si>
  <si>
    <t>Clinton</t>
  </si>
  <si>
    <t>Columbia</t>
  </si>
  <si>
    <t>Crawford</t>
  </si>
  <si>
    <t>Cumberland</t>
  </si>
  <si>
    <t>Dauphin</t>
  </si>
  <si>
    <t>Delaware</t>
  </si>
  <si>
    <t>Elk</t>
  </si>
  <si>
    <t>Erie</t>
  </si>
  <si>
    <t>Fayette</t>
  </si>
  <si>
    <t>Forest</t>
  </si>
  <si>
    <t>Franklin</t>
  </si>
  <si>
    <t>Fulton</t>
  </si>
  <si>
    <t>Greene</t>
  </si>
  <si>
    <t>Huntingdon</t>
  </si>
  <si>
    <t>Indiana</t>
  </si>
  <si>
    <t>Jefferson</t>
  </si>
  <si>
    <t>Juniata</t>
  </si>
  <si>
    <t>Lackawanna</t>
  </si>
  <si>
    <t>Lancaster</t>
  </si>
  <si>
    <t>Lawrence</t>
  </si>
  <si>
    <t>Lebanon</t>
  </si>
  <si>
    <t>Lehigh</t>
  </si>
  <si>
    <t>Luzerne</t>
  </si>
  <si>
    <t>Lycoming</t>
  </si>
  <si>
    <t>McKean</t>
  </si>
  <si>
    <t>Mercer</t>
  </si>
  <si>
    <t>Mifflin</t>
  </si>
  <si>
    <t>Monroe</t>
  </si>
  <si>
    <t>Montgomery</t>
  </si>
  <si>
    <t>Montour</t>
  </si>
  <si>
    <t>Northampton</t>
  </si>
  <si>
    <t>Northumberland</t>
  </si>
  <si>
    <t>Perry</t>
  </si>
  <si>
    <t>Philadelphia</t>
  </si>
  <si>
    <t>Pike</t>
  </si>
  <si>
    <t>Potter</t>
  </si>
  <si>
    <t>Schuylkill</t>
  </si>
  <si>
    <t>Snyder</t>
  </si>
  <si>
    <t>Somerset</t>
  </si>
  <si>
    <t>Sullivan</t>
  </si>
  <si>
    <t>Susquehanna</t>
  </si>
  <si>
    <t>Tioga</t>
  </si>
  <si>
    <t>Union</t>
  </si>
  <si>
    <t>Venango</t>
  </si>
  <si>
    <t>Warren</t>
  </si>
  <si>
    <t>Washington</t>
  </si>
  <si>
    <t>Wayne</t>
  </si>
  <si>
    <t>Westmoreland</t>
  </si>
  <si>
    <t>Wyoming</t>
  </si>
  <si>
    <t>York</t>
  </si>
  <si>
    <t>Payment 1</t>
  </si>
  <si>
    <t>Payment 2</t>
  </si>
  <si>
    <t xml:space="preserve">Payment 3 </t>
  </si>
  <si>
    <t>Payment 4</t>
  </si>
  <si>
    <t>Payment 5</t>
  </si>
  <si>
    <t>Payment 6</t>
  </si>
  <si>
    <t>Payment 7</t>
  </si>
  <si>
    <t>Payment 8</t>
  </si>
  <si>
    <t>Payment 9</t>
  </si>
  <si>
    <t>Payment 10</t>
  </si>
  <si>
    <t>Payment 11</t>
  </si>
  <si>
    <t>Payment 12</t>
  </si>
  <si>
    <t>Payment 13</t>
  </si>
  <si>
    <t>Teva County Amount</t>
  </si>
  <si>
    <t>Allergan County Amount</t>
  </si>
  <si>
    <t>Walgreens County Amount</t>
  </si>
  <si>
    <t>CVS County Amount</t>
  </si>
  <si>
    <t>Walmart County Amount</t>
  </si>
  <si>
    <t>Walmart Escrow Amount</t>
  </si>
  <si>
    <t xml:space="preserve">Total Teva/Allergan/Walmart </t>
  </si>
  <si>
    <t>Total Walgreens/CVS</t>
  </si>
  <si>
    <t>Floor % w/ No Philadelphia</t>
  </si>
  <si>
    <t>Payment 14</t>
  </si>
  <si>
    <t>Payment 15</t>
  </si>
  <si>
    <t>Litigant</t>
  </si>
  <si>
    <t>Teva Adjusted %</t>
  </si>
  <si>
    <t>Adams County</t>
  </si>
  <si>
    <t>Aliquippa city</t>
  </si>
  <si>
    <t>Allegheny County</t>
  </si>
  <si>
    <t>Allentown city</t>
  </si>
  <si>
    <t>Armstrong County</t>
  </si>
  <si>
    <t>Beaver County</t>
  </si>
  <si>
    <t>Bedford County</t>
  </si>
  <si>
    <t>BENSALEM TOWNSHIP</t>
  </si>
  <si>
    <t>Bradford County</t>
  </si>
  <si>
    <t>BRISTOL TOWNSHIP</t>
  </si>
  <si>
    <t>Bucks County</t>
  </si>
  <si>
    <t>Cambria County</t>
  </si>
  <si>
    <t>Carbon County</t>
  </si>
  <si>
    <t>Chester County</t>
  </si>
  <si>
    <t>Clarion County</t>
  </si>
  <si>
    <t>Clearfield County</t>
  </si>
  <si>
    <t>Clinton County</t>
  </si>
  <si>
    <t>Coatesville city</t>
  </si>
  <si>
    <t>Columbia County</t>
  </si>
  <si>
    <t>Cumberland County</t>
  </si>
  <si>
    <t>Dauphin County</t>
  </si>
  <si>
    <t>Delaware County</t>
  </si>
  <si>
    <t>District Attorney of Allegheny County</t>
  </si>
  <si>
    <t>District Attorney of Berks County</t>
  </si>
  <si>
    <t>District Attorney of Bucks County</t>
  </si>
  <si>
    <t>District Attorney of Chester County</t>
  </si>
  <si>
    <t>District Attorney of Clearfield County</t>
  </si>
  <si>
    <t>District Attorney of Dauphin County</t>
  </si>
  <si>
    <t>District Attorney of Delaware County</t>
  </si>
  <si>
    <t>District Attorney of Erie County</t>
  </si>
  <si>
    <t>District Attorney of Lehigh County</t>
  </si>
  <si>
    <t>District Attorney of Northampton County</t>
  </si>
  <si>
    <t>District Attorney of Philadelphia</t>
  </si>
  <si>
    <t>District Attorney of Westmoreland County</t>
  </si>
  <si>
    <t>District Attorney of Wyoming County</t>
  </si>
  <si>
    <t>Edwardsville borough</t>
  </si>
  <si>
    <t>Erie County</t>
  </si>
  <si>
    <t>Exeter borough</t>
  </si>
  <si>
    <t>FAIRVIEW TOWNSHIP</t>
  </si>
  <si>
    <t>Fayette County</t>
  </si>
  <si>
    <t>Forty Fort borough</t>
  </si>
  <si>
    <t>Franklin County</t>
  </si>
  <si>
    <t>Greene County</t>
  </si>
  <si>
    <t>HANOVER TOWNSHIP</t>
  </si>
  <si>
    <t>Hazleton city</t>
  </si>
  <si>
    <t>Huntingdon County</t>
  </si>
  <si>
    <t>Indiana County</t>
  </si>
  <si>
    <t>Kingston borough</t>
  </si>
  <si>
    <t>Lackawanna County</t>
  </si>
  <si>
    <t>Lawrence County</t>
  </si>
  <si>
    <t>Lehigh County</t>
  </si>
  <si>
    <t>Lock Haven city</t>
  </si>
  <si>
    <t>LOWER MAKEFIELD TOWNSHIP</t>
  </si>
  <si>
    <t>LOWER SOUTHAMPTON TOWNSHIP</t>
  </si>
  <si>
    <t>Luzerne County</t>
  </si>
  <si>
    <t>Lycoming County</t>
  </si>
  <si>
    <t>Mahoning township</t>
  </si>
  <si>
    <t>Mercer County</t>
  </si>
  <si>
    <t>MIDDLETOWN TOWNSHIP</t>
  </si>
  <si>
    <t>Monroe County</t>
  </si>
  <si>
    <t>Morrisville borough</t>
  </si>
  <si>
    <t>Nanticoke city</t>
  </si>
  <si>
    <t>New Castle city</t>
  </si>
  <si>
    <t>NEWTOWN TOWNSHIP</t>
  </si>
  <si>
    <t>Norristown borough</t>
  </si>
  <si>
    <t>Northampton County</t>
  </si>
  <si>
    <t>Northumberland County</t>
  </si>
  <si>
    <t xml:space="preserve">Philadelphia </t>
  </si>
  <si>
    <t>Pike County</t>
  </si>
  <si>
    <t>Pittsburgh city</t>
  </si>
  <si>
    <t>PLAINS TOWNSHIP</t>
  </si>
  <si>
    <t>Schuylkill County</t>
  </si>
  <si>
    <t>Southeastern Pennsylvania Transportation Authority</t>
  </si>
  <si>
    <t>Sugar Notch borough</t>
  </si>
  <si>
    <t>Tioga County</t>
  </si>
  <si>
    <t>UNION TOWNSHIP</t>
  </si>
  <si>
    <t>Wampum borough</t>
  </si>
  <si>
    <t>WARMINSTER TOWNSHIP</t>
  </si>
  <si>
    <t>WARRINGTON TOWNSHIP</t>
  </si>
  <si>
    <t>Washington County</t>
  </si>
  <si>
    <t>WEST NORRITON TOWNSHIP</t>
  </si>
  <si>
    <t>West Pittston borough</t>
  </si>
  <si>
    <t>Westmoreland County</t>
  </si>
  <si>
    <t>WILKES BARRE TOWNSHIP</t>
  </si>
  <si>
    <t>Wilkes-Barre city</t>
  </si>
  <si>
    <t>WRIGHT TOWNSHIP</t>
  </si>
  <si>
    <t>Wyoming borough</t>
  </si>
  <si>
    <t>Wyoming County</t>
  </si>
  <si>
    <t>York County</t>
  </si>
  <si>
    <t>Teva Bellwether</t>
  </si>
  <si>
    <t>Teva Litigating Total Less Fees and Bellwether</t>
  </si>
  <si>
    <t>Teva Total Litigating</t>
  </si>
  <si>
    <t>Allergan Bellwether</t>
  </si>
  <si>
    <t>Total Allergan Litigating</t>
  </si>
  <si>
    <t>Allergan Litigating Less Fees and Bellwether</t>
  </si>
  <si>
    <t>Bellwethers</t>
  </si>
  <si>
    <t>Bellwether Percent</t>
  </si>
  <si>
    <t>Allergan Adjusted %</t>
  </si>
  <si>
    <t>Walmart Escrow</t>
  </si>
  <si>
    <t>Adjusted %</t>
  </si>
  <si>
    <t>District Attorney of Beaver County</t>
  </si>
  <si>
    <t>District Attorney of Butler County</t>
  </si>
  <si>
    <t>District Attorney of Lawrence County</t>
  </si>
  <si>
    <t>Philadelphia County-Philadelphia City</t>
  </si>
  <si>
    <t>Adjusted Walmart %</t>
  </si>
  <si>
    <t>Payment 3</t>
  </si>
  <si>
    <t>Allergan Allocation Adjustment</t>
  </si>
  <si>
    <t>Subdivision</t>
  </si>
  <si>
    <t>Allergan Modified Allocation</t>
  </si>
  <si>
    <t>County Escrow</t>
  </si>
  <si>
    <t>Litigating Sub Escrow</t>
  </si>
  <si>
    <t xml:space="preserve">Explanatory Note - This sheet shows the breakdown of each settlements' allocation to the 70% County bucket. </t>
  </si>
  <si>
    <t xml:space="preserve">Explanatory Note - Philadelphia is not participating in the Walgreens and CVS Settlements. </t>
  </si>
  <si>
    <t xml:space="preserve">Explanatory Note - This sheet shows Teva and Allergan's allocations to the Litigating Subdivisions bucket.  </t>
  </si>
  <si>
    <t xml:space="preserve">Explanatory Note - Pursuant to Exhibit 7 of the proposed Amended Trust Order, eight subdivisions who sued Teva but did not sue Allergan will receive an Allergan Allocation Adjustment.  The Allergan Allocation Adjustment is funded by the Pennsylvania Opioid Fee Fund and the Commonwealth's Additional Remediation. </t>
  </si>
  <si>
    <t xml:space="preserve">Explantory Note - This sheet shows the breakdown of the Walgreens, CVS, and Walmart Settlements' allocations to the Litigating Subdivision buckets.  </t>
  </si>
  <si>
    <t>Walmart Litigating Subs</t>
  </si>
  <si>
    <t>Pharmacies Litigating Subdivisions Total</t>
  </si>
  <si>
    <t xml:space="preserve">Explanatory Note - This sheet shows the breakdown of each Wave 2 Settlement's estimated annual distribution.  The Escrow amount was negotiated with settling defendants via OAG Side Letters.  </t>
  </si>
  <si>
    <t>Walgreens Litigating</t>
  </si>
  <si>
    <t>CVS Litigating</t>
  </si>
  <si>
    <t>Walgreens/CVS Litigating</t>
  </si>
  <si>
    <t>Net Walmart Litigating Subdivisions</t>
  </si>
  <si>
    <t>County and Litigating</t>
  </si>
  <si>
    <t>Allergan Gross Amount</t>
  </si>
  <si>
    <t>Walmart Gross Amount</t>
  </si>
  <si>
    <t>CVS Gross Amount</t>
  </si>
  <si>
    <t>Walgreens Gross Amount</t>
  </si>
  <si>
    <t>Deposit Amount</t>
  </si>
  <si>
    <t>Restitution</t>
  </si>
  <si>
    <t>Resitution</t>
  </si>
  <si>
    <t>Amount in escrow</t>
  </si>
  <si>
    <t>Escrow Amount</t>
  </si>
  <si>
    <t>Escrow amount</t>
  </si>
  <si>
    <t>Gross Amount for each payment</t>
  </si>
  <si>
    <t>Gross Amount</t>
  </si>
  <si>
    <t>Gross amount</t>
  </si>
  <si>
    <t>As a result, the escow was not considered above in the calculations.  If the disputed payment is paid in the future the amount will be calculated with the percentage per the court order.</t>
  </si>
  <si>
    <t>TEVA</t>
  </si>
  <si>
    <t>TEVA ALLERGAN</t>
  </si>
  <si>
    <t>WALMART COUNTY</t>
  </si>
  <si>
    <t>WALGREENS</t>
  </si>
  <si>
    <t>CVS COUNTY</t>
  </si>
  <si>
    <t>* items on this page are pasted as values/ not linked.</t>
  </si>
  <si>
    <t>BUCKS COUNTY DA</t>
  </si>
  <si>
    <t>DELAWARE COUNTY DA</t>
  </si>
  <si>
    <t>LEHIGH COUNTY DA</t>
  </si>
  <si>
    <t>WESTMORELAND COUNTY DA</t>
  </si>
  <si>
    <t>CHESTER COUNTY DA</t>
  </si>
  <si>
    <t>NORTHAMPTON COUNTY DA</t>
  </si>
  <si>
    <t>DAUPHIN COUNTY DA</t>
  </si>
  <si>
    <t>BERKS COUNTY DA</t>
  </si>
  <si>
    <t>CLEARFIELD COUNTY DA</t>
  </si>
  <si>
    <t>Lower Makefield township, Bucks County, Pennsylvania</t>
  </si>
  <si>
    <t>Lower Southampton township, Bucks County, Pennsylvania</t>
  </si>
  <si>
    <t xml:space="preserve">Mahoning Township, Lawrence County, Pennsylvania </t>
  </si>
  <si>
    <t>Middletown township, Bucks County, Pennsylvania</t>
  </si>
  <si>
    <t>Morrisville borough, Bucks County, Pennsylvania</t>
  </si>
  <si>
    <t>Nanticoke city, Luzerne County, Pennsylvania</t>
  </si>
  <si>
    <t>New Castle city, Lawrence County, Pennsylvania</t>
  </si>
  <si>
    <t>Newtown township, Bucks County, Pennsylvania</t>
  </si>
  <si>
    <t>Norristown borough, Montgomery County, Pennsylvania</t>
  </si>
  <si>
    <t>Pittsburgh city, Allegheny County, Pennsylvania</t>
  </si>
  <si>
    <t>Plains Township, Luzerne County, Pennsylvania</t>
  </si>
  <si>
    <t>SEPTA</t>
  </si>
  <si>
    <t xml:space="preserve">Sugar Notch Borough, Luzerne County, Pennsylvania </t>
  </si>
  <si>
    <t>Union township, Lawrence County, Pennsylvania</t>
  </si>
  <si>
    <t xml:space="preserve">Wampum Borough, Lawrence County, Pennsylvania </t>
  </si>
  <si>
    <t>Warminster township, Bucks County, Pennsylvania</t>
  </si>
  <si>
    <t>Warrington township, Bucks County, Pennsylvania</t>
  </si>
  <si>
    <t>West Norriton township, Montgomery County, Pennsylvania</t>
  </si>
  <si>
    <t xml:space="preserve">West Pittston Borough, Luzerne County, Pennsylvania </t>
  </si>
  <si>
    <t xml:space="preserve">Wright Township, Luzerne County, Pennsylvania </t>
  </si>
  <si>
    <t xml:space="preserve">Wyoming Borough, Luzerenre County, Pennsylvania </t>
  </si>
  <si>
    <t>Commonwealth of PA</t>
  </si>
  <si>
    <t>Fee Fund</t>
  </si>
  <si>
    <t>Walgreen's / CVS</t>
  </si>
  <si>
    <t>TEVA LITIGATING</t>
  </si>
  <si>
    <t>ALLERGAN LITIGATING</t>
  </si>
  <si>
    <t>WALGREEN'S/CVS LITIGATING</t>
  </si>
  <si>
    <t>WALMART LITIGATING</t>
  </si>
  <si>
    <t>COUNTY/ LITIGANT</t>
  </si>
  <si>
    <t>BELLWETHERS</t>
  </si>
  <si>
    <t>ALLERGAN</t>
  </si>
  <si>
    <t>PAYMENT 1</t>
  </si>
  <si>
    <t>Subtotal</t>
  </si>
  <si>
    <t>T</t>
  </si>
  <si>
    <t>Deposit</t>
  </si>
  <si>
    <t>Escrow</t>
  </si>
  <si>
    <t>GRAND TOTAL</t>
  </si>
  <si>
    <t>Recalculation of Distribution</t>
  </si>
  <si>
    <t>BrownGreer Escrow</t>
  </si>
  <si>
    <t>County Subtotal</t>
  </si>
  <si>
    <t>Litigating Subtotal</t>
  </si>
  <si>
    <t>CF</t>
  </si>
  <si>
    <t>Fees, Calculated above</t>
  </si>
  <si>
    <t>Commonwealth, calculated</t>
  </si>
  <si>
    <t>Escrow BG</t>
  </si>
  <si>
    <t>Wave 2</t>
  </si>
  <si>
    <t>Wilkes-Barre city, Township</t>
  </si>
  <si>
    <t xml:space="preserve">Wilkes-Barre, City </t>
  </si>
  <si>
    <t>Escrow AG</t>
  </si>
  <si>
    <t>Wave #2 Payment 1</t>
  </si>
  <si>
    <t>Wave #1 Payment 4</t>
  </si>
  <si>
    <t>PAYMENT SUMMARY</t>
  </si>
  <si>
    <t>J&amp;J</t>
  </si>
  <si>
    <t>Partial Distrib</t>
  </si>
  <si>
    <t>Endo Payment</t>
  </si>
  <si>
    <t>* Second distribution, 3rd payment on attached schedules</t>
  </si>
  <si>
    <t>Wave 2 Payment 3</t>
  </si>
  <si>
    <t>County w/ Floor</t>
  </si>
  <si>
    <t>Litigating Subs w/ Floor</t>
  </si>
  <si>
    <t>Endo Total</t>
  </si>
  <si>
    <t>Philadelphia County DA</t>
  </si>
  <si>
    <t>Allegheny County DA</t>
  </si>
  <si>
    <t>Bucks County DA</t>
  </si>
  <si>
    <t>Delaware County DA</t>
  </si>
  <si>
    <t>Berks County DA</t>
  </si>
  <si>
    <t>Lehigh County DA</t>
  </si>
  <si>
    <t>Westmoreland County DA</t>
  </si>
  <si>
    <t>Bensalem Township</t>
  </si>
  <si>
    <t>Clearfield County DA</t>
  </si>
  <si>
    <t>Warminster Township</t>
  </si>
  <si>
    <t>Lower Makefield Township</t>
  </si>
  <si>
    <t>Warrington Township</t>
  </si>
  <si>
    <t>New Castle City</t>
  </si>
  <si>
    <t>Mahoning Township</t>
  </si>
  <si>
    <t>Wampum Borough</t>
  </si>
  <si>
    <t>State Cost Fund</t>
  </si>
  <si>
    <t>Endo Total Payment</t>
  </si>
  <si>
    <t>Payee (Counties)</t>
  </si>
  <si>
    <t>Unique ID</t>
  </si>
  <si>
    <t>County Payment</t>
  </si>
  <si>
    <t xml:space="preserve">Total County Payment </t>
  </si>
  <si>
    <t>Dist Litigating</t>
  </si>
  <si>
    <t>JJ Litigating</t>
  </si>
  <si>
    <t>Bellwether Dist</t>
  </si>
  <si>
    <t>Bellwether JJ</t>
  </si>
  <si>
    <t xml:space="preserve">Total Litigating </t>
  </si>
  <si>
    <t>Dist Bellwether</t>
  </si>
  <si>
    <t>JJ Bellwether</t>
  </si>
  <si>
    <t xml:space="preserve">MNK Bellwether </t>
  </si>
  <si>
    <t>Reductions/COPA Bonus</t>
  </si>
  <si>
    <t>Total Payment 5</t>
  </si>
  <si>
    <t>Totals</t>
  </si>
  <si>
    <t>Payee (DAs)</t>
  </si>
  <si>
    <t>Total Litigation ( Dist, JJ)</t>
  </si>
  <si>
    <t>Total Payment 4</t>
  </si>
  <si>
    <t>MNK Bellwether</t>
  </si>
  <si>
    <t>ERIE COUNTY DA</t>
  </si>
  <si>
    <t>Payee (Subdivisions)</t>
  </si>
  <si>
    <t>Aliquippa city, Beaver County, Pennsylvania</t>
  </si>
  <si>
    <t>Allentown city, Lehigh County, Pennsylvania</t>
  </si>
  <si>
    <t>Bensalem township, Bucks County, Pennsylvania</t>
  </si>
  <si>
    <t>Bristol township, Bucks County, Pennsylvania</t>
  </si>
  <si>
    <t xml:space="preserve">City of Lock Haven, Clinton County, Pennsylvania </t>
  </si>
  <si>
    <t>Coatesville city, Chester County, Pennsylvania</t>
  </si>
  <si>
    <t xml:space="preserve">Edwardsville Borough, Luzerne County, Pennsylvania </t>
  </si>
  <si>
    <t>Exeter Borough, Luzerne County, Pennsylvania</t>
  </si>
  <si>
    <t>Fairview township, Luzerne County, Pennsylvania</t>
  </si>
  <si>
    <t xml:space="preserve">Forty Fort Borough, Luzerne County, Pennsylvania </t>
  </si>
  <si>
    <t>Hanover township, Luzerne County, Pennsylvania</t>
  </si>
  <si>
    <t>Hazleton city, Luzerne County, Pennsylvania</t>
  </si>
  <si>
    <t>Kingston borough, Luzerne County, Pennsylvania</t>
  </si>
  <si>
    <t>Wilkes-Barre city, Luzerne County, Pennsylvania</t>
  </si>
  <si>
    <t>Wilkes-Barre township, Luzerne County, Pennsylvania</t>
  </si>
  <si>
    <t>Payee (COPA)</t>
  </si>
  <si>
    <t>Dist Payment</t>
  </si>
  <si>
    <t>JJ Payment</t>
  </si>
  <si>
    <t>None</t>
  </si>
  <si>
    <t xml:space="preserve">Total Payment 4 </t>
  </si>
  <si>
    <t>COPA</t>
  </si>
  <si>
    <t>Cost/Fees</t>
  </si>
  <si>
    <t>Attorney/Admin Costs</t>
  </si>
  <si>
    <t>Dist Atty Fees</t>
  </si>
  <si>
    <t>JJ Atty Fees</t>
  </si>
  <si>
    <t>Total Payment 5 (Attorney/Admin, Dist Atty Fees, JJ Atty Fees)</t>
  </si>
  <si>
    <t>Trust Administrative Fund</t>
  </si>
  <si>
    <t>Total Costs</t>
  </si>
  <si>
    <t>Total Payment 5 to Payees</t>
  </si>
  <si>
    <t>Total Payment 5 Distributions</t>
  </si>
  <si>
    <t xml:space="preserve">Less  Distributors </t>
  </si>
  <si>
    <t>Distributors Partial</t>
  </si>
  <si>
    <t>Distributor Lit</t>
  </si>
  <si>
    <t>Distributors</t>
  </si>
  <si>
    <t>Sub Payment</t>
  </si>
  <si>
    <t>Payment</t>
  </si>
  <si>
    <t xml:space="preserve">Distributors </t>
  </si>
  <si>
    <t>Litigating subs</t>
  </si>
  <si>
    <t>Fairview township, York County, Pennsylvania</t>
  </si>
  <si>
    <t>Commonwealth *</t>
  </si>
  <si>
    <t>*  Distributor payment  received  less reduced fees ( 37,328,685.19 - $7,291,901.03 = $30,223,784 *.15))</t>
  </si>
  <si>
    <t>Total expected</t>
  </si>
  <si>
    <t>Amount held in escrow</t>
  </si>
  <si>
    <t>Percent Received</t>
  </si>
  <si>
    <t xml:space="preserve">PA Distributors </t>
  </si>
  <si>
    <t>PA J&amp;J</t>
  </si>
  <si>
    <t>Distributors Atty Fees</t>
  </si>
  <si>
    <t>J&amp;J Attorneys Fees</t>
  </si>
  <si>
    <t>Attorney's Costs</t>
  </si>
  <si>
    <t>Admin Costs</t>
  </si>
  <si>
    <t>(Litigating Ds</t>
  </si>
  <si>
    <t>(Litigating J&amp;J)</t>
  </si>
  <si>
    <t>Partial Distribution</t>
  </si>
  <si>
    <t xml:space="preserve"> Wave 1 Recalculation</t>
  </si>
  <si>
    <t>Amount in Escrow</t>
  </si>
  <si>
    <t>Brown Greer</t>
  </si>
  <si>
    <t>Brown Greer Escrow</t>
  </si>
  <si>
    <t xml:space="preserve">Allergan </t>
  </si>
  <si>
    <t>Attorney Fee Portion</t>
  </si>
  <si>
    <t>Commonwealth Portion</t>
  </si>
  <si>
    <t xml:space="preserve">County and Litigating </t>
  </si>
  <si>
    <t xml:space="preserve">Total Wave 2 Including all Escrow </t>
  </si>
  <si>
    <t>AG Escrow</t>
  </si>
  <si>
    <t>Adding back to Payment</t>
  </si>
  <si>
    <t>Wave 2 Recalculation</t>
  </si>
  <si>
    <t>Counties and Subs</t>
  </si>
  <si>
    <t>Endo Recalculation</t>
  </si>
  <si>
    <t>Counites and Subs</t>
  </si>
  <si>
    <t xml:space="preserve">Commonwealth </t>
  </si>
  <si>
    <t xml:space="preserve">J&amp;J </t>
  </si>
  <si>
    <t>Wave 1 Payment 5</t>
  </si>
  <si>
    <t>Total Received:</t>
  </si>
  <si>
    <t>Total Counties and Subs</t>
  </si>
  <si>
    <t>Plus Withheld</t>
  </si>
  <si>
    <t>Total Commonwealth</t>
  </si>
  <si>
    <t>Plus Witheld</t>
  </si>
  <si>
    <t>Wave 2 Payment 3*</t>
  </si>
  <si>
    <t>Note: the amounts paid have been higher than expected.  BG will be contacted to determine if the amounts</t>
  </si>
  <si>
    <t xml:space="preserve"> Total</t>
  </si>
  <si>
    <t>should be subtracted from  totals or whether more will be received in total than anticipated.</t>
  </si>
  <si>
    <t>Note BrownGreer is holding $1,676,164.46 in escrow related to a disputed incentive payment for which there is no side agreement per Jordan at BI.  These payments should be applied to the standard formula / % and is not being w/h only for PA .</t>
  </si>
  <si>
    <t>Teva  Gross Amounts</t>
  </si>
  <si>
    <t>Less Withheld Mahoning Township</t>
  </si>
  <si>
    <t>Less Withheld Aliquippa 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</si>
</sst>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quot;$&quot;* #,##0.0000_);_(&quot;$&quot;* \(#,##0.0000\);_(&quot;$&quot;* &quot;-&quot;????_);_(@_)"/>
    <numFmt numFmtId="166" formatCode="&quot;$&quot;#,##0"/>
    <numFmt numFmtId="167" formatCode="_(&quot;$&quot;* #,##0.00000000_);_(&quot;$&quot;* \(#,##0.00000000\);_(&quot;$&quot;* &quot;-&quot;??_);_(@_)"/>
    <numFmt numFmtId="168" formatCode="0.0000000"/>
  </numFmts>
  <fonts count="38"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theme="4" tint="-0.249977111117893"/>
      <name val="Calibri"/>
      <family val="2"/>
      <scheme val="minor"/>
    </font>
    <font>
      <sz val="12"/>
      <color theme="4" tint="-0.249977111117893"/>
      <name val="Calibri"/>
      <family val="2"/>
      <scheme val="minor"/>
    </font>
    <font>
      <b/>
      <sz val="12"/>
      <color theme="1"/>
      <name val="Calibri"/>
      <family val="2"/>
      <scheme val="minor"/>
    </font>
    <font>
      <sz val="12"/>
      <color theme="1"/>
      <name val="Calibri"/>
      <family val="2"/>
      <scheme val="minor"/>
    </font>
    <font>
      <b/>
      <sz val="12"/>
      <color theme="4" tint="-0.249977111117893"/>
      <name val="Calibri"/>
      <family val="2"/>
      <scheme val="minor"/>
    </font>
    <font>
      <sz val="12"/>
      <color theme="4" tint="-0.249977111117893"/>
      <name val="Calibri"/>
      <family val="2"/>
      <scheme val="minor"/>
    </font>
    <font>
      <sz val="11"/>
      <color theme="4" tint="-0.249977111117893"/>
      <name val="Calibri"/>
      <family val="2"/>
      <scheme val="minor"/>
    </font>
    <font>
      <sz val="11"/>
      <name val="Calibri"/>
      <family val="2"/>
      <scheme val="minor"/>
    </font>
    <font>
      <b/>
      <sz val="11"/>
      <name val="Calibri"/>
      <family val="2"/>
      <scheme val="minor"/>
    </font>
    <font>
      <sz val="11"/>
      <color rgb="FFFF0000"/>
      <name val="Calibri"/>
      <family val="2"/>
      <scheme val="minor"/>
    </font>
    <font>
      <b/>
      <sz val="11"/>
      <color rgb="FFFF0000"/>
      <name val="Calibri"/>
      <family val="2"/>
      <scheme val="minor"/>
    </font>
    <font>
      <b/>
      <sz val="10"/>
      <name val="Calibri"/>
      <family val="2"/>
      <scheme val="minor"/>
    </font>
    <font>
      <sz val="11"/>
      <color rgb="FF9C5700"/>
      <name val="Calibri"/>
      <family val="2"/>
      <scheme val="minor"/>
    </font>
    <font>
      <sz val="11"/>
      <name val="Calibri"/>
      <family val="2"/>
    </font>
    <font>
      <sz val="11"/>
      <color theme="1"/>
      <name val="Aptos Narrow"/>
      <family val="2"/>
    </font>
    <font>
      <b/>
      <sz val="11"/>
      <color rgb="FF000000"/>
      <name val="Aptos Narrow"/>
      <family val="2"/>
    </font>
    <font>
      <b/>
      <u/>
      <sz val="11"/>
      <color rgb="FF000000"/>
      <name val="Aptos Narrow"/>
      <family val="2"/>
    </font>
    <font>
      <u/>
      <sz val="11"/>
      <color rgb="FF000000"/>
      <name val="Aptos Narrow"/>
      <family val="2"/>
    </font>
    <font>
      <u val="singleAccounting"/>
      <sz val="11"/>
      <color rgb="FF000000"/>
      <name val="Aptos Narrow"/>
      <family val="2"/>
    </font>
    <font>
      <sz val="11"/>
      <color rgb="FF000000"/>
      <name val="Aptos Narrow"/>
      <family val="2"/>
    </font>
    <font>
      <sz val="12"/>
      <color rgb="FF000000"/>
      <name val="Aptos Narrow"/>
      <family val="2"/>
    </font>
    <font>
      <sz val="12"/>
      <color rgb="FF305496"/>
      <name val="Calibri"/>
      <family val="2"/>
      <scheme val="minor"/>
    </font>
    <font>
      <sz val="12"/>
      <color theme="1"/>
      <name val="Times New Roman"/>
      <family val="2"/>
    </font>
    <font>
      <sz val="12"/>
      <color theme="1"/>
      <name val="Times New Roman"/>
      <family val="1"/>
    </font>
    <font>
      <sz val="12"/>
      <color rgb="FF000000"/>
      <name val="Times New Roman"/>
      <family val="1"/>
    </font>
    <font>
      <u val="singleAccounting"/>
      <sz val="11"/>
      <color theme="1"/>
      <name val="Aptos Narrow"/>
      <family val="2"/>
    </font>
    <font>
      <sz val="12"/>
      <color theme="1"/>
      <name val="Calibri"/>
      <family val="2"/>
      <scheme val="minor"/>
    </font>
    <font>
      <sz val="8"/>
      <name val="Calibri"/>
      <family val="2"/>
      <scheme val="minor"/>
    </font>
    <font>
      <b/>
      <u/>
      <sz val="12"/>
      <color theme="1"/>
      <name val="Calibri"/>
      <family val="2"/>
      <scheme val="minor"/>
    </font>
    <font>
      <u/>
      <sz val="11"/>
      <color theme="1"/>
      <name val="Calibri"/>
      <family val="2"/>
      <scheme val="minor"/>
    </font>
    <font>
      <b/>
      <sz val="20"/>
      <color theme="1"/>
      <name val="Calibri"/>
      <family val="2"/>
      <scheme val="minor"/>
    </font>
    <font>
      <u/>
      <sz val="12"/>
      <color theme="1"/>
      <name val="Calibri"/>
      <family val="2"/>
      <scheme val="minor"/>
    </font>
    <font>
      <sz val="12"/>
      <color rgb="FFFF0000"/>
      <name val="Calibri"/>
      <family val="2"/>
      <scheme val="minor"/>
    </font>
  </fonts>
  <fills count="10">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
      <patternFill patternType="solid">
        <fgColor rgb="FFFFFF00"/>
        <bgColor indexed="64"/>
      </patternFill>
    </fill>
    <fill>
      <patternFill patternType="solid">
        <fgColor theme="4" tint="0.79998168889431442"/>
        <bgColor indexed="64"/>
      </patternFill>
    </fill>
    <fill>
      <patternFill patternType="solid">
        <fgColor rgb="FFFFEB9C"/>
      </patternFill>
    </fill>
    <fill>
      <patternFill patternType="solid">
        <fgColor rgb="FFFFFF00"/>
        <bgColor rgb="FF000000"/>
      </patternFill>
    </fill>
    <fill>
      <patternFill patternType="solid">
        <fgColor rgb="FFFFFFFF"/>
        <bgColor rgb="FFC0E6F5"/>
      </patternFill>
    </fill>
    <fill>
      <patternFill patternType="solid">
        <fgColor rgb="FFFFFFFF"/>
        <bgColor rgb="FF000000"/>
      </patternFill>
    </fill>
  </fills>
  <borders count="10">
    <border>
      <left/>
      <right/>
      <top/>
      <bottom/>
      <diagonal/>
    </border>
    <border>
      <left/>
      <right/>
      <top style="thin">
        <color theme="4"/>
      </top>
      <bottom style="thin">
        <color theme="4"/>
      </bottom>
      <diagonal/>
    </border>
    <border>
      <left/>
      <right/>
      <top/>
      <bottom style="thin">
        <color theme="4"/>
      </bottom>
      <diagonal/>
    </border>
    <border>
      <left/>
      <right/>
      <top style="thin">
        <color theme="4" tint="0.39997558519241921"/>
      </top>
      <bottom style="thin">
        <color theme="4" tint="0.39997558519241921"/>
      </bottom>
      <diagonal/>
    </border>
    <border>
      <left/>
      <right/>
      <top/>
      <bottom style="thin">
        <color auto="1"/>
      </bottom>
      <diagonal/>
    </border>
    <border>
      <left/>
      <right/>
      <top style="thin">
        <color auto="1"/>
      </top>
      <bottom style="thin">
        <color auto="1"/>
      </bottom>
      <diagonal/>
    </border>
    <border>
      <left/>
      <right/>
      <top style="thin">
        <color theme="4" tint="0.39997558519241921"/>
      </top>
      <bottom style="thin">
        <color auto="1"/>
      </bottom>
      <diagonal/>
    </border>
    <border>
      <left/>
      <right/>
      <top/>
      <bottom style="double">
        <color auto="1"/>
      </bottom>
      <diagonal/>
    </border>
    <border>
      <left/>
      <right/>
      <top style="thin">
        <color rgb="FF44B3E1"/>
      </top>
      <bottom style="thin">
        <color rgb="FF44B3E1"/>
      </bottom>
      <diagonal/>
    </border>
    <border>
      <left/>
      <right/>
      <top style="thin">
        <color auto="1"/>
      </top>
      <bottom style="double">
        <color indexed="64"/>
      </bottom>
      <diagonal/>
    </border>
  </borders>
  <cellStyleXfs count="8">
    <xf numFmtId="0" fontId="0" fillId="0" borderId="0"/>
    <xf numFmtId="0" fontId="1" fillId="0" borderId="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17" fillId="6" borderId="0" applyNumberFormat="0" applyBorder="0" applyAlignment="0" applyProtection="0"/>
    <xf numFmtId="43" fontId="1" fillId="0" borderId="0" applyFont="0" applyFill="0" applyBorder="0" applyAlignment="0" applyProtection="0"/>
    <xf numFmtId="0" fontId="27" fillId="0" borderId="0"/>
  </cellStyleXfs>
  <cellXfs count="184">
    <xf numFmtId="0" fontId="0" fillId="0" borderId="0" xfId="0"/>
    <xf numFmtId="0" fontId="1" fillId="0" borderId="0" xfId="1"/>
    <xf numFmtId="14" fontId="1" fillId="0" borderId="0" xfId="1" applyNumberFormat="1"/>
    <xf numFmtId="0" fontId="1" fillId="0" borderId="0" xfId="0" applyFont="1"/>
    <xf numFmtId="44" fontId="1" fillId="0" borderId="0" xfId="3" applyFont="1"/>
    <xf numFmtId="44" fontId="6" fillId="2" borderId="0" xfId="3" applyFont="1" applyFill="1"/>
    <xf numFmtId="44" fontId="6" fillId="0" borderId="0" xfId="3" applyFont="1"/>
    <xf numFmtId="44" fontId="0" fillId="0" borderId="0" xfId="0" applyNumberFormat="1"/>
    <xf numFmtId="44" fontId="1" fillId="0" borderId="0" xfId="1" applyNumberFormat="1"/>
    <xf numFmtId="44" fontId="1" fillId="0" borderId="0" xfId="0" applyNumberFormat="1" applyFont="1"/>
    <xf numFmtId="44" fontId="1" fillId="0" borderId="0" xfId="2" applyFont="1"/>
    <xf numFmtId="0" fontId="6" fillId="2" borderId="0" xfId="0" applyFont="1" applyFill="1"/>
    <xf numFmtId="0" fontId="3" fillId="3" borderId="3" xfId="0" applyFont="1" applyFill="1" applyBorder="1"/>
    <xf numFmtId="0" fontId="0" fillId="2" borderId="3" xfId="0" applyFill="1" applyBorder="1"/>
    <xf numFmtId="0" fontId="0" fillId="0" borderId="3" xfId="0" applyBorder="1"/>
    <xf numFmtId="0" fontId="4" fillId="0" borderId="0" xfId="0" applyFont="1"/>
    <xf numFmtId="164" fontId="4" fillId="0" borderId="0" xfId="0" applyNumberFormat="1" applyFont="1"/>
    <xf numFmtId="44" fontId="0" fillId="0" borderId="0" xfId="3" applyFont="1"/>
    <xf numFmtId="0" fontId="5" fillId="0" borderId="1" xfId="1" applyFont="1" applyBorder="1"/>
    <xf numFmtId="0" fontId="6" fillId="0" borderId="0" xfId="1" applyFont="1"/>
    <xf numFmtId="14" fontId="6" fillId="0" borderId="0" xfId="1" applyNumberFormat="1" applyFont="1"/>
    <xf numFmtId="0" fontId="6" fillId="2" borderId="0" xfId="1" applyFont="1" applyFill="1"/>
    <xf numFmtId="14" fontId="6" fillId="2" borderId="0" xfId="1" applyNumberFormat="1" applyFont="1" applyFill="1"/>
    <xf numFmtId="44" fontId="6" fillId="2" borderId="0" xfId="1" applyNumberFormat="1" applyFont="1" applyFill="1"/>
    <xf numFmtId="44" fontId="6" fillId="0" borderId="0" xfId="1" applyNumberFormat="1" applyFont="1"/>
    <xf numFmtId="44" fontId="6" fillId="0" borderId="2" xfId="1" applyNumberFormat="1" applyFont="1" applyBorder="1"/>
    <xf numFmtId="0" fontId="5" fillId="0" borderId="0" xfId="1" applyFont="1"/>
    <xf numFmtId="0" fontId="7" fillId="0" borderId="0" xfId="0" applyFont="1"/>
    <xf numFmtId="44" fontId="8" fillId="0" borderId="0" xfId="3" applyFont="1"/>
    <xf numFmtId="0" fontId="9" fillId="0" borderId="0" xfId="1" applyFont="1"/>
    <xf numFmtId="0" fontId="5" fillId="0" borderId="2" xfId="1" applyFont="1" applyBorder="1"/>
    <xf numFmtId="44" fontId="10" fillId="0" borderId="0" xfId="1" applyNumberFormat="1" applyFont="1"/>
    <xf numFmtId="0" fontId="9" fillId="0" borderId="2" xfId="1" applyFont="1" applyBorder="1"/>
    <xf numFmtId="44" fontId="4" fillId="0" borderId="0" xfId="0" applyNumberFormat="1" applyFont="1"/>
    <xf numFmtId="0" fontId="11" fillId="0" borderId="0" xfId="0" applyFont="1"/>
    <xf numFmtId="44" fontId="12" fillId="0" borderId="0" xfId="3" applyFont="1"/>
    <xf numFmtId="0" fontId="12" fillId="0" borderId="0" xfId="0" applyFont="1"/>
    <xf numFmtId="44" fontId="12" fillId="0" borderId="0" xfId="0" applyNumberFormat="1" applyFont="1"/>
    <xf numFmtId="0" fontId="3" fillId="0" borderId="0" xfId="0" applyFont="1"/>
    <xf numFmtId="44" fontId="0" fillId="0" borderId="0" xfId="3" applyFont="1" applyFill="1" applyBorder="1"/>
    <xf numFmtId="44" fontId="12" fillId="0" borderId="0" xfId="3" applyFont="1" applyFill="1" applyBorder="1"/>
    <xf numFmtId="44" fontId="13" fillId="0" borderId="0" xfId="0" applyNumberFormat="1" applyFont="1"/>
    <xf numFmtId="0" fontId="0" fillId="0" borderId="4" xfId="0" applyBorder="1"/>
    <xf numFmtId="0" fontId="4" fillId="0" borderId="4" xfId="0" applyFont="1" applyBorder="1" applyAlignment="1">
      <alignment horizontal="center"/>
    </xf>
    <xf numFmtId="164" fontId="0" fillId="0" borderId="0" xfId="0" applyNumberFormat="1"/>
    <xf numFmtId="0" fontId="4" fillId="0" borderId="0" xfId="0" applyFont="1" applyAlignment="1">
      <alignment horizontal="center"/>
    </xf>
    <xf numFmtId="0" fontId="4" fillId="0" borderId="5" xfId="0" applyFont="1" applyBorder="1" applyAlignment="1">
      <alignment horizontal="center"/>
    </xf>
    <xf numFmtId="0" fontId="4" fillId="0" borderId="4" xfId="0" applyFont="1" applyBorder="1" applyAlignment="1">
      <alignment horizontal="left"/>
    </xf>
    <xf numFmtId="44" fontId="0" fillId="0" borderId="0" xfId="3" applyFont="1" applyFill="1"/>
    <xf numFmtId="44" fontId="0" fillId="0" borderId="3" xfId="3" applyFont="1" applyFill="1" applyBorder="1"/>
    <xf numFmtId="44" fontId="0" fillId="0" borderId="3" xfId="0" applyNumberFormat="1" applyBorder="1"/>
    <xf numFmtId="44" fontId="0" fillId="0" borderId="4" xfId="0" applyNumberFormat="1" applyBorder="1"/>
    <xf numFmtId="44" fontId="0" fillId="0" borderId="6" xfId="0" applyNumberFormat="1" applyBorder="1"/>
    <xf numFmtId="44" fontId="16" fillId="0" borderId="0" xfId="0" applyNumberFormat="1" applyFont="1"/>
    <xf numFmtId="44" fontId="4" fillId="0" borderId="0" xfId="3" applyFont="1" applyFill="1"/>
    <xf numFmtId="0" fontId="0" fillId="0" borderId="0" xfId="0" applyAlignment="1">
      <alignment horizontal="center"/>
    </xf>
    <xf numFmtId="44" fontId="4" fillId="0" borderId="0" xfId="3" applyFont="1" applyFill="1" applyAlignment="1">
      <alignment horizontal="center"/>
    </xf>
    <xf numFmtId="0" fontId="0" fillId="0" borderId="4" xfId="0" applyBorder="1" applyAlignment="1">
      <alignment horizontal="center"/>
    </xf>
    <xf numFmtId="0" fontId="4" fillId="0" borderId="0" xfId="0" applyFont="1" applyAlignment="1">
      <alignment horizontal="left"/>
    </xf>
    <xf numFmtId="44" fontId="12" fillId="0" borderId="0" xfId="3" applyFont="1" applyFill="1"/>
    <xf numFmtId="44" fontId="0" fillId="0" borderId="4" xfId="3" applyFont="1" applyFill="1" applyBorder="1"/>
    <xf numFmtId="44" fontId="15" fillId="0" borderId="0" xfId="3" applyFont="1" applyFill="1"/>
    <xf numFmtId="44" fontId="13" fillId="0" borderId="0" xfId="3" applyFont="1" applyFill="1"/>
    <xf numFmtId="44" fontId="12" fillId="0" borderId="4" xfId="3" applyFont="1" applyFill="1" applyBorder="1"/>
    <xf numFmtId="164" fontId="13" fillId="0" borderId="0" xfId="0" applyNumberFormat="1" applyFont="1"/>
    <xf numFmtId="0" fontId="15" fillId="0" borderId="0" xfId="0" applyFont="1"/>
    <xf numFmtId="0" fontId="14" fillId="0" borderId="0" xfId="0" applyFont="1"/>
    <xf numFmtId="43" fontId="0" fillId="0" borderId="0" xfId="4" applyFont="1" applyFill="1"/>
    <xf numFmtId="0" fontId="15" fillId="0" borderId="0" xfId="0" applyFont="1" applyAlignment="1">
      <alignment horizontal="right"/>
    </xf>
    <xf numFmtId="164" fontId="12" fillId="0" borderId="0" xfId="0" applyNumberFormat="1" applyFont="1"/>
    <xf numFmtId="0" fontId="13" fillId="0" borderId="0" xfId="0" applyFont="1"/>
    <xf numFmtId="43" fontId="0" fillId="0" borderId="4" xfId="4" applyFont="1" applyFill="1" applyBorder="1"/>
    <xf numFmtId="44" fontId="4" fillId="0" borderId="4" xfId="3" applyFont="1" applyFill="1" applyBorder="1"/>
    <xf numFmtId="44" fontId="4" fillId="0" borderId="7" xfId="3" applyFont="1" applyFill="1" applyBorder="1"/>
    <xf numFmtId="0" fontId="4" fillId="5" borderId="0" xfId="0" applyFont="1" applyFill="1" applyAlignment="1">
      <alignment horizontal="center"/>
    </xf>
    <xf numFmtId="44" fontId="0" fillId="5" borderId="0" xfId="3" applyFont="1" applyFill="1"/>
    <xf numFmtId="44" fontId="0" fillId="5" borderId="0" xfId="3" applyFont="1" applyFill="1" applyBorder="1"/>
    <xf numFmtId="44" fontId="4" fillId="5" borderId="0" xfId="3" applyFont="1" applyFill="1"/>
    <xf numFmtId="44" fontId="0" fillId="5" borderId="0" xfId="0" applyNumberFormat="1" applyFill="1"/>
    <xf numFmtId="44" fontId="0" fillId="5" borderId="4" xfId="0" applyNumberFormat="1" applyFill="1" applyBorder="1"/>
    <xf numFmtId="0" fontId="4" fillId="5" borderId="4" xfId="0" applyFont="1" applyFill="1" applyBorder="1" applyAlignment="1">
      <alignment horizontal="center"/>
    </xf>
    <xf numFmtId="44" fontId="0" fillId="5" borderId="4" xfId="3" applyFont="1" applyFill="1" applyBorder="1"/>
    <xf numFmtId="44" fontId="12" fillId="5" borderId="0" xfId="3" applyFont="1" applyFill="1"/>
    <xf numFmtId="0" fontId="0" fillId="5" borderId="0" xfId="0" applyFill="1"/>
    <xf numFmtId="44" fontId="13" fillId="5" borderId="0" xfId="3" applyFont="1" applyFill="1"/>
    <xf numFmtId="44" fontId="4" fillId="0" borderId="0" xfId="0" applyNumberFormat="1" applyFont="1" applyAlignment="1">
      <alignment horizontal="center"/>
    </xf>
    <xf numFmtId="44" fontId="4" fillId="5" borderId="0" xfId="0" applyNumberFormat="1" applyFont="1" applyFill="1" applyAlignment="1">
      <alignment horizontal="center"/>
    </xf>
    <xf numFmtId="0" fontId="7" fillId="0" borderId="4" xfId="1" applyFont="1" applyBorder="1" applyAlignment="1">
      <alignment horizontal="center" vertical="center"/>
    </xf>
    <xf numFmtId="43" fontId="0" fillId="0" borderId="0" xfId="6" applyFont="1"/>
    <xf numFmtId="44" fontId="1" fillId="0" borderId="0" xfId="2" applyFont="1" applyFill="1"/>
    <xf numFmtId="43" fontId="0" fillId="0" borderId="4" xfId="6" applyFont="1" applyBorder="1"/>
    <xf numFmtId="44" fontId="1" fillId="0" borderId="4" xfId="2" applyFont="1" applyFill="1" applyBorder="1"/>
    <xf numFmtId="6" fontId="1" fillId="0" borderId="0" xfId="1" applyNumberFormat="1"/>
    <xf numFmtId="0" fontId="13" fillId="0" borderId="1" xfId="0" applyFont="1" applyBorder="1"/>
    <xf numFmtId="0" fontId="13" fillId="0" borderId="1" xfId="0" applyFont="1" applyBorder="1" applyAlignment="1">
      <alignment horizontal="center" vertical="center"/>
    </xf>
    <xf numFmtId="0" fontId="13" fillId="0" borderId="1" xfId="0" applyFont="1" applyBorder="1" applyAlignment="1">
      <alignment horizontal="center" wrapText="1"/>
    </xf>
    <xf numFmtId="0" fontId="13" fillId="0" borderId="1" xfId="0" applyFont="1" applyBorder="1" applyAlignment="1">
      <alignment wrapText="1"/>
    </xf>
    <xf numFmtId="0" fontId="13" fillId="4" borderId="1" xfId="0" applyFont="1" applyFill="1" applyBorder="1"/>
    <xf numFmtId="164" fontId="12" fillId="2" borderId="0" xfId="0" applyNumberFormat="1" applyFont="1" applyFill="1"/>
    <xf numFmtId="164" fontId="12" fillId="0" borderId="0" xfId="5" applyNumberFormat="1" applyFont="1" applyFill="1"/>
    <xf numFmtId="44" fontId="12" fillId="0" borderId="3" xfId="2" applyFont="1" applyFill="1" applyBorder="1"/>
    <xf numFmtId="164" fontId="18" fillId="7" borderId="0" xfId="0" applyNumberFormat="1" applyFont="1" applyFill="1"/>
    <xf numFmtId="164" fontId="12" fillId="0" borderId="0" xfId="0" applyNumberFormat="1" applyFont="1" applyAlignment="1">
      <alignment wrapText="1"/>
    </xf>
    <xf numFmtId="164" fontId="18" fillId="0" borderId="0" xfId="0" applyNumberFormat="1" applyFont="1"/>
    <xf numFmtId="0" fontId="12" fillId="0" borderId="0" xfId="0" applyFont="1" applyAlignment="1">
      <alignment horizontal="center" wrapText="1"/>
    </xf>
    <xf numFmtId="164" fontId="12" fillId="0" borderId="0" xfId="0" applyNumberFormat="1" applyFont="1" applyAlignment="1">
      <alignment horizontal="left" indent="1"/>
    </xf>
    <xf numFmtId="164" fontId="12" fillId="0" borderId="0" xfId="0" applyNumberFormat="1" applyFont="1" applyAlignment="1">
      <alignment horizontal="center" wrapText="1"/>
    </xf>
    <xf numFmtId="164" fontId="12" fillId="0" borderId="0" xfId="3" applyNumberFormat="1" applyFont="1" applyFill="1" applyBorder="1" applyAlignment="1">
      <alignment horizontal="center" wrapText="1"/>
    </xf>
    <xf numFmtId="0" fontId="13" fillId="0" borderId="0" xfId="0" applyFont="1" applyAlignment="1">
      <alignment horizontal="right"/>
    </xf>
    <xf numFmtId="2" fontId="12" fillId="0" borderId="3" xfId="3" applyNumberFormat="1" applyFont="1" applyFill="1" applyBorder="1"/>
    <xf numFmtId="2" fontId="12" fillId="0" borderId="3" xfId="2" applyNumberFormat="1" applyFont="1" applyFill="1" applyBorder="1"/>
    <xf numFmtId="0" fontId="19" fillId="0" borderId="0" xfId="0" applyFont="1"/>
    <xf numFmtId="0" fontId="20" fillId="0" borderId="0" xfId="0" applyFont="1" applyAlignment="1">
      <alignment horizontal="center"/>
    </xf>
    <xf numFmtId="0" fontId="21" fillId="0" borderId="0" xfId="0" applyFont="1" applyAlignment="1">
      <alignment horizontal="center"/>
    </xf>
    <xf numFmtId="0" fontId="21" fillId="0" borderId="0" xfId="0" applyFont="1"/>
    <xf numFmtId="0" fontId="22" fillId="0" borderId="0" xfId="0" applyFont="1"/>
    <xf numFmtId="2" fontId="19" fillId="0" borderId="0" xfId="3" applyNumberFormat="1" applyFont="1" applyFill="1" applyBorder="1" applyAlignment="1">
      <alignment horizontal="center"/>
    </xf>
    <xf numFmtId="0" fontId="19" fillId="0" borderId="0" xfId="0" applyFont="1" applyAlignment="1">
      <alignment horizontal="center"/>
    </xf>
    <xf numFmtId="44" fontId="19" fillId="0" borderId="0" xfId="3" applyFont="1" applyFill="1" applyBorder="1"/>
    <xf numFmtId="44" fontId="19" fillId="0" borderId="0" xfId="0" applyNumberFormat="1" applyFont="1"/>
    <xf numFmtId="44" fontId="19" fillId="8" borderId="8" xfId="2" applyFont="1" applyFill="1" applyBorder="1"/>
    <xf numFmtId="44" fontId="19" fillId="9" borderId="8" xfId="2" applyFont="1" applyFill="1" applyBorder="1"/>
    <xf numFmtId="0" fontId="19" fillId="9" borderId="0" xfId="0" applyFont="1" applyFill="1"/>
    <xf numFmtId="0" fontId="19" fillId="9" borderId="4" xfId="0" applyFont="1" applyFill="1" applyBorder="1"/>
    <xf numFmtId="44" fontId="19" fillId="0" borderId="4" xfId="0" applyNumberFormat="1" applyFont="1" applyBorder="1"/>
    <xf numFmtId="0" fontId="19" fillId="9" borderId="5" xfId="0" applyFont="1" applyFill="1" applyBorder="1"/>
    <xf numFmtId="44" fontId="23" fillId="0" borderId="0" xfId="3" applyFont="1" applyFill="1" applyBorder="1"/>
    <xf numFmtId="44" fontId="23" fillId="0" borderId="0" xfId="0" applyNumberFormat="1" applyFont="1"/>
    <xf numFmtId="0" fontId="24" fillId="9" borderId="4" xfId="0" applyFont="1" applyFill="1" applyBorder="1"/>
    <xf numFmtId="44" fontId="24" fillId="0" borderId="4" xfId="3" applyFont="1" applyFill="1" applyBorder="1"/>
    <xf numFmtId="0" fontId="24" fillId="0" borderId="4" xfId="0" applyFont="1" applyBorder="1"/>
    <xf numFmtId="44" fontId="24" fillId="0" borderId="4" xfId="0" applyNumberFormat="1" applyFont="1" applyBorder="1"/>
    <xf numFmtId="44" fontId="19" fillId="9" borderId="0" xfId="0" applyNumberFormat="1" applyFont="1" applyFill="1"/>
    <xf numFmtId="0" fontId="25" fillId="0" borderId="0" xfId="1" applyFont="1"/>
    <xf numFmtId="4" fontId="19" fillId="0" borderId="0" xfId="0" applyNumberFormat="1" applyFont="1"/>
    <xf numFmtId="8" fontId="19" fillId="0" borderId="0" xfId="3" applyNumberFormat="1" applyFont="1" applyFill="1" applyBorder="1"/>
    <xf numFmtId="164" fontId="1" fillId="0" borderId="0" xfId="1" applyNumberFormat="1"/>
    <xf numFmtId="164" fontId="1" fillId="0" borderId="0" xfId="2" applyNumberFormat="1" applyFont="1" applyFill="1"/>
    <xf numFmtId="14" fontId="26" fillId="0" borderId="0" xfId="1" applyNumberFormat="1" applyFont="1"/>
    <xf numFmtId="164" fontId="28" fillId="0" borderId="0" xfId="7" applyNumberFormat="1" applyFont="1" applyAlignment="1">
      <alignment horizontal="center" vertical="center" shrinkToFit="1"/>
    </xf>
    <xf numFmtId="44" fontId="0" fillId="0" borderId="0" xfId="2" applyFont="1"/>
    <xf numFmtId="5" fontId="1" fillId="0" borderId="0" xfId="1" applyNumberFormat="1"/>
    <xf numFmtId="166" fontId="1" fillId="0" borderId="0" xfId="1" applyNumberFormat="1"/>
    <xf numFmtId="44" fontId="29" fillId="0" borderId="0" xfId="2" applyFont="1"/>
    <xf numFmtId="166" fontId="6" fillId="0" borderId="0" xfId="1" applyNumberFormat="1" applyFont="1"/>
    <xf numFmtId="44" fontId="6" fillId="0" borderId="0" xfId="2" applyFont="1"/>
    <xf numFmtId="167" fontId="19" fillId="0" borderId="0" xfId="0" applyNumberFormat="1" applyFont="1"/>
    <xf numFmtId="168" fontId="19" fillId="0" borderId="0" xfId="0" applyNumberFormat="1" applyFont="1"/>
    <xf numFmtId="44" fontId="30" fillId="0" borderId="0" xfId="0" applyNumberFormat="1" applyFont="1"/>
    <xf numFmtId="44" fontId="19" fillId="0" borderId="4" xfId="3" applyFont="1" applyFill="1" applyBorder="1"/>
    <xf numFmtId="8" fontId="19" fillId="0" borderId="0" xfId="0" applyNumberFormat="1" applyFont="1"/>
    <xf numFmtId="44" fontId="31" fillId="0" borderId="0" xfId="0" applyNumberFormat="1" applyFont="1"/>
    <xf numFmtId="44" fontId="31" fillId="0" borderId="0" xfId="1" applyNumberFormat="1" applyFont="1"/>
    <xf numFmtId="0" fontId="33" fillId="0" borderId="0" xfId="0" applyFont="1"/>
    <xf numFmtId="4" fontId="0" fillId="0" borderId="0" xfId="0" applyNumberFormat="1"/>
    <xf numFmtId="0" fontId="4" fillId="0" borderId="4" xfId="0" applyFont="1" applyBorder="1"/>
    <xf numFmtId="165" fontId="1" fillId="0" borderId="0" xfId="0" applyNumberFormat="1" applyFont="1"/>
    <xf numFmtId="8" fontId="0" fillId="0" borderId="0" xfId="0" applyNumberFormat="1"/>
    <xf numFmtId="44" fontId="0" fillId="0" borderId="0" xfId="3" applyFont="1" applyFill="1" applyAlignment="1">
      <alignment horizontal="right"/>
    </xf>
    <xf numFmtId="0" fontId="0" fillId="0" borderId="0" xfId="0" applyAlignment="1">
      <alignment wrapText="1"/>
    </xf>
    <xf numFmtId="0" fontId="34" fillId="0" borderId="0" xfId="0" applyFont="1"/>
    <xf numFmtId="44" fontId="37" fillId="0" borderId="0" xfId="3" applyFont="1"/>
    <xf numFmtId="44" fontId="4" fillId="0" borderId="9" xfId="3" applyFont="1" applyFill="1" applyBorder="1"/>
    <xf numFmtId="44" fontId="37" fillId="0" borderId="0" xfId="1" applyNumberFormat="1" applyFont="1"/>
    <xf numFmtId="44" fontId="6" fillId="0" borderId="0" xfId="3" applyFont="1" applyFill="1"/>
    <xf numFmtId="44" fontId="37" fillId="0" borderId="0" xfId="0" applyNumberFormat="1" applyFont="1"/>
    <xf numFmtId="44" fontId="14" fillId="0" borderId="0" xfId="0" applyNumberFormat="1" applyFont="1"/>
    <xf numFmtId="44" fontId="1" fillId="0" borderId="0" xfId="3" applyFont="1" applyFill="1"/>
    <xf numFmtId="0" fontId="0" fillId="0" borderId="0" xfId="0" applyAlignment="1">
      <alignment horizontal="left"/>
    </xf>
    <xf numFmtId="0" fontId="35" fillId="0" borderId="0" xfId="0" applyFont="1"/>
    <xf numFmtId="43" fontId="0" fillId="0" borderId="0" xfId="0" applyNumberFormat="1"/>
    <xf numFmtId="49" fontId="2" fillId="0" borderId="0" xfId="3" applyNumberFormat="1" applyFont="1" applyFill="1" applyAlignment="1">
      <alignment horizontal="left"/>
    </xf>
    <xf numFmtId="49" fontId="12" fillId="0" borderId="0" xfId="0" applyNumberFormat="1" applyFont="1" applyAlignment="1">
      <alignment horizontal="left"/>
    </xf>
    <xf numFmtId="49" fontId="12" fillId="0" borderId="0" xfId="3" applyNumberFormat="1" applyFont="1" applyFill="1" applyAlignment="1">
      <alignment horizontal="left"/>
    </xf>
    <xf numFmtId="0" fontId="34" fillId="0" borderId="0" xfId="0" applyFont="1" applyAlignment="1">
      <alignment horizontal="right"/>
    </xf>
    <xf numFmtId="0" fontId="0" fillId="0" borderId="0" xfId="0" applyAlignment="1">
      <alignment horizontal="right"/>
    </xf>
    <xf numFmtId="44" fontId="4" fillId="0" borderId="9" xfId="0" applyNumberFormat="1" applyFont="1" applyBorder="1"/>
    <xf numFmtId="43" fontId="12" fillId="0" borderId="0" xfId="4" applyFont="1" applyFill="1"/>
    <xf numFmtId="44" fontId="1" fillId="0" borderId="4" xfId="1" applyNumberFormat="1" applyBorder="1"/>
    <xf numFmtId="44" fontId="0" fillId="0" borderId="7" xfId="0" applyNumberFormat="1" applyBorder="1"/>
    <xf numFmtId="44" fontId="0" fillId="0" borderId="0" xfId="3" applyFont="1" applyAlignment="1">
      <alignment horizontal="center"/>
    </xf>
    <xf numFmtId="43" fontId="0" fillId="4" borderId="0" xfId="4" applyFont="1" applyFill="1"/>
    <xf numFmtId="0" fontId="36" fillId="0" borderId="0" xfId="0" applyFont="1" applyAlignment="1">
      <alignment horizontal="center"/>
    </xf>
    <xf numFmtId="0" fontId="0" fillId="0" borderId="0" xfId="0" applyAlignment="1">
      <alignment horizontal="left"/>
    </xf>
  </cellXfs>
  <cellStyles count="8">
    <cellStyle name="Comma" xfId="4" builtinId="3"/>
    <cellStyle name="Comma 2" xfId="6" xr:uid="{64428F70-C038-43AB-8B84-59C55B4BD428}"/>
    <cellStyle name="Currency" xfId="3" builtinId="4"/>
    <cellStyle name="Currency 2" xfId="2" xr:uid="{00000000-0005-0000-0000-000001000000}"/>
    <cellStyle name="Neutral" xfId="5" builtinId="28"/>
    <cellStyle name="Normal" xfId="0" builtinId="0"/>
    <cellStyle name="Normal 2" xfId="1" xr:uid="{00000000-0005-0000-0000-000003000000}"/>
    <cellStyle name="Normal 2 2" xfId="7" xr:uid="{1FDF810F-FA2C-4C29-90B5-894825828607}"/>
  </cellStyles>
  <dxfs count="213">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font>
        <strike val="0"/>
        <outline val="0"/>
        <shadow val="0"/>
        <u val="none"/>
        <vertAlign val="baseline"/>
        <sz val="11"/>
        <color auto="1"/>
        <name val="Calibri"/>
        <scheme val="minor"/>
      </font>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font>
        <b val="0"/>
        <i val="0"/>
        <strike val="0"/>
        <condense val="0"/>
        <extend val="0"/>
        <outline val="0"/>
        <shadow val="0"/>
        <u val="none"/>
        <vertAlign val="baseline"/>
        <sz val="12"/>
        <color theme="4" tint="-0.249977111117893"/>
        <name val="Calibri"/>
        <scheme val="minor"/>
      </font>
      <numFmt numFmtId="34" formatCode="_(&quot;$&quot;* #,##0.00_);_(&quot;$&quot;* \(#,##0.00\);_(&quot;$&quot;* &quot;-&quot;??_);_(@_)"/>
      <alignment horizontal="general" vertical="bottom" textRotation="0" wrapText="0" indent="0" justifyLastLine="0" shrinkToFit="0" readingOrder="0"/>
    </dxf>
    <dxf>
      <font>
        <b val="0"/>
        <i val="0"/>
        <strike val="0"/>
        <condense val="0"/>
        <extend val="0"/>
        <outline val="0"/>
        <shadow val="0"/>
        <u val="none"/>
        <vertAlign val="baseline"/>
        <sz val="12"/>
        <color theme="4" tint="-0.249977111117893"/>
        <name val="Calibri"/>
        <scheme val="minor"/>
      </font>
      <numFmt numFmtId="34" formatCode="_(&quot;$&quot;* #,##0.00_);_(&quot;$&quot;* \(#,##0.00\);_(&quot;$&quot;* &quot;-&quot;??_);_(@_)"/>
      <alignment horizontal="general" vertical="bottom" textRotation="0" wrapText="0" indent="0" justifyLastLine="0" shrinkToFit="0" readingOrder="0"/>
    </dxf>
    <dxf>
      <font>
        <b val="0"/>
        <i val="0"/>
        <strike val="0"/>
        <condense val="0"/>
        <extend val="0"/>
        <outline val="0"/>
        <shadow val="0"/>
        <u val="none"/>
        <vertAlign val="baseline"/>
        <sz val="12"/>
        <color theme="4" tint="-0.249977111117893"/>
        <name val="Calibri"/>
        <scheme val="minor"/>
      </font>
      <numFmt numFmtId="34" formatCode="_(&quot;$&quot;* #,##0.00_);_(&quot;$&quot;* \(#,##0.00\);_(&quot;$&quot;*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4" tint="-0.249977111117893"/>
        <name val="Calibri"/>
        <scheme val="minor"/>
      </font>
      <numFmt numFmtId="34" formatCode="_(&quot;$&quot;* #,##0.00_);_(&quot;$&quot;* \(#,##0.00\);_(&quot;$&quot;*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4" tint="-0.249977111117893"/>
        <name val="Calibri"/>
        <scheme val="minor"/>
      </font>
      <numFmt numFmtId="34" formatCode="_(&quot;$&quot;* #,##0.00_);_(&quot;$&quot;* \(#,##0.00\);_(&quot;$&quot;* &quot;-&quot;??_);_(@_)"/>
      <alignment horizontal="general" vertical="bottom" textRotation="0" wrapText="0" indent="0" justifyLastLine="0" shrinkToFit="0" readingOrder="0"/>
    </dxf>
    <dxf>
      <font>
        <b val="0"/>
        <i val="0"/>
        <strike val="0"/>
        <condense val="0"/>
        <extend val="0"/>
        <outline val="0"/>
        <shadow val="0"/>
        <u val="none"/>
        <vertAlign val="baseline"/>
        <sz val="12"/>
        <color theme="4" tint="-0.249977111117893"/>
        <name val="Calibri"/>
        <scheme val="minor"/>
      </font>
      <numFmt numFmtId="34" formatCode="_(&quot;$&quot;* #,##0.00_);_(&quot;$&quot;* \(#,##0.00\);_(&quot;$&quot;* &quot;-&quot;??_);_(@_)"/>
      <alignment horizontal="general" vertical="bottom" textRotation="0" wrapText="0" indent="0" justifyLastLine="0" shrinkToFit="0" readingOrder="0"/>
    </dxf>
    <dxf>
      <font>
        <b val="0"/>
        <i val="0"/>
        <strike val="0"/>
        <condense val="0"/>
        <extend val="0"/>
        <outline val="0"/>
        <shadow val="0"/>
        <u val="none"/>
        <vertAlign val="baseline"/>
        <sz val="12"/>
        <color theme="4" tint="-0.249977111117893"/>
        <name val="Calibri"/>
        <scheme val="minor"/>
      </font>
      <numFmt numFmtId="34" formatCode="_(&quot;$&quot;* #,##0.00_);_(&quot;$&quot;* \(#,##0.00\);_(&quot;$&quot;* &quot;-&quot;??_);_(@_)"/>
      <alignment horizontal="general" vertical="bottom" textRotation="0" wrapText="0" indent="0" justifyLastLine="0" shrinkToFit="0" readingOrder="0"/>
    </dxf>
    <dxf>
      <border outline="0">
        <top style="thin">
          <color theme="4"/>
        </top>
        <bottom style="thin">
          <color theme="4"/>
        </bottom>
      </border>
    </dxf>
    <dxf>
      <font>
        <b val="0"/>
        <i val="0"/>
        <strike val="0"/>
        <condense val="0"/>
        <extend val="0"/>
        <outline val="0"/>
        <shadow val="0"/>
        <u val="none"/>
        <vertAlign val="baseline"/>
        <sz val="12"/>
        <color theme="4" tint="-0.249977111117893"/>
        <name val="Calibri"/>
        <scheme val="minor"/>
      </font>
      <alignment horizontal="general" vertical="bottom" textRotation="0" wrapText="0" indent="0" justifyLastLine="0" shrinkToFit="0" readingOrder="0"/>
    </dxf>
    <dxf>
      <border outline="0">
        <bottom style="thin">
          <color theme="4"/>
        </bottom>
      </border>
    </dxf>
    <dxf>
      <font>
        <b/>
        <i val="0"/>
        <strike val="0"/>
        <condense val="0"/>
        <extend val="0"/>
        <outline val="0"/>
        <shadow val="0"/>
        <u val="none"/>
        <vertAlign val="baseline"/>
        <sz val="12"/>
        <color theme="4" tint="-0.249977111117893"/>
        <name val="Calibri"/>
        <scheme val="minor"/>
      </font>
      <numFmt numFmtId="0" formatCode="General"/>
      <alignment horizontal="general" vertical="bottom" textRotation="0" wrapText="0" indent="0" justifyLastLine="0" shrinkToFit="0" readingOrder="0"/>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border outline="0">
        <left style="thin">
          <color theme="4" tint="0.39997558519241921"/>
        </left>
      </border>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font>
        <b val="0"/>
        <i val="0"/>
        <strike val="0"/>
        <condense val="0"/>
        <extend val="0"/>
        <outline val="0"/>
        <shadow val="0"/>
        <u val="none"/>
        <vertAlign val="baseline"/>
        <sz val="12"/>
        <color theme="1"/>
        <name val="Calibri"/>
        <scheme val="minor"/>
      </font>
      <numFmt numFmtId="34" formatCode="_(&quot;$&quot;* #,##0.00_);_(&quot;$&quot;* \(#,##0.00\);_(&quot;$&quot;* &quot;-&quot;??_);_(@_)"/>
    </dxf>
    <dxf>
      <font>
        <strike val="0"/>
        <outline val="0"/>
        <shadow val="0"/>
        <u val="none"/>
        <vertAlign val="baseline"/>
        <sz val="12"/>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numFmt numFmtId="34" formatCode="_(&quot;$&quot;* #,##0.00_);_(&quot;$&quot;* \(#,##0.00\);_(&quot;$&quot;* &quot;-&quot;??_);_(@_)"/>
    </dxf>
    <dxf>
      <font>
        <strike val="0"/>
        <outline val="0"/>
        <shadow val="0"/>
        <u val="none"/>
        <vertAlign val="baseline"/>
        <sz val="12"/>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2"/>
        <color theme="4" tint="-0.249977111117893"/>
        <name val="Calibri"/>
        <scheme val="minor"/>
      </font>
      <numFmt numFmtId="34" formatCode="_(&quot;$&quot;* #,##0.00_);_(&quot;$&quot;* \(#,##0.00\);_(&quot;$&quot;* &quot;-&quot;??_);_(@_)"/>
      <alignment horizontal="general" vertical="bottom" textRotation="0" wrapText="0" indent="0" justifyLastLine="0" shrinkToFit="0" readingOrder="0"/>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font>
        <strike val="0"/>
        <outline val="0"/>
        <shadow val="0"/>
        <u val="none"/>
        <vertAlign val="baseline"/>
        <sz val="12"/>
        <color theme="1"/>
        <name val="Calibri"/>
        <scheme val="minor"/>
      </font>
      <numFmt numFmtId="34" formatCode="_(&quot;$&quot;* #,##0.00_);_(&quot;$&quot;* \(#,##0.00\);_(&quot;$&quot;* &quot;-&quot;??_);_(@_)"/>
    </dxf>
    <dxf>
      <font>
        <strike val="0"/>
        <outline val="0"/>
        <shadow val="0"/>
        <u val="none"/>
        <vertAlign val="baseline"/>
        <sz val="12"/>
        <color theme="1"/>
        <name val="Calibri"/>
        <scheme val="minor"/>
      </font>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font>
        <strike val="0"/>
        <outline val="0"/>
        <shadow val="0"/>
        <u val="none"/>
        <vertAlign val="baseline"/>
        <sz val="12"/>
        <color theme="1"/>
        <name val="Calibri"/>
        <scheme val="minor"/>
      </font>
      <numFmt numFmtId="34" formatCode="_(&quot;$&quot;* #,##0.00_);_(&quot;$&quot;* \(#,##0.00\);_(&quot;$&quot;* &quot;-&quot;??_);_(@_)"/>
    </dxf>
    <dxf>
      <font>
        <strike val="0"/>
        <outline val="0"/>
        <shadow val="0"/>
        <u val="none"/>
        <vertAlign val="baseline"/>
        <sz val="12"/>
        <color theme="1"/>
        <name val="Calibri"/>
        <scheme val="minor"/>
      </font>
      <numFmt numFmtId="34" formatCode="_(&quot;$&quot;* #,##0.00_);_(&quot;$&quot;* \(#,##0.00\);_(&quot;$&quot;* &quot;-&quot;??_);_(@_)"/>
    </dxf>
    <dxf>
      <font>
        <strike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numFmt numFmtId="34" formatCode="_(&quot;$&quot;* #,##0.00_);_(&quot;$&quot;* \(#,##0.00\);_(&quot;$&quot;* &quot;-&quot;??_);_(@_)"/>
    </dxf>
    <dxf>
      <font>
        <strike val="0"/>
        <outline val="0"/>
        <shadow val="0"/>
        <u val="none"/>
        <vertAlign val="baseline"/>
        <sz val="12"/>
        <color theme="1"/>
        <name val="Calibri"/>
        <scheme val="minor"/>
      </font>
      <numFmt numFmtId="34" formatCode="_(&quot;$&quot;* #,##0.00_);_(&quot;$&quot;* \(#,##0.00\);_(&quot;$&quot;* &quot;-&quot;??_);_(@_)"/>
    </dxf>
    <dxf>
      <font>
        <strike val="0"/>
        <outline val="0"/>
        <shadow val="0"/>
        <u val="none"/>
        <vertAlign val="baseline"/>
        <sz val="12"/>
        <color theme="1"/>
        <name val="Calibri"/>
        <scheme val="minor"/>
      </font>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font>
        <b val="0"/>
        <i val="0"/>
        <strike val="0"/>
        <outline val="0"/>
        <shadow val="0"/>
        <u val="none"/>
        <vertAlign val="baseline"/>
        <sz val="12"/>
        <color theme="1"/>
        <name val="Calibri"/>
        <scheme val="minor"/>
      </font>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font>
        <b val="0"/>
        <i val="0"/>
        <strike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none">
          <fgColor indexed="64"/>
          <bgColor indexed="65"/>
        </patternFill>
      </fill>
    </dxf>
    <dxf>
      <numFmt numFmtId="34" formatCode="_(&quot;$&quot;* #,##0.00_);_(&quot;$&quot;* \(#,##0.00\);_(&quot;$&quot;* &quot;-&quot;??_);_(@_)"/>
    </dxf>
    <dxf>
      <numFmt numFmtId="34" formatCode="_(&quot;$&quot;* #,##0.00_);_(&quot;$&quot;* \(#,##0.00\);_(&quot;$&quot;* &quot;-&quot;??_);_(@_)"/>
    </dxf>
    <dxf>
      <numFmt numFmtId="34" formatCode="_(&quot;$&quot;* #,##0.00_);_(&quot;$&quot;* \(#,##0.00\);_(&quot;$&quot;* &quot;-&quot;??_);_(@_)"/>
    </dxf>
    <dxf>
      <font>
        <strike val="0"/>
        <outline val="0"/>
        <shadow val="0"/>
        <u val="none"/>
        <vertAlign val="baseline"/>
        <sz val="11"/>
        <color auto="1"/>
        <name val="Calibri"/>
        <family val="2"/>
      </font>
      <fill>
        <patternFill patternType="none">
          <fgColor indexed="64"/>
          <bgColor auto="1"/>
        </patternFill>
      </fill>
      <alignment horizontal="center" vertical="bottom" textRotation="0" wrapText="1" indent="0" justifyLastLine="0" shrinkToFit="0" readingOrder="0"/>
    </dxf>
    <dxf>
      <font>
        <strike val="0"/>
        <outline val="0"/>
        <shadow val="0"/>
        <u val="none"/>
        <vertAlign val="baseline"/>
        <sz val="11"/>
        <color auto="1"/>
        <name val="Calibri"/>
        <family val="2"/>
      </font>
      <fill>
        <patternFill patternType="none">
          <fgColor indexed="64"/>
          <bgColor auto="1"/>
        </patternFill>
      </fill>
    </dxf>
    <dxf>
      <font>
        <strike val="0"/>
        <outline val="0"/>
        <shadow val="0"/>
        <u val="none"/>
        <vertAlign val="baseline"/>
        <sz val="11"/>
        <color auto="1"/>
        <name val="Calibri"/>
        <family val="2"/>
      </font>
      <fill>
        <patternFill patternType="none">
          <fgColor indexed="64"/>
          <bgColor auto="1"/>
        </patternFill>
      </fill>
    </dxf>
    <dxf>
      <font>
        <strike val="0"/>
        <outline val="0"/>
        <shadow val="0"/>
        <u val="none"/>
        <vertAlign val="baseline"/>
        <sz val="11"/>
        <color auto="1"/>
        <name val="Calibri"/>
        <family val="2"/>
      </font>
      <fill>
        <patternFill patternType="none">
          <fgColor indexed="64"/>
          <bgColor auto="1"/>
        </patternFill>
      </fill>
    </dxf>
    <dxf>
      <font>
        <strike val="0"/>
        <outline val="0"/>
        <shadow val="0"/>
        <u val="none"/>
        <vertAlign val="baseline"/>
        <sz val="11"/>
        <color auto="1"/>
        <name val="Calibri"/>
        <family val="2"/>
      </font>
      <fill>
        <patternFill patternType="none">
          <fgColor indexed="64"/>
          <bgColor auto="1"/>
        </patternFill>
      </fill>
    </dxf>
    <dxf>
      <font>
        <strike val="0"/>
        <outline val="0"/>
        <shadow val="0"/>
        <u val="none"/>
        <vertAlign val="baseline"/>
        <sz val="11"/>
        <color auto="1"/>
        <name val="Calibri"/>
        <family val="2"/>
      </font>
      <fill>
        <patternFill patternType="none">
          <fgColor indexed="64"/>
          <bgColor auto="1"/>
        </patternFill>
      </fill>
    </dxf>
    <dxf>
      <font>
        <strike val="0"/>
        <outline val="0"/>
        <shadow val="0"/>
        <u val="none"/>
        <vertAlign val="baseline"/>
        <sz val="11"/>
        <color auto="1"/>
        <name val="Calibri"/>
        <family val="2"/>
      </font>
      <numFmt numFmtId="164" formatCode="&quot;$&quot;#,##0.00"/>
      <fill>
        <patternFill patternType="none">
          <fgColor indexed="64"/>
          <bgColor auto="1"/>
        </patternFill>
      </fill>
    </dxf>
    <dxf>
      <font>
        <strike val="0"/>
        <outline val="0"/>
        <shadow val="0"/>
        <u val="none"/>
        <vertAlign val="baseline"/>
        <sz val="11"/>
        <color auto="1"/>
        <name val="Calibri"/>
        <family val="2"/>
      </font>
      <numFmt numFmtId="164" formatCode="&quot;$&quot;#,##0.00"/>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164" formatCode="&quot;$&quot;#,##0.00"/>
      <fill>
        <patternFill patternType="none">
          <bgColor auto="1"/>
        </patternFill>
      </fill>
    </dxf>
    <dxf>
      <font>
        <strike val="0"/>
        <outline val="0"/>
        <shadow val="0"/>
        <u val="none"/>
        <vertAlign val="baseline"/>
        <sz val="11"/>
        <color auto="1"/>
        <name val="Calibri"/>
        <family val="2"/>
      </font>
      <numFmt numFmtId="164" formatCode="&quot;$&quot;#,##0.00"/>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bgColor auto="1"/>
        </patternFill>
      </fill>
    </dxf>
    <dxf>
      <font>
        <strike val="0"/>
        <outline val="0"/>
        <shadow val="0"/>
        <u val="none"/>
        <vertAlign val="baseline"/>
        <sz val="11"/>
        <color auto="1"/>
        <name val="Calibri"/>
        <family val="2"/>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bgColor auto="1"/>
        </patternFill>
      </fill>
    </dxf>
    <dxf>
      <font>
        <strike val="0"/>
        <outline val="0"/>
        <shadow val="0"/>
        <u val="none"/>
        <vertAlign val="baseline"/>
        <sz val="11"/>
        <color auto="1"/>
        <name val="Calibri"/>
        <family val="2"/>
      </font>
      <numFmt numFmtId="164" formatCode="&quot;$&quot;#,##0.00"/>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bgColor auto="1"/>
        </patternFill>
      </fill>
    </dxf>
    <dxf>
      <font>
        <strike val="0"/>
        <outline val="0"/>
        <shadow val="0"/>
        <u val="none"/>
        <vertAlign val="baseline"/>
        <sz val="11"/>
        <color auto="1"/>
        <name val="Calibri"/>
        <family val="2"/>
      </font>
      <numFmt numFmtId="164" formatCode="&quot;$&quot;#,##0.00"/>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bgColor auto="1"/>
        </patternFill>
      </fill>
    </dxf>
    <dxf>
      <font>
        <strike val="0"/>
        <outline val="0"/>
        <shadow val="0"/>
        <u val="none"/>
        <vertAlign val="baseline"/>
        <sz val="11"/>
        <color auto="1"/>
        <name val="Calibri"/>
        <family val="2"/>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bgColor auto="1"/>
        </patternFill>
      </fill>
    </dxf>
    <dxf>
      <font>
        <strike val="0"/>
        <outline val="0"/>
        <shadow val="0"/>
        <u val="none"/>
        <vertAlign val="baseline"/>
        <sz val="11"/>
        <color auto="1"/>
        <name val="Calibri"/>
        <family val="2"/>
      </font>
      <fill>
        <patternFill patternType="none">
          <fgColor indexed="64"/>
          <bgColor auto="1"/>
        </patternFill>
      </fill>
    </dxf>
    <dxf>
      <font>
        <strike val="0"/>
        <outline val="0"/>
        <shadow val="0"/>
        <u val="none"/>
        <vertAlign val="baseline"/>
        <sz val="11"/>
        <color auto="1"/>
        <name val="Calibri"/>
        <family val="2"/>
      </font>
      <fill>
        <patternFill patternType="none">
          <fgColor indexed="64"/>
          <bgColor auto="1"/>
        </patternFill>
      </fill>
    </dxf>
    <dxf>
      <font>
        <strike val="0"/>
        <outline val="0"/>
        <shadow val="0"/>
        <u val="none"/>
        <vertAlign val="baseline"/>
        <sz val="11"/>
        <color auto="1"/>
        <name val="Calibri"/>
        <family val="2"/>
      </font>
      <fill>
        <patternFill patternType="none">
          <fgColor indexed="64"/>
          <bgColor auto="1"/>
        </patternFill>
      </fill>
    </dxf>
    <dxf>
      <font>
        <strike val="0"/>
        <outline val="0"/>
        <shadow val="0"/>
        <u val="none"/>
        <vertAlign val="baseline"/>
        <sz val="11"/>
        <color auto="1"/>
        <name val="Calibri"/>
        <family val="2"/>
      </font>
      <fill>
        <patternFill patternType="none">
          <fgColor indexed="64"/>
          <bgColor auto="1"/>
        </patternFill>
      </fill>
    </dxf>
    <dxf>
      <font>
        <strike val="0"/>
        <outline val="0"/>
        <shadow val="0"/>
        <u val="none"/>
        <vertAlign val="baseline"/>
        <sz val="11"/>
        <color auto="1"/>
        <name val="Calibri"/>
        <family val="2"/>
      </font>
      <fill>
        <patternFill patternType="none">
          <fgColor indexed="64"/>
          <bgColor auto="1"/>
        </patternFill>
      </fill>
      <alignment horizontal="center" vertical="bottom" textRotation="0" wrapText="1" indent="0" justifyLastLine="0" shrinkToFit="0" readingOrder="0"/>
    </dxf>
    <dxf>
      <font>
        <strike val="0"/>
        <outline val="0"/>
        <shadow val="0"/>
        <u val="none"/>
        <vertAlign val="baseline"/>
        <sz val="11"/>
        <color auto="1"/>
        <name val="Calibri"/>
        <family val="2"/>
      </font>
      <fill>
        <patternFill patternType="none">
          <fgColor indexed="64"/>
          <bgColor auto="1"/>
        </patternFill>
      </fill>
    </dxf>
    <dxf>
      <font>
        <strike val="0"/>
        <outline val="0"/>
        <shadow val="0"/>
        <u val="none"/>
        <vertAlign val="baseline"/>
        <sz val="11"/>
        <color auto="1"/>
        <name val="Calibri"/>
        <family val="2"/>
      </font>
      <fill>
        <patternFill patternType="none">
          <fgColor indexed="64"/>
          <bgColor auto="1"/>
        </patternFill>
      </fill>
    </dxf>
    <dxf>
      <font>
        <strike val="0"/>
        <outline val="0"/>
        <shadow val="0"/>
        <u val="none"/>
        <vertAlign val="baseline"/>
        <sz val="11"/>
        <color auto="1"/>
        <name val="Calibri"/>
        <family val="2"/>
      </font>
      <fill>
        <patternFill patternType="none">
          <fgColor indexed="64"/>
          <bgColor auto="1"/>
        </patternFill>
      </fill>
    </dxf>
    <dxf>
      <font>
        <strike val="0"/>
        <outline val="0"/>
        <shadow val="0"/>
        <u val="none"/>
        <vertAlign val="baseline"/>
        <sz val="11"/>
        <color auto="1"/>
        <name val="Calibri"/>
        <family val="2"/>
      </font>
      <fill>
        <patternFill patternType="none">
          <fgColor indexed="64"/>
          <bgColor auto="1"/>
        </patternFill>
      </fill>
    </dxf>
    <dxf>
      <font>
        <strike val="0"/>
        <outline val="0"/>
        <shadow val="0"/>
        <u val="none"/>
        <vertAlign val="baseline"/>
        <sz val="11"/>
        <color auto="1"/>
        <name val="Calibri"/>
        <family val="2"/>
      </font>
      <fill>
        <patternFill patternType="none">
          <fgColor indexed="64"/>
          <bgColor auto="1"/>
        </patternFill>
      </fill>
    </dxf>
    <dxf>
      <font>
        <strike val="0"/>
        <outline val="0"/>
        <shadow val="0"/>
        <u val="none"/>
        <vertAlign val="baseline"/>
        <sz val="11"/>
        <color auto="1"/>
        <name val="Calibri"/>
        <family val="2"/>
      </font>
      <numFmt numFmtId="164" formatCode="&quot;$&quot;#,##0.00"/>
      <fill>
        <patternFill patternType="none">
          <fgColor indexed="64"/>
          <bgColor auto="1"/>
        </patternFill>
      </fill>
    </dxf>
    <dxf>
      <font>
        <strike val="0"/>
        <outline val="0"/>
        <shadow val="0"/>
        <u val="none"/>
        <vertAlign val="baseline"/>
        <sz val="11"/>
        <color auto="1"/>
        <name val="Calibri"/>
        <family val="2"/>
      </font>
      <numFmt numFmtId="164" formatCode="&quot;$&quot;#,##0.00"/>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164" formatCode="&quot;$&quot;#,##0.00"/>
      <fill>
        <patternFill patternType="none">
          <fgColor indexed="64"/>
          <bgColor indexed="65"/>
        </patternFill>
      </fill>
    </dxf>
    <dxf>
      <font>
        <strike val="0"/>
        <outline val="0"/>
        <shadow val="0"/>
        <u val="none"/>
        <vertAlign val="baseline"/>
        <sz val="11"/>
        <color auto="1"/>
        <name val="Calibri"/>
        <family val="2"/>
      </font>
      <numFmt numFmtId="164" formatCode="&quot;$&quot;#,##0.00"/>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strike val="0"/>
        <outline val="0"/>
        <shadow val="0"/>
        <u val="none"/>
        <vertAlign val="baseline"/>
        <sz val="11"/>
        <color auto="1"/>
        <name val="Calibri"/>
        <family val="2"/>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strike val="0"/>
        <outline val="0"/>
        <shadow val="0"/>
        <u val="none"/>
        <vertAlign val="baseline"/>
        <sz val="11"/>
        <color auto="1"/>
        <name val="Calibri"/>
        <family val="2"/>
      </font>
      <numFmt numFmtId="164" formatCode="&quot;$&quot;#,##0.00"/>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strike val="0"/>
        <outline val="0"/>
        <shadow val="0"/>
        <u val="none"/>
        <vertAlign val="baseline"/>
        <sz val="11"/>
        <color auto="1"/>
        <name val="Calibri"/>
        <family val="2"/>
      </font>
      <numFmt numFmtId="164" formatCode="&quot;$&quot;#,##0.00"/>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strike val="0"/>
        <outline val="0"/>
        <shadow val="0"/>
        <u val="none"/>
        <vertAlign val="baseline"/>
        <sz val="11"/>
        <color auto="1"/>
        <name val="Calibri"/>
        <family val="2"/>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strike val="0"/>
        <outline val="0"/>
        <shadow val="0"/>
        <u val="none"/>
        <vertAlign val="baseline"/>
        <sz val="11"/>
        <color auto="1"/>
        <name val="Calibri"/>
        <family val="2"/>
      </font>
      <fill>
        <patternFill patternType="none">
          <fgColor indexed="64"/>
          <bgColor auto="1"/>
        </patternFill>
      </fill>
    </dxf>
    <dxf>
      <font>
        <strike val="0"/>
        <outline val="0"/>
        <shadow val="0"/>
        <u val="none"/>
        <vertAlign val="baseline"/>
        <sz val="11"/>
        <color auto="1"/>
        <name val="Calibri"/>
        <family val="2"/>
      </font>
      <fill>
        <patternFill patternType="none">
          <fgColor indexed="64"/>
          <bgColor auto="1"/>
        </patternFill>
      </fill>
    </dxf>
    <dxf>
      <font>
        <strike val="0"/>
        <outline val="0"/>
        <shadow val="0"/>
        <u val="none"/>
        <vertAlign val="baseline"/>
        <sz val="11"/>
        <color auto="1"/>
        <name val="Calibri"/>
        <family val="2"/>
      </font>
      <fill>
        <patternFill patternType="none">
          <fgColor indexed="64"/>
          <bgColor auto="1"/>
        </patternFill>
      </fill>
    </dxf>
    <dxf>
      <font>
        <strike val="0"/>
        <outline val="0"/>
        <shadow val="0"/>
        <u val="none"/>
        <vertAlign val="baseline"/>
        <sz val="11"/>
        <color auto="1"/>
        <name val="Calibri"/>
        <family val="2"/>
      </font>
      <fill>
        <patternFill patternType="none">
          <fgColor indexed="64"/>
          <bgColor auto="1"/>
        </patternFill>
      </fill>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font>
        <b val="0"/>
        <i val="0"/>
        <strike val="0"/>
        <outline val="0"/>
        <shadow val="0"/>
        <u val="none"/>
        <vertAlign val="baseline"/>
        <sz val="12"/>
        <color theme="1"/>
        <name val="Calibri"/>
        <scheme val="minor"/>
      </font>
      <numFmt numFmtId="164" formatCode="&quot;$&quot;#,##0.00"/>
    </dxf>
    <dxf>
      <font>
        <b val="0"/>
        <i val="0"/>
        <strike val="0"/>
        <outline val="0"/>
        <shadow val="0"/>
        <u val="none"/>
        <vertAlign val="baseline"/>
        <sz val="12"/>
        <color theme="1"/>
        <name val="Calibri"/>
        <scheme val="minor"/>
      </font>
      <numFmt numFmtId="164" formatCode="&quot;$&quot;#,##0.00"/>
    </dxf>
    <dxf>
      <font>
        <b val="0"/>
        <i val="0"/>
        <strike val="0"/>
        <condense val="0"/>
        <extend val="0"/>
        <outline val="0"/>
        <shadow val="0"/>
        <u val="none"/>
        <vertAlign val="baseline"/>
        <sz val="12"/>
        <color theme="1"/>
        <name val="Calibri"/>
        <scheme val="minor"/>
      </font>
      <numFmt numFmtId="164" formatCode="&quot;$&quot;#,##0.00"/>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dcpas-my.sharepoint.com/personal/cshaffer_md-cpas_com/Documents/PA%20Opioid/Correct%20Copy%20of%20Wave%202%20-%20Estimated%20Allocations%20-%20Draft%20(005).xlsx" TargetMode="External"/><Relationship Id="rId1" Type="http://schemas.openxmlformats.org/officeDocument/2006/relationships/externalLinkPath" Target="https://mdcpas-my.sharepoint.com/personal/cshaffer_md-cpas_com/Documents/PA%20Opioid/Correct%20Copy%20of%20Wave%202%20-%20Estimated%20Allocations%20-%20Draft%20(00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dcpas-my.sharepoint.com/personal/cshaffer_md-cpas_com/Documents/PA%20Opioid/PA%20Opioid%20Revised%20Wave%202%20Payment%203.xlsx" TargetMode="External"/><Relationship Id="rId1" Type="http://schemas.openxmlformats.org/officeDocument/2006/relationships/externalLinkPath" Target="https://mdcpas-my.sharepoint.com/personal/cshaffer_md-cpas_com/Documents/PA%20Opioid/PA%20Opioid%20Revised%20Wave%202%20Payment%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Wave 1 Payment 5 Summary"/>
      <sheetName val="Wave 1 Payment Detail"/>
      <sheetName val="Wave 2 Payment Detail"/>
      <sheetName val="Endo Payment Detail"/>
      <sheetName val="Dist and JJ Totals"/>
      <sheetName val="Dist and JJ County Payments"/>
      <sheetName val="Distributors Litigating Subs"/>
      <sheetName val="J&amp;J Litigating Subs"/>
      <sheetName val="Wave 2 Payment 3 Summary"/>
      <sheetName val="County Breakdown"/>
      <sheetName val="Teva Allergan Walmart County"/>
      <sheetName val="Walgreens and CVS County"/>
      <sheetName val="Teva Litigating"/>
      <sheetName val="Allergan Litigating"/>
      <sheetName val="Walgreens and CVS Litigating"/>
      <sheetName val="Walmart Litigating"/>
      <sheetName val="Teva Allergan Lit Breakdown"/>
      <sheetName val="Pharmacies Breakdown"/>
      <sheetName val="Endo Overview"/>
      <sheetName val="Endo County w Floor"/>
      <sheetName val="Endo Litigating Subs w Floor"/>
      <sheetName val="Endo Ratio for Min Lit Subs"/>
      <sheetName val="Fees Calculations"/>
    </sheetNames>
    <sheetDataSet>
      <sheetData sheetId="0"/>
      <sheetData sheetId="1"/>
      <sheetData sheetId="2"/>
      <sheetData sheetId="3"/>
      <sheetData sheetId="4"/>
      <sheetData sheetId="5">
        <row r="23">
          <cell r="B23">
            <v>5772983.206280496</v>
          </cell>
          <cell r="C23">
            <v>5846280.7273508878</v>
          </cell>
        </row>
        <row r="24">
          <cell r="B24"/>
          <cell r="C24"/>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Wave 1 Payment 5 Summary"/>
      <sheetName val="Wave 1 J&amp;J Payment Detail"/>
      <sheetName val="Wave 1 Distrib Partial Payment"/>
      <sheetName val="Endo Payment Detail"/>
      <sheetName val="Dist and JJ Totals"/>
      <sheetName val="Dist and JJ County Payments"/>
      <sheetName val="Distributors Litigating Subs"/>
      <sheetName val="J&amp;J Litigating Subs"/>
      <sheetName val="Wave 2 Payment 3 Summary"/>
      <sheetName val="County Breakdown"/>
      <sheetName val="Wave 2 Payment Detail"/>
      <sheetName val="Random Sample Recalc"/>
      <sheetName val="Sample Population"/>
      <sheetName val="Teva Allergan Walmart County"/>
      <sheetName val="Walgreens and CVS County"/>
      <sheetName val="Teva Litigating"/>
      <sheetName val="Allergan Litigating"/>
      <sheetName val="Walgreens and CVS Litigating"/>
      <sheetName val="Walmart Litigating"/>
      <sheetName val="Teva Allergan Lit Breakdown"/>
      <sheetName val="Pharmacies Breakdown"/>
      <sheetName val="Endo Overview"/>
      <sheetName val="Endo County w Floor"/>
      <sheetName val="Endo Litigating Subs w Floor"/>
      <sheetName val="Endo Ratio for Min Lit Subs"/>
      <sheetName val="Fees Calculations"/>
    </sheetNames>
    <sheetDataSet>
      <sheetData sheetId="0"/>
      <sheetData sheetId="1"/>
      <sheetData sheetId="2"/>
      <sheetData sheetId="3"/>
      <sheetData sheetId="4"/>
      <sheetData sheetId="5">
        <row r="24">
          <cell r="B24"/>
          <cell r="C24"/>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3ED1500-C383-460F-A2F0-10CAE6790F47}" name="Table1422" displayName="Table1422" ref="A1:O20" totalsRowShown="0">
  <autoFilter ref="A1:O20" xr:uid="{00000000-0009-0000-0100-000004000000}"/>
  <tableColumns count="15">
    <tableColumn id="1" xr3:uid="{98EBA75C-0A98-47D8-B30C-B8B79E5CFA12}" name="Payment #"/>
    <tableColumn id="12" xr3:uid="{B9841AFD-B203-4928-BC23-DA270960834E}" name="Approx Date"/>
    <tableColumn id="2" xr3:uid="{7794269B-7A7A-43B0-95BE-60E90FBDFA24}" name="PA Distributors " dataDxfId="212"/>
    <tableColumn id="3" xr3:uid="{CD618D96-7471-42AD-A1A2-1405266CA168}" name="PA J&amp;J" dataDxfId="211"/>
    <tableColumn id="4" xr3:uid="{AA854D1F-299B-4807-9A9D-FF0262D43A5B}" name="Totals" dataDxfId="210"/>
    <tableColumn id="14" xr3:uid="{A4A0667F-138A-4319-A3CE-A495E62DA1AB}" name="Distributors Atty Fees" dataDxfId="209"/>
    <tableColumn id="13" xr3:uid="{A3757C17-95EB-4EB5-8029-69A94CE253D0}" name="J&amp;J Attorneys Fees" dataDxfId="208"/>
    <tableColumn id="5" xr3:uid="{8885E3EE-60DC-4697-950D-BEA27C8B4923}" name="Attorney's Costs" dataDxfId="207"/>
    <tableColumn id="15" xr3:uid="{A7F22FAD-7873-4F3A-9643-BF18042B5DEB}" name="Admin Costs" dataDxfId="206"/>
    <tableColumn id="6" xr3:uid="{A39C886B-05A8-43D3-9E38-B6CC81C3CE13}" name="Total Less Fees" dataDxfId="205">
      <calculatedColumnFormula>Table1422[[#This Row],[Totals]]-Table1422[[#This Row],[Distributors Atty Fees]]-Table1422[[#This Row],[J&amp;J Attorneys Fees]]-Table1422[[#This Row],[Attorney''s Costs]]-Table1422[[#This Row],[Admin Costs]]</calculatedColumnFormula>
    </tableColumn>
    <tableColumn id="7" xr3:uid="{1CB6089C-C8D5-4C08-95E7-671CAD210763}" name="Commonwealth" dataDxfId="204">
      <calculatedColumnFormula>Table1422[[#This Row],[Total Less Fees]]*0.15</calculatedColumnFormula>
    </tableColumn>
    <tableColumn id="8" xr3:uid="{8EB44EC4-3A4A-4046-B5CC-7B84E8681AEF}" name="County" dataDxfId="203">
      <calculatedColumnFormula>Table1422[[#This Row],[Total Less Fees]]*0.7</calculatedColumnFormula>
    </tableColumn>
    <tableColumn id="9" xr3:uid="{E4D6D704-D200-499F-B619-0800C14EA7D2}" name="Litigating" dataDxfId="202">
      <calculatedColumnFormula>Table1422[[#This Row],[Total Less Fees]]*0.15</calculatedColumnFormula>
    </tableColumn>
    <tableColumn id="10" xr3:uid="{7223FD1C-5DAD-4012-A942-C0E6ACC0635F}" name="(Litigating Ds" dataDxfId="201"/>
    <tableColumn id="11" xr3:uid="{5E2F5ACD-43E3-46CF-892D-2D2E4A5482C1}" name="(Litigating J&amp;J)" dataDxfId="200">
      <calculatedColumnFormula>(Table1422[[#This Row],[PA J&amp;J]]-Table1422[[#This Row],[J&amp;J Attorneys Fees]])*0.15</calculatedColumnFormula>
    </tableColumn>
  </tableColumns>
  <tableStyleInfo name="TableStyleLight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A1:I15" totalsRowShown="0" headerRowDxfId="85" dataDxfId="84">
  <autoFilter ref="A1:I15" xr:uid="{00000000-0009-0000-0100-000006000000}"/>
  <tableColumns count="9">
    <tableColumn id="1" xr3:uid="{00000000-0010-0000-0400-000001000000}" name="Payment #" dataDxfId="83"/>
    <tableColumn id="2" xr3:uid="{00000000-0010-0000-0400-000002000000}" name="Approx Date" dataDxfId="82"/>
    <tableColumn id="3" xr3:uid="{00000000-0010-0000-0400-000003000000}" name="Teva/Allergan Litigating" dataDxfId="81" dataCellStyle="Normal 2">
      <calculatedColumnFormula>Table14[[#This Row],[Teva/Allergan Litigating]]</calculatedColumnFormula>
    </tableColumn>
    <tableColumn id="9" xr3:uid="{00000000-0010-0000-0400-000009000000}" name="Teva Bellwether" dataDxfId="80" dataCellStyle="Currency">
      <calculatedColumnFormula>((Table14[[#This Row],[Teva]]-Table14[[#This Row],[Teva Attorney Fees]])*0.15)*0.25</calculatedColumnFormula>
    </tableColumn>
    <tableColumn id="7" xr3:uid="{00000000-0010-0000-0400-000007000000}" name="Teva Litigating Total Less Fees and Bellwether" dataDxfId="79" dataCellStyle="Currency">
      <calculatedColumnFormula>((Table14[[#This Row],[Teva]]-Table14[[#This Row],[Teva Attorney Fees]])*0.15)*0.75</calculatedColumnFormula>
    </tableColumn>
    <tableColumn id="11" xr3:uid="{00000000-0010-0000-0400-00000B000000}" name="Teva Total Litigating" dataDxfId="78" dataCellStyle="Currency">
      <calculatedColumnFormula>Table6[[#This Row],[Teva Bellwether]]+Table6[[#This Row],[Teva Litigating Total Less Fees and Bellwether]]</calculatedColumnFormula>
    </tableColumn>
    <tableColumn id="12" xr3:uid="{00000000-0010-0000-0400-00000C000000}" name="Allergan Bellwether" dataDxfId="77" dataCellStyle="Currency">
      <calculatedColumnFormula>((Table14[[#This Row],[Allergan]]-Table14[[#This Row],[Allergan Attorney Fees ]])*0.15)*0.25</calculatedColumnFormula>
    </tableColumn>
    <tableColumn id="8" xr3:uid="{00000000-0010-0000-0400-000008000000}" name="Allergan Litigating Less Fees and Bellwether" dataDxfId="76" dataCellStyle="Currency">
      <calculatedColumnFormula>((Table14[[#This Row],[Allergan]]-Table14[[#This Row],[Allergan Attorney Fees ]])*0.15)*0.75</calculatedColumnFormula>
    </tableColumn>
    <tableColumn id="13" xr3:uid="{00000000-0010-0000-0400-00000D000000}" name="Total Allergan Litigating" dataDxfId="75" dataCellStyle="Currency">
      <calculatedColumnFormula>Table6[[#This Row],[Allergan Bellwether]]+Table6[[#This Row],[Allergan Litigating Less Fees and Bellwether]]</calculatedColumnFormula>
    </tableColumn>
  </tableColumns>
  <tableStyleInfo name="TableStyleLight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7" displayName="Table7" ref="A1:P90" totalsRowShown="0">
  <autoFilter ref="A1:P90" xr:uid="{00000000-0009-0000-0100-000007000000}"/>
  <tableColumns count="16">
    <tableColumn id="1" xr3:uid="{00000000-0010-0000-0500-000001000000}" name="Litigant"/>
    <tableColumn id="2" xr3:uid="{00000000-0010-0000-0500-000002000000}" name="Teva Adjusted %"/>
    <tableColumn id="3" xr3:uid="{00000000-0010-0000-0500-000003000000}" name="Payment 1" dataCellStyle="Currency">
      <calculatedColumnFormula>Table7[[#This Row],[Teva Adjusted %]]*$C$92</calculatedColumnFormula>
    </tableColumn>
    <tableColumn id="4" xr3:uid="{00000000-0010-0000-0500-000004000000}" name="Payment 2" dataDxfId="74" dataCellStyle="Currency">
      <calculatedColumnFormula>Table7[[#This Row],[Teva Adjusted %]]*$D$92</calculatedColumnFormula>
    </tableColumn>
    <tableColumn id="5" xr3:uid="{00000000-0010-0000-0500-000005000000}" name="Payment 3 " dataDxfId="73" dataCellStyle="Currency">
      <calculatedColumnFormula>Table7[[#This Row],[Teva Adjusted %]]*$E$92</calculatedColumnFormula>
    </tableColumn>
    <tableColumn id="6" xr3:uid="{00000000-0010-0000-0500-000006000000}" name="Payment 4" dataDxfId="72" dataCellStyle="Currency">
      <calculatedColumnFormula>Table7[[#This Row],[Teva Adjusted %]]*$F$92</calculatedColumnFormula>
    </tableColumn>
    <tableColumn id="7" xr3:uid="{00000000-0010-0000-0500-000007000000}" name="Payment 5" dataDxfId="71" dataCellStyle="Currency">
      <calculatedColumnFormula>Table7[[#This Row],[Teva Adjusted %]]*$G$92</calculatedColumnFormula>
    </tableColumn>
    <tableColumn id="8" xr3:uid="{00000000-0010-0000-0500-000008000000}" name="Payment 6" dataDxfId="70" dataCellStyle="Currency">
      <calculatedColumnFormula>Table7[[#This Row],[Teva Adjusted %]]*$H$92</calculatedColumnFormula>
    </tableColumn>
    <tableColumn id="9" xr3:uid="{00000000-0010-0000-0500-000009000000}" name="Payment 7" dataDxfId="69" dataCellStyle="Currency">
      <calculatedColumnFormula>Table7[[#This Row],[Teva Adjusted %]]*$I$92</calculatedColumnFormula>
    </tableColumn>
    <tableColumn id="10" xr3:uid="{00000000-0010-0000-0500-00000A000000}" name="Payment 8" dataDxfId="68" dataCellStyle="Currency">
      <calculatedColumnFormula>Table7[[#This Row],[Teva Adjusted %]]*$J$92</calculatedColumnFormula>
    </tableColumn>
    <tableColumn id="11" xr3:uid="{00000000-0010-0000-0500-00000B000000}" name="Payment 9" dataDxfId="67" dataCellStyle="Currency">
      <calculatedColumnFormula>Table7[[#This Row],[Teva Adjusted %]]*$K$92</calculatedColumnFormula>
    </tableColumn>
    <tableColumn id="12" xr3:uid="{00000000-0010-0000-0500-00000C000000}" name="Payment 10" dataDxfId="66" dataCellStyle="Currency">
      <calculatedColumnFormula>Table7[[#This Row],[Teva Adjusted %]]*$L$92</calculatedColumnFormula>
    </tableColumn>
    <tableColumn id="13" xr3:uid="{00000000-0010-0000-0500-00000D000000}" name="Payment 11" dataDxfId="65" dataCellStyle="Currency">
      <calculatedColumnFormula>Table7[[#This Row],[Teva Adjusted %]]*$M$92</calculatedColumnFormula>
    </tableColumn>
    <tableColumn id="14" xr3:uid="{00000000-0010-0000-0500-00000E000000}" name="Payment 12" dataDxfId="64" dataCellStyle="Currency">
      <calculatedColumnFormula>Table7[[#This Row],[Teva Adjusted %]]*$N$92</calculatedColumnFormula>
    </tableColumn>
    <tableColumn id="15" xr3:uid="{00000000-0010-0000-0500-00000F000000}" name="Payment 13" dataDxfId="63" dataCellStyle="Currency">
      <calculatedColumnFormula>Table7[[#This Row],[Teva Adjusted %]]*$O$92</calculatedColumnFormula>
    </tableColumn>
    <tableColumn id="16" xr3:uid="{00000000-0010-0000-0500-000010000000}" name="Total" dataDxfId="62" dataCellStyle="Currency">
      <calculatedColumnFormula>SUM(Table7[[#This Row],[Payment 1]:[Payment 13]])</calculatedColumnFormula>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8" displayName="Table8" ref="A94:P97" totalsRowShown="0">
  <autoFilter ref="A94:P97" xr:uid="{00000000-0009-0000-0100-000008000000}"/>
  <tableColumns count="16">
    <tableColumn id="1" xr3:uid="{00000000-0010-0000-0600-000001000000}" name="Bellwethers"/>
    <tableColumn id="2" xr3:uid="{00000000-0010-0000-0600-000002000000}" name="Bellwether Percent"/>
    <tableColumn id="3" xr3:uid="{00000000-0010-0000-0600-000003000000}" name="Payment 1" dataDxfId="61">
      <calculatedColumnFormula>Table8[[#This Row],[Bellwether Percent]]*$C$99</calculatedColumnFormula>
    </tableColumn>
    <tableColumn id="4" xr3:uid="{00000000-0010-0000-0600-000004000000}" name="Payment 2" dataDxfId="60">
      <calculatedColumnFormula>Table8[[#This Row],[Bellwether Percent]]*$D$99</calculatedColumnFormula>
    </tableColumn>
    <tableColumn id="5" xr3:uid="{00000000-0010-0000-0600-000005000000}" name="Payment 3 " dataDxfId="59">
      <calculatedColumnFormula>Table8[[#This Row],[Bellwether Percent]]*$E$99</calculatedColumnFormula>
    </tableColumn>
    <tableColumn id="6" xr3:uid="{00000000-0010-0000-0600-000006000000}" name="Payment 4" dataDxfId="58">
      <calculatedColumnFormula>Table8[[#This Row],[Bellwether Percent]]*$F$99</calculatedColumnFormula>
    </tableColumn>
    <tableColumn id="7" xr3:uid="{00000000-0010-0000-0600-000007000000}" name="Payment 5" dataDxfId="57">
      <calculatedColumnFormula>Table8[[#This Row],[Bellwether Percent]]*$G$99</calculatedColumnFormula>
    </tableColumn>
    <tableColumn id="8" xr3:uid="{00000000-0010-0000-0600-000008000000}" name="Payment 6" dataDxfId="56">
      <calculatedColumnFormula>Table8[[#This Row],[Bellwether Percent]]*$H$99</calculatedColumnFormula>
    </tableColumn>
    <tableColumn id="9" xr3:uid="{00000000-0010-0000-0600-000009000000}" name="Payment 7" dataDxfId="55">
      <calculatedColumnFormula>Table8[[#This Row],[Bellwether Percent]]*$I$99</calculatedColumnFormula>
    </tableColumn>
    <tableColumn id="10" xr3:uid="{00000000-0010-0000-0600-00000A000000}" name="Payment 8" dataDxfId="54">
      <calculatedColumnFormula>Table8[[#This Row],[Bellwether Percent]]*$J$99</calculatedColumnFormula>
    </tableColumn>
    <tableColumn id="11" xr3:uid="{00000000-0010-0000-0600-00000B000000}" name="Payment 9" dataDxfId="53">
      <calculatedColumnFormula>Table8[[#This Row],[Bellwether Percent]]*$K$99</calculatedColumnFormula>
    </tableColumn>
    <tableColumn id="12" xr3:uid="{00000000-0010-0000-0600-00000C000000}" name="Payment 10" dataDxfId="52">
      <calculatedColumnFormula>Table8[[#This Row],[Bellwether Percent]]*$L$99</calculatedColumnFormula>
    </tableColumn>
    <tableColumn id="13" xr3:uid="{00000000-0010-0000-0600-00000D000000}" name="Payment 11" dataDxfId="51">
      <calculatedColumnFormula>Table8[[#This Row],[Bellwether Percent]]*$M$99</calculatedColumnFormula>
    </tableColumn>
    <tableColumn id="14" xr3:uid="{00000000-0010-0000-0600-00000E000000}" name="Payment 12" dataDxfId="50">
      <calculatedColumnFormula>Table8[[#This Row],[Bellwether Percent]]*$N$99</calculatedColumnFormula>
    </tableColumn>
    <tableColumn id="15" xr3:uid="{00000000-0010-0000-0600-00000F000000}" name="Payment 13" dataDxfId="49">
      <calculatedColumnFormula>Table8[[#This Row],[Bellwether Percent]]*$O$99</calculatedColumnFormula>
    </tableColumn>
    <tableColumn id="16" xr3:uid="{00000000-0010-0000-0600-000010000000}" name="Total" dataDxfId="48">
      <calculatedColumnFormula>SUM(Table8[[#This Row],[Payment 1]:[Payment 13]])</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9" displayName="Table9" ref="A1:J82" totalsRowShown="0">
  <autoFilter ref="A1:J82" xr:uid="{00000000-0009-0000-0100-000009000000}"/>
  <tableColumns count="10">
    <tableColumn id="1" xr3:uid="{00000000-0010-0000-0700-000001000000}" name="Litigant"/>
    <tableColumn id="2" xr3:uid="{00000000-0010-0000-0700-000002000000}" name="Allergan Adjusted %"/>
    <tableColumn id="3" xr3:uid="{00000000-0010-0000-0700-000003000000}" name="Payment 1" dataCellStyle="Currency">
      <calculatedColumnFormula>Table9[[#This Row],[Allergan Adjusted %]]*$C$84</calculatedColumnFormula>
    </tableColumn>
    <tableColumn id="4" xr3:uid="{00000000-0010-0000-0700-000004000000}" name="Payment 2" dataDxfId="47" dataCellStyle="Currency">
      <calculatedColumnFormula>Table9[[#This Row],[Allergan Adjusted %]]*$D$84</calculatedColumnFormula>
    </tableColumn>
    <tableColumn id="5" xr3:uid="{00000000-0010-0000-0700-000005000000}" name="Payment 3 " dataDxfId="46" dataCellStyle="Currency">
      <calculatedColumnFormula>Table9[[#This Row],[Allergan Adjusted %]]*$E$84</calculatedColumnFormula>
    </tableColumn>
    <tableColumn id="6" xr3:uid="{00000000-0010-0000-0700-000006000000}" name="Payment 4" dataDxfId="45" dataCellStyle="Currency">
      <calculatedColumnFormula>Table9[[#This Row],[Allergan Adjusted %]]*$F$84</calculatedColumnFormula>
    </tableColumn>
    <tableColumn id="7" xr3:uid="{00000000-0010-0000-0700-000007000000}" name="Payment 5" dataDxfId="44" dataCellStyle="Currency">
      <calculatedColumnFormula>Table9[[#This Row],[Allergan Adjusted %]]*$G$84</calculatedColumnFormula>
    </tableColumn>
    <tableColumn id="8" xr3:uid="{00000000-0010-0000-0700-000008000000}" name="Payment 6" dataDxfId="43" dataCellStyle="Currency">
      <calculatedColumnFormula>Table9[[#This Row],[Allergan Adjusted %]]*$H$84</calculatedColumnFormula>
    </tableColumn>
    <tableColumn id="9" xr3:uid="{00000000-0010-0000-0700-000009000000}" name="Payment 7" dataDxfId="42" dataCellStyle="Currency">
      <calculatedColumnFormula>Table9[[#This Row],[Allergan Adjusted %]]*$I$84</calculatedColumnFormula>
    </tableColumn>
    <tableColumn id="10" xr3:uid="{00000000-0010-0000-0700-00000A000000}" name="Total" dataDxfId="41" dataCellStyle="Currency">
      <calculatedColumnFormula>SUM(Table9[[#This Row],[Payment 1]:[Payment 7]])</calculatedColumnFormula>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8000000}" name="Table13" displayName="Table13" ref="A89:J92" totalsRowShown="0" tableBorderDxfId="40">
  <autoFilter ref="A89:J92" xr:uid="{00000000-0009-0000-0100-00000D000000}"/>
  <tableColumns count="10">
    <tableColumn id="1" xr3:uid="{00000000-0010-0000-0800-000001000000}" name="Bellwethers"/>
    <tableColumn id="2" xr3:uid="{00000000-0010-0000-0800-000002000000}" name="Bellwether Percent"/>
    <tableColumn id="3" xr3:uid="{00000000-0010-0000-0800-000003000000}" name="Payment 1" dataDxfId="39">
      <calculatedColumnFormula>Table13[[#This Row],[Bellwether Percent]]*$C$87</calculatedColumnFormula>
    </tableColumn>
    <tableColumn id="4" xr3:uid="{00000000-0010-0000-0800-000004000000}" name="Payment 2" dataDxfId="38">
      <calculatedColumnFormula>Table13[[#This Row],[Bellwether Percent]]*$D$87</calculatedColumnFormula>
    </tableColumn>
    <tableColumn id="5" xr3:uid="{00000000-0010-0000-0800-000005000000}" name="Payment 3 " dataDxfId="37">
      <calculatedColumnFormula>Table13[[#This Row],[Bellwether Percent]]*$E$87</calculatedColumnFormula>
    </tableColumn>
    <tableColumn id="6" xr3:uid="{00000000-0010-0000-0800-000006000000}" name="Payment 4" dataDxfId="36">
      <calculatedColumnFormula>Table13[[#This Row],[Bellwether Percent]]*$F$87</calculatedColumnFormula>
    </tableColumn>
    <tableColumn id="7" xr3:uid="{00000000-0010-0000-0800-000007000000}" name="Payment 5" dataDxfId="35">
      <calculatedColumnFormula>Table13[[#This Row],[Bellwether Percent]]*$G$87</calculatedColumnFormula>
    </tableColumn>
    <tableColumn id="8" xr3:uid="{00000000-0010-0000-0800-000008000000}" name="Payment 6" dataDxfId="34">
      <calculatedColumnFormula>Table13[[#This Row],[Bellwether Percent]]*$H$87</calculatedColumnFormula>
    </tableColumn>
    <tableColumn id="9" xr3:uid="{00000000-0010-0000-0800-000009000000}" name="Payment 7" dataDxfId="33">
      <calculatedColumnFormula>Table13[[#This Row],[Bellwether Percent]]*$I$87</calculatedColumnFormula>
    </tableColumn>
    <tableColumn id="10" xr3:uid="{00000000-0010-0000-0800-00000A000000}" name="Total" dataDxfId="32">
      <calculatedColumnFormula>Table13[[#This Row],[Bellwether Percent]]*$J$87</calculatedColumnFormula>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9000000}" name="Table17" displayName="Table17" ref="A96:B104" totalsRowShown="0">
  <autoFilter ref="A96:B104" xr:uid="{00000000-0009-0000-0100-000010000000}"/>
  <tableColumns count="2">
    <tableColumn id="1" xr3:uid="{00000000-0010-0000-0900-000001000000}" name="Subdivision"/>
    <tableColumn id="2" xr3:uid="{00000000-0010-0000-0900-000002000000}" name="Allergan Modified Allocation" dataCellStyle="Currency"/>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A000000}" name="Table10" displayName="Table10" ref="A1:I17" totalsRowShown="0" headerRowDxfId="31" dataDxfId="29" headerRowBorderDxfId="30" tableBorderDxfId="28" headerRowCellStyle="Normal 2" dataCellStyle="Normal 2">
  <autoFilter ref="A1:I17" xr:uid="{00000000-0009-0000-0100-00000A000000}"/>
  <tableColumns count="9">
    <tableColumn id="1" xr3:uid="{00000000-0010-0000-0A00-000001000000}" name="Payment #"/>
    <tableColumn id="2" xr3:uid="{00000000-0010-0000-0A00-000002000000}" name="Approx Date"/>
    <tableColumn id="3" xr3:uid="{00000000-0010-0000-0A00-000003000000}" name="Pharmacies Litigating Subdivisions Total" dataDxfId="27" dataCellStyle="Normal 2">
      <calculatedColumnFormula>Table14[[#This Row],[Pharmacies Litigating]]</calculatedColumnFormula>
    </tableColumn>
    <tableColumn id="9" xr3:uid="{00000000-0010-0000-0A00-000009000000}" name="Walgreens Litigating" dataDxfId="26" dataCellStyle="Normal 2">
      <calculatedColumnFormula>((Table14[[#This Row],[Walgreens]]-Table14[[#This Row],[Walgreens Attorney Fees]])*0.15)</calculatedColumnFormula>
    </tableColumn>
    <tableColumn id="11" xr3:uid="{00000000-0010-0000-0A00-00000B000000}" name="CVS Litigating" dataDxfId="25" dataCellStyle="Normal 2">
      <calculatedColumnFormula>((Table14[[#This Row],[CVS]]-Table14[[#This Row],[CVS Attorney Fees]])*0.15)</calculatedColumnFormula>
    </tableColumn>
    <tableColumn id="19" xr3:uid="{00000000-0010-0000-0A00-000013000000}" name="Walgreens/CVS Litigating" dataDxfId="24" dataCellStyle="Normal 2">
      <calculatedColumnFormula>Table10[[#This Row],[Walgreens Litigating]]+Table10[[#This Row],[CVS Litigating]]</calculatedColumnFormula>
    </tableColumn>
    <tableColumn id="17" xr3:uid="{00000000-0010-0000-0A00-000011000000}" name="Walmart Escrow" dataDxfId="23" dataCellStyle="Normal 2">
      <calculatedColumnFormula>Table14[[#This Row],[Litigating Sub Escrow]]</calculatedColumnFormula>
    </tableColumn>
    <tableColumn id="13" xr3:uid="{00000000-0010-0000-0A00-00000D000000}" name="Walmart Litigating Subs" dataDxfId="22" dataCellStyle="Normal 2">
      <calculatedColumnFormula>(((Table14[[#This Row],[Walmart]]-Table14[[#This Row],[Walmart Attorney Fees]])*0.15))</calculatedColumnFormula>
    </tableColumn>
    <tableColumn id="18" xr3:uid="{00000000-0010-0000-0A00-000012000000}" name="Net Walmart Litigating Subdivisions" dataDxfId="21" dataCellStyle="Normal 2">
      <calculatedColumnFormula>Table10[[#This Row],[Walmart Litigating Subs]]-Table10[[#This Row],[Walmart Escrow]]</calculatedColumnFormula>
    </tableColumn>
  </tableColumns>
  <tableStyleInfo name="TableStyleLight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15" displayName="Table15" ref="A1:R82" totalsRowShown="0">
  <autoFilter ref="A1:R82" xr:uid="{00000000-0009-0000-0100-00000E000000}"/>
  <sortState xmlns:xlrd2="http://schemas.microsoft.com/office/spreadsheetml/2017/richdata2" ref="A2:R82">
    <sortCondition ref="A1:A82"/>
  </sortState>
  <tableColumns count="18">
    <tableColumn id="1" xr3:uid="{00000000-0010-0000-0B00-000001000000}" name="Litigant"/>
    <tableColumn id="2" xr3:uid="{00000000-0010-0000-0B00-000002000000}" name="Adjusted %"/>
    <tableColumn id="3" xr3:uid="{00000000-0010-0000-0B00-000003000000}" name="Payment 1" dataCellStyle="Currency">
      <calculatedColumnFormula>Table15[[#This Row],[Adjusted %]]*$C$84</calculatedColumnFormula>
    </tableColumn>
    <tableColumn id="4" xr3:uid="{00000000-0010-0000-0B00-000004000000}" name="Payment 2" dataDxfId="20" dataCellStyle="Currency">
      <calculatedColumnFormula>Table15[[#This Row],[Adjusted %]]*$D$84</calculatedColumnFormula>
    </tableColumn>
    <tableColumn id="5" xr3:uid="{00000000-0010-0000-0B00-000005000000}" name="Payment 3 " dataDxfId="19" dataCellStyle="Currency">
      <calculatedColumnFormula>Table15[[#This Row],[Adjusted %]]*$E$84</calculatedColumnFormula>
    </tableColumn>
    <tableColumn id="6" xr3:uid="{00000000-0010-0000-0B00-000006000000}" name="Payment 4" dataDxfId="18" dataCellStyle="Currency">
      <calculatedColumnFormula>Table15[[#This Row],[Adjusted %]]*$F$84</calculatedColumnFormula>
    </tableColumn>
    <tableColumn id="7" xr3:uid="{00000000-0010-0000-0B00-000007000000}" name="Payment 5" dataDxfId="17" dataCellStyle="Currency">
      <calculatedColumnFormula>Table15[[#This Row],[Adjusted %]]*$G$84</calculatedColumnFormula>
    </tableColumn>
    <tableColumn id="8" xr3:uid="{00000000-0010-0000-0B00-000008000000}" name="Payment 6" dataDxfId="16" dataCellStyle="Currency">
      <calculatedColumnFormula>Table15[[#This Row],[Adjusted %]]*$H$84</calculatedColumnFormula>
    </tableColumn>
    <tableColumn id="9" xr3:uid="{00000000-0010-0000-0B00-000009000000}" name="Payment 7" dataDxfId="15" dataCellStyle="Currency">
      <calculatedColumnFormula>Table15[[#This Row],[Adjusted %]]*$I$84</calculatedColumnFormula>
    </tableColumn>
    <tableColumn id="10" xr3:uid="{00000000-0010-0000-0B00-00000A000000}" name="Payment 8" dataDxfId="14" dataCellStyle="Currency">
      <calculatedColumnFormula>Table15[[#This Row],[Adjusted %]]*$J$84</calculatedColumnFormula>
    </tableColumn>
    <tableColumn id="11" xr3:uid="{00000000-0010-0000-0B00-00000B000000}" name="Payment 9" dataDxfId="13" dataCellStyle="Currency">
      <calculatedColumnFormula>Table15[[#This Row],[Adjusted %]]*$K$84</calculatedColumnFormula>
    </tableColumn>
    <tableColumn id="12" xr3:uid="{00000000-0010-0000-0B00-00000C000000}" name="Payment 10" dataDxfId="12" dataCellStyle="Currency">
      <calculatedColumnFormula>Table15[[#This Row],[Adjusted %]]*$L$84</calculatedColumnFormula>
    </tableColumn>
    <tableColumn id="13" xr3:uid="{00000000-0010-0000-0B00-00000D000000}" name="Payment 11" dataDxfId="11" dataCellStyle="Currency">
      <calculatedColumnFormula>Table15[[#This Row],[Adjusted %]]*$M$84</calculatedColumnFormula>
    </tableColumn>
    <tableColumn id="14" xr3:uid="{00000000-0010-0000-0B00-00000E000000}" name="Payment 12" dataDxfId="10" dataCellStyle="Currency">
      <calculatedColumnFormula>Table15[[#This Row],[Adjusted %]]*$N$84</calculatedColumnFormula>
    </tableColumn>
    <tableColumn id="15" xr3:uid="{00000000-0010-0000-0B00-00000F000000}" name="Payment 13" dataDxfId="9" dataCellStyle="Currency">
      <calculatedColumnFormula>Table15[[#This Row],[Adjusted %]]*$O$84</calculatedColumnFormula>
    </tableColumn>
    <tableColumn id="16" xr3:uid="{00000000-0010-0000-0B00-000010000000}" name="Payment 14" dataDxfId="8" dataCellStyle="Currency">
      <calculatedColumnFormula>Table15[[#This Row],[Adjusted %]]*$P$84</calculatedColumnFormula>
    </tableColumn>
    <tableColumn id="17" xr3:uid="{00000000-0010-0000-0B00-000011000000}" name="Payment 15" dataDxfId="7" dataCellStyle="Currency">
      <calculatedColumnFormula>Table15[[#This Row],[Adjusted %]]*$Q$84</calculatedColumnFormula>
    </tableColumn>
    <tableColumn id="18" xr3:uid="{00000000-0010-0000-0B00-000012000000}" name="Total" dataDxfId="6" dataCellStyle="Currency">
      <calculatedColumnFormula>SUM(Table15[[#This Row],[Payment 1]:[Payment 15]])</calculatedColumnFormula>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C000000}" name="Table11" displayName="Table11" ref="A1:I83" totalsRowShown="0">
  <autoFilter ref="A1:I83" xr:uid="{00000000-0009-0000-0100-00000B000000}"/>
  <tableColumns count="9">
    <tableColumn id="1" xr3:uid="{00000000-0010-0000-0C00-000001000000}" name="Litigant"/>
    <tableColumn id="2" xr3:uid="{00000000-0010-0000-0C00-000002000000}" name="Adjusted Walmart %"/>
    <tableColumn id="3" xr3:uid="{00000000-0010-0000-0C00-000003000000}" name="Payment 1" dataCellStyle="Currency">
      <calculatedColumnFormula>Table11[[#This Row],[Adjusted Walmart %]]*$C$85</calculatedColumnFormula>
    </tableColumn>
    <tableColumn id="4" xr3:uid="{00000000-0010-0000-0C00-000004000000}" name="Payment 2" dataDxfId="5" dataCellStyle="Currency">
      <calculatedColumnFormula>Table11[[#This Row],[Adjusted Walmart %]]*$D$85</calculatedColumnFormula>
    </tableColumn>
    <tableColumn id="5" xr3:uid="{00000000-0010-0000-0C00-000005000000}" name="Payment 3" dataDxfId="4" dataCellStyle="Currency">
      <calculatedColumnFormula>Table11[[#This Row],[Adjusted Walmart %]]*$E$85</calculatedColumnFormula>
    </tableColumn>
    <tableColumn id="6" xr3:uid="{00000000-0010-0000-0C00-000006000000}" name="Payment 4" dataDxfId="3" dataCellStyle="Currency">
      <calculatedColumnFormula>Table11[[#This Row],[Adjusted Walmart %]]*$F$85</calculatedColumnFormula>
    </tableColumn>
    <tableColumn id="7" xr3:uid="{00000000-0010-0000-0C00-000007000000}" name="Payment 5" dataDxfId="2" dataCellStyle="Currency">
      <calculatedColumnFormula>Table11[[#This Row],[Adjusted Walmart %]]*$G$85</calculatedColumnFormula>
    </tableColumn>
    <tableColumn id="8" xr3:uid="{00000000-0010-0000-0C00-000008000000}" name="Payment 6" dataDxfId="1" dataCellStyle="Currency">
      <calculatedColumnFormula>Table11[[#This Row],[Adjusted Walmart %]]*$H$85</calculatedColumnFormula>
    </tableColumn>
    <tableColumn id="9" xr3:uid="{00000000-0010-0000-0C00-000009000000}" name="Total" dataDxfId="0" dataCellStyle="Currency">
      <calculatedColumnFormula>SUM(Table11[[#This Row],[Payment 1]:[Payment 6]])</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31830A9-2D9A-4434-AA2C-FA131D38D2D8}" name="Table718254" displayName="Table718254" ref="A127:F130" totalsRowCount="1" headerRowDxfId="199" dataDxfId="198" totalsRowDxfId="197">
  <autoFilter ref="A127:F129" xr:uid="{F07ECFEF-2B3D-4229-8F80-0E95C5DED6F0}"/>
  <tableColumns count="6">
    <tableColumn id="1" xr3:uid="{45483397-B87D-4A02-9A72-8B1D7CD6E37B}" name="Payee (COPA)" dataDxfId="196" totalsRowDxfId="195"/>
    <tableColumn id="2" xr3:uid="{2C7522A8-D0C5-4C14-A103-D58E5B15A477}" name="Unique ID" dataDxfId="194" totalsRowDxfId="193"/>
    <tableColumn id="6" xr3:uid="{AE2D6DDC-3194-4E38-8D4C-39E5FF9C6F6F}" name="Dist Payment" dataDxfId="192" totalsRowDxfId="191">
      <calculatedColumnFormula>+'[1]Dist and JJ Totals'!B23</calculatedColumnFormula>
    </tableColumn>
    <tableColumn id="5" xr3:uid="{D1B69DD6-8DDA-4135-83A4-EAE9F97F4F36}" name="JJ Payment" dataDxfId="190" totalsRowDxfId="189">
      <calculatedColumnFormula>+'[1]Dist and JJ Totals'!C23</calculatedColumnFormula>
    </tableColumn>
    <tableColumn id="4" xr3:uid="{FF057807-3888-4F33-AE8B-41C89D1482D0}" name="None" dataDxfId="188" totalsRowDxfId="187"/>
    <tableColumn id="7" xr3:uid="{FE8233D7-1C5D-4FD1-ACD3-42AEF65A558D}" name="Total Payment 4 " dataDxfId="186" totalsRowDxfId="185">
      <calculatedColumnFormula>+Table718254[[#This Row],[Dist Payment]]+Table718254[[#This Row],[JJ Payment]]</calculatedColumnFormula>
    </tableColumn>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3A7B91B-91C2-4545-A5F8-9F5004547BE3}" name="Table819265" displayName="Table819265" ref="A131:F133" totalsRowShown="0" headerRowDxfId="184" dataDxfId="183">
  <autoFilter ref="A131:F133" xr:uid="{747BFC13-188C-49A5-80D7-C0916C2D4F88}"/>
  <tableColumns count="6">
    <tableColumn id="1" xr3:uid="{43E7B050-2A45-48F9-ABF0-27C50AD80F2B}" name="Cost/Fees" dataDxfId="182"/>
    <tableColumn id="2" xr3:uid="{9D6A6E07-E529-489E-8E02-3DF3BF72C605}" name="Unique ID" dataDxfId="181"/>
    <tableColumn id="5" xr3:uid="{126C2842-A54F-4FE7-A401-33D41F364302}" name="Attorney/Admin Costs" dataDxfId="180"/>
    <tableColumn id="4" xr3:uid="{8173C949-1B8F-4531-82CC-207F45ABA717}" name="Dist Atty Fees" dataDxfId="179"/>
    <tableColumn id="3" xr3:uid="{6EA65702-1A33-48DE-B4CC-1DF7F4B6821C}" name="JJ Atty Fees" dataDxfId="178"/>
    <tableColumn id="6" xr3:uid="{8B438735-AF5F-4FEB-80CB-BB3DA6B9E5D1}" name="Total Payment 5 (Attorney/Admin, Dist Atty Fees, JJ Atty Fees)" dataDxfId="177"/>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57AA2FD-7063-4218-B1F2-7A6805949A41}" name="Table71825416" displayName="Table71825416" ref="A127:F130" totalsRowCount="1" headerRowDxfId="176" dataDxfId="175" totalsRowDxfId="174">
  <autoFilter ref="A127:F129" xr:uid="{F07ECFEF-2B3D-4229-8F80-0E95C5DED6F0}"/>
  <tableColumns count="6">
    <tableColumn id="1" xr3:uid="{FB62FBCE-86A4-4BBF-98DE-6D41E0CE1B9C}" name="Payee (COPA)" dataDxfId="173" totalsRowDxfId="172"/>
    <tableColumn id="2" xr3:uid="{DAEE6EBC-4AA3-4D82-A2EA-AD9C1A3B2163}" name="Unique ID" dataDxfId="171" totalsRowDxfId="170"/>
    <tableColumn id="6" xr3:uid="{B1D644C0-6771-4D35-B818-78F50543ABCB}" name="Dist Payment" dataDxfId="169" totalsRowDxfId="168">
      <calculatedColumnFormula>+'[2]Dist and JJ Totals'!B23</calculatedColumnFormula>
    </tableColumn>
    <tableColumn id="5" xr3:uid="{A933B80F-4825-4AE3-B0A0-979BB0B5FF89}" name="JJ Payment" dataDxfId="167" totalsRowDxfId="166">
      <calculatedColumnFormula>+'[2]Dist and JJ Totals'!C23</calculatedColumnFormula>
    </tableColumn>
    <tableColumn id="4" xr3:uid="{E912A260-A2D9-4FA7-9099-AFD71731094B}" name="None" dataDxfId="165" totalsRowDxfId="164"/>
    <tableColumn id="7" xr3:uid="{85A6A4EF-ECD7-4745-8489-917CA40F1745}" name="Total Payment 4 " dataDxfId="163" totalsRowDxfId="162">
      <calculatedColumnFormula>+Table71825416[[#This Row],[Dist Payment]]+Table71825416[[#This Row],[JJ Payment]]</calculatedColumnFormula>
    </tableColumn>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B32CCC6-2153-4200-AC71-CB6D95C0078B}" name="Table81926518" displayName="Table81926518" ref="A131:F133" totalsRowShown="0" headerRowDxfId="161" dataDxfId="160">
  <autoFilter ref="A131:F133" xr:uid="{747BFC13-188C-49A5-80D7-C0916C2D4F88}"/>
  <tableColumns count="6">
    <tableColumn id="1" xr3:uid="{E469DE3A-77EF-4BED-B354-D70F34327834}" name="Cost/Fees" dataDxfId="159"/>
    <tableColumn id="2" xr3:uid="{36D84D4E-A92A-4136-BF01-A9A5F001085D}" name="Unique ID" dataDxfId="158"/>
    <tableColumn id="5" xr3:uid="{D66CB584-D7A8-4B9B-A746-B594E1AD3E49}" name="Attorney/Admin Costs" dataDxfId="157"/>
    <tableColumn id="4" xr3:uid="{E1F59EDD-558B-4BD0-81BC-6AF5B5B9BF13}" name="Dist Atty Fees" dataDxfId="156"/>
    <tableColumn id="3" xr3:uid="{6C04F54E-BD98-432B-98F0-B43CDD70A26C}" name="JJ Atty Fees" dataDxfId="155"/>
    <tableColumn id="6" xr3:uid="{DBA150B5-7457-4987-8EE2-D3118808AEA7}" name="Total Payment 5 (Attorney/Admin, Dist Atty Fees, JJ Atty Fees)" dataDxfId="154"/>
  </tableColumns>
  <tableStyleInfo name="TableStyleLight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4" displayName="Table14" ref="A1:Z17" totalsRowShown="0" dataDxfId="153">
  <autoFilter ref="A1:Z17" xr:uid="{00000000-0009-0000-0100-000002000000}"/>
  <tableColumns count="26">
    <tableColumn id="1" xr3:uid="{00000000-0010-0000-0000-000001000000}" name="Payment #" dataDxfId="152"/>
    <tableColumn id="12" xr3:uid="{00000000-0010-0000-0000-00000C000000}" name="Approx Date" dataDxfId="151"/>
    <tableColumn id="2" xr3:uid="{00000000-0010-0000-0000-000002000000}" name="Teva" dataDxfId="150"/>
    <tableColumn id="3" xr3:uid="{00000000-0010-0000-0000-000003000000}" name="Allergan" dataDxfId="149"/>
    <tableColumn id="16" xr3:uid="{00000000-0010-0000-0000-000010000000}" name="Walgreens" dataDxfId="148" dataCellStyle="Normal 2"/>
    <tableColumn id="17" xr3:uid="{00000000-0010-0000-0000-000011000000}" name="CVS" dataDxfId="147" dataCellStyle="Normal 2"/>
    <tableColumn id="18" xr3:uid="{00000000-0010-0000-0000-000012000000}" name="Walmart" dataDxfId="146" dataCellStyle="Normal 2"/>
    <tableColumn id="4" xr3:uid="{00000000-0010-0000-0000-000004000000}" name="Pre Fee Total" dataDxfId="145">
      <calculatedColumnFormula>SUM(Table14[[#This Row],[Teva]:[Walmart]])</calculatedColumnFormula>
    </tableColumn>
    <tableColumn id="14" xr3:uid="{00000000-0010-0000-0000-00000E000000}" name="Teva Attorney Fees" dataDxfId="144"/>
    <tableColumn id="13" xr3:uid="{00000000-0010-0000-0000-00000D000000}" name="Allergan Attorney Fees " dataDxfId="143"/>
    <tableColumn id="21" xr3:uid="{00000000-0010-0000-0000-000015000000}" name="Walgreens Attorney Fees" dataDxfId="142" dataCellStyle="Normal 2"/>
    <tableColumn id="22" xr3:uid="{00000000-0010-0000-0000-000016000000}" name="CVS Attorney Fees" dataDxfId="141" dataCellStyle="Normal 2"/>
    <tableColumn id="23" xr3:uid="{00000000-0010-0000-0000-000017000000}" name="Walmart Attorney Fees" dataDxfId="140" dataCellStyle="Normal 2"/>
    <tableColumn id="6" xr3:uid="{00000000-0010-0000-0000-000006000000}" name="Total Less Fees" dataDxfId="139">
      <calculatedColumnFormula>Table14[[#This Row],[Pre Fee Total]]-Table14[[#This Row],[Teva Attorney Fees]]-Table14[[#This Row],[Allergan Attorney Fees ]]-Table14[[#This Row],[Walgreens Attorney Fees]]-Table14[[#This Row],[CVS Attorney Fees]]-Table14[[#This Row],[Walmart Attorney Fees]]</calculatedColumnFormula>
    </tableColumn>
    <tableColumn id="7" xr3:uid="{00000000-0010-0000-0000-000007000000}" name="Commonwealth" dataDxfId="138">
      <calculatedColumnFormula>Table14[[#This Row],[Total Less Fees]]*0.15</calculatedColumnFormula>
    </tableColumn>
    <tableColumn id="8" xr3:uid="{00000000-0010-0000-0000-000008000000}" name="County" dataDxfId="137">
      <calculatedColumnFormula>Table14[[#This Row],[Total Less Fees]]*0.7</calculatedColumnFormula>
    </tableColumn>
    <tableColumn id="9" xr3:uid="{00000000-0010-0000-0000-000009000000}" name="Litigating" dataDxfId="136">
      <calculatedColumnFormula>Table14[[#This Row],[Total Less Fees]]*0.15</calculatedColumnFormula>
    </tableColumn>
    <tableColumn id="10" xr3:uid="{00000000-0010-0000-0000-00000A000000}" name="Teva/Allergan Litigating" dataDxfId="135">
      <calculatedColumnFormula>((Table14[[#This Row],[Teva]]+Table14[[#This Row],[Allergan]])-(Table14[[#This Row],[Teva Attorney Fees]]+Table14[[#This Row],[Allergan Attorney Fees ]]))*0.15</calculatedColumnFormula>
    </tableColumn>
    <tableColumn id="11" xr3:uid="{00000000-0010-0000-0000-00000B000000}" name="Pharmacies Litigating" dataDxfId="134">
      <calculatedColumnFormula>((Table14[[#This Row],[Walgreens]]+Table14[[#This Row],[CVS]]+Table14[[#This Row],[Walmart]])-(Table14[[#This Row],[Walgreens Attorney Fees]]+Table14[[#This Row],[CVS Attorney Fees]]+Table14[[#This Row],[Walmart Attorney Fees]]))*0.15</calculatedColumnFormula>
    </tableColumn>
    <tableColumn id="24" xr3:uid="{00000000-0010-0000-0000-000018000000}" name="Commonwealth Escrow Amount" dataDxfId="133">
      <calculatedColumnFormula>((C17-I17)*0.15)+((D17-J17)*0.15)+((G17-M17)*0.15)</calculatedColumnFormula>
    </tableColumn>
    <tableColumn id="25" xr3:uid="{00000000-0010-0000-0000-000019000000}" name="Subdivision Escrow Amount" dataDxfId="132"/>
    <tableColumn id="5" xr3:uid="{00000000-0010-0000-0000-000005000000}" name="County Escrow" dataDxfId="131">
      <calculatedColumnFormula>Table14[[#This Row],[Subdivision Escrow Amount]]-W2</calculatedColumnFormula>
    </tableColumn>
    <tableColumn id="15" xr3:uid="{00000000-0010-0000-0000-00000F000000}" name="Litigating Sub Escrow" dataDxfId="130">
      <calculatedColumnFormula>Table14[[#This Row],[Subdivision Escrow Amount]]/5.67</calculatedColumnFormula>
    </tableColumn>
    <tableColumn id="26" xr3:uid="{00000000-0010-0000-0000-00001A000000}" name="Fee Escrow Amount" dataDxfId="129">
      <calculatedColumnFormula>(Table14[[#This Row],[Teva Attorney Fees]]*0.15)+(Table14[[#This Row],[Allergan Attorney Fees ]]*0.15)+(Table14[[#This Row],[Walmart Attorney Fees]]*0.15)+(6000000*0.0138)</calculatedColumnFormula>
    </tableColumn>
    <tableColumn id="27" xr3:uid="{00000000-0010-0000-0000-00001B000000}" name="Total Escrow" dataDxfId="128">
      <calculatedColumnFormula>SUM(T2,U2,X2)</calculatedColumnFormula>
    </tableColumn>
    <tableColumn id="19" xr3:uid="{C1D15E8A-29D0-4FAC-A15A-EA8A025324A7}" name="Brown Greer" dataDxfId="127"/>
  </tableColumns>
  <tableStyleInfo name="TableStyleLight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145" displayName="Table145" ref="A1:K17" totalsRowShown="0" dataDxfId="126">
  <autoFilter ref="A1:K17" xr:uid="{00000000-0009-0000-0100-000004000000}"/>
  <tableColumns count="11">
    <tableColumn id="1" xr3:uid="{00000000-0010-0000-0100-000001000000}" name="Payment #" dataDxfId="125"/>
    <tableColumn id="12" xr3:uid="{00000000-0010-0000-0100-00000C000000}" name="Approx Date" dataDxfId="124"/>
    <tableColumn id="8" xr3:uid="{00000000-0010-0000-0100-000008000000}" name="County" dataDxfId="123">
      <calculatedColumnFormula>Table14[[#This Row],[Total Less Fees]]*0.7</calculatedColumnFormula>
    </tableColumn>
    <tableColumn id="33" xr3:uid="{00000000-0010-0000-0100-000021000000}" name="Teva County Amount" dataDxfId="122" dataCellStyle="Normal 2">
      <calculatedColumnFormula>(Table14[[#This Row],[Teva]]-Table14[[#This Row],[Teva Attorney Fees]])*0.7</calculatedColumnFormula>
    </tableColumn>
    <tableColumn id="34" xr3:uid="{00000000-0010-0000-0100-000022000000}" name="Allergan County Amount" dataDxfId="121" dataCellStyle="Normal 2">
      <calculatedColumnFormula>(Table14[[#This Row],[Allergan]]-Table14[[#This Row],[Allergan Attorney Fees ]])*0.7</calculatedColumnFormula>
    </tableColumn>
    <tableColumn id="35" xr3:uid="{00000000-0010-0000-0100-000023000000}" name="Walgreens County Amount" dataDxfId="120" dataCellStyle="Normal 2">
      <calculatedColumnFormula>(Table14[[#This Row],[Walgreens]]-Table14[[#This Row],[Walgreens Attorney Fees]])*0.7</calculatedColumnFormula>
    </tableColumn>
    <tableColumn id="36" xr3:uid="{00000000-0010-0000-0100-000024000000}" name="CVS County Amount" dataDxfId="119" dataCellStyle="Normal 2">
      <calculatedColumnFormula>(Table14[[#This Row],[CVS]]-Table14[[#This Row],[CVS Attorney Fees]])*0.7</calculatedColumnFormula>
    </tableColumn>
    <tableColumn id="37" xr3:uid="{00000000-0010-0000-0100-000025000000}" name="Walmart County Amount" dataDxfId="118" dataCellStyle="Normal 2">
      <calculatedColumnFormula>(Table14[[#This Row],[Walmart]]-Table14[[#This Row],[Walmart Attorney Fees]])*0.7</calculatedColumnFormula>
    </tableColumn>
    <tableColumn id="24" xr3:uid="{00000000-0010-0000-0100-000018000000}" name="Walmart Escrow Amount" dataDxfId="117">
      <calculatedColumnFormula>((#REF!-#REF!)*0.15)+((#REF!-#REF!)*0.15)+((#REF!-#REF!)*0.15)</calculatedColumnFormula>
    </tableColumn>
    <tableColumn id="27" xr3:uid="{00000000-0010-0000-0100-00001B000000}" name="Total Teva/Allergan/Walmart " dataDxfId="116">
      <calculatedColumnFormula>(SUM(D2,E2,H2))-Table145[[#This Row],[Walmart Escrow Amount]]</calculatedColumnFormula>
    </tableColumn>
    <tableColumn id="38" xr3:uid="{00000000-0010-0000-0100-000026000000}" name="Total Walgreens/CVS" dataDxfId="115" dataCellStyle="Normal 2">
      <calculatedColumnFormula>SUM(Table145[[#This Row],[Walgreens County Amount]:[CVS County Amount]])</calculatedColumnFormula>
    </tableColumn>
  </tableColumns>
  <tableStyleInfo name="TableStyleLight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A1:P68" totalsRowShown="0">
  <autoFilter ref="A1:P68" xr:uid="{00000000-0009-0000-0100-000001000000}"/>
  <tableColumns count="16">
    <tableColumn id="1" xr3:uid="{00000000-0010-0000-0200-000001000000}" name="County"/>
    <tableColumn id="2" xr3:uid="{00000000-0010-0000-0200-000002000000}" name="Adjusted % (W/Floors)"/>
    <tableColumn id="3" xr3:uid="{00000000-0010-0000-0200-000003000000}" name="Payment 1" dataCellStyle="Currency">
      <calculatedColumnFormula>Table1[[#This Row],[Adjusted % (W/Floors)]]*$C$70</calculatedColumnFormula>
    </tableColumn>
    <tableColumn id="4" xr3:uid="{00000000-0010-0000-0200-000004000000}" name="Payment 2" dataDxfId="114" dataCellStyle="Currency">
      <calculatedColumnFormula>Table1[[#This Row],[Adjusted % (W/Floors)]]*$D$70</calculatedColumnFormula>
    </tableColumn>
    <tableColumn id="5" xr3:uid="{00000000-0010-0000-0200-000005000000}" name="Payment 3 " dataDxfId="113" dataCellStyle="Currency">
      <calculatedColumnFormula>Table1[[#This Row],[Adjusted % (W/Floors)]]*$E$70</calculatedColumnFormula>
    </tableColumn>
    <tableColumn id="6" xr3:uid="{00000000-0010-0000-0200-000006000000}" name="Payment 4" dataDxfId="112" dataCellStyle="Currency">
      <calculatedColumnFormula>Table1[[#This Row],[Adjusted % (W/Floors)]]*$F$70</calculatedColumnFormula>
    </tableColumn>
    <tableColumn id="7" xr3:uid="{00000000-0010-0000-0200-000007000000}" name="Payment 5" dataDxfId="111" dataCellStyle="Currency">
      <calculatedColumnFormula>Table1[[#This Row],[Adjusted % (W/Floors)]]*$G$70</calculatedColumnFormula>
    </tableColumn>
    <tableColumn id="8" xr3:uid="{00000000-0010-0000-0200-000008000000}" name="Payment 6" dataDxfId="110" dataCellStyle="Currency">
      <calculatedColumnFormula>Table1[[#This Row],[Adjusted % (W/Floors)]]*$H$70</calculatedColumnFormula>
    </tableColumn>
    <tableColumn id="9" xr3:uid="{00000000-0010-0000-0200-000009000000}" name="Payment 7" dataDxfId="109" dataCellStyle="Currency">
      <calculatedColumnFormula>Table1[[#This Row],[Adjusted % (W/Floors)]]*$I$70</calculatedColumnFormula>
    </tableColumn>
    <tableColumn id="10" xr3:uid="{00000000-0010-0000-0200-00000A000000}" name="Payment 8" dataDxfId="108" dataCellStyle="Currency">
      <calculatedColumnFormula>Table1[[#This Row],[Adjusted % (W/Floors)]]*$J$70</calculatedColumnFormula>
    </tableColumn>
    <tableColumn id="11" xr3:uid="{00000000-0010-0000-0200-00000B000000}" name="Payment 9" dataDxfId="107" dataCellStyle="Currency">
      <calculatedColumnFormula>Table1[[#This Row],[Adjusted % (W/Floors)]]*$K$70</calculatedColumnFormula>
    </tableColumn>
    <tableColumn id="12" xr3:uid="{00000000-0010-0000-0200-00000C000000}" name="Payment 10" dataDxfId="106" dataCellStyle="Currency">
      <calculatedColumnFormula>Table1[[#This Row],[Adjusted % (W/Floors)]]*$L$70</calculatedColumnFormula>
    </tableColumn>
    <tableColumn id="13" xr3:uid="{00000000-0010-0000-0200-00000D000000}" name="Payment 11" dataDxfId="105" dataCellStyle="Currency">
      <calculatedColumnFormula>Table1[[#This Row],[Adjusted % (W/Floors)]]*$M$70</calculatedColumnFormula>
    </tableColumn>
    <tableColumn id="14" xr3:uid="{00000000-0010-0000-0200-00000E000000}" name="Payment 12" dataDxfId="104" dataCellStyle="Currency">
      <calculatedColumnFormula>Table1[[#This Row],[Adjusted % (W/Floors)]]*$N$70</calculatedColumnFormula>
    </tableColumn>
    <tableColumn id="15" xr3:uid="{00000000-0010-0000-0200-00000F000000}" name="Payment 13" dataDxfId="103" dataCellStyle="Currency">
      <calculatedColumnFormula>Table1[[#This Row],[Adjusted % (W/Floors)]]*$O$70</calculatedColumnFormula>
    </tableColumn>
    <tableColumn id="16" xr3:uid="{00000000-0010-0000-0200-000010000000}" name="Total" dataDxfId="102" dataCellStyle="Currency">
      <calculatedColumnFormula>SUM(Table1[[#This Row],[Payment 1]:[Payment 13]])</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1:R68" totalsRowShown="0">
  <autoFilter ref="A1:R68" xr:uid="{00000000-0009-0000-0100-000005000000}"/>
  <tableColumns count="18">
    <tableColumn id="1" xr3:uid="{00000000-0010-0000-0300-000001000000}" name="County"/>
    <tableColumn id="2" xr3:uid="{00000000-0010-0000-0300-000002000000}" name="Floor % w/ No Philadelphia"/>
    <tableColumn id="3" xr3:uid="{00000000-0010-0000-0300-000003000000}" name="Payment 1" dataDxfId="101">
      <calculatedColumnFormula>Table5[[#This Row],[Floor % w/ No Philadelphia]]*$C$70</calculatedColumnFormula>
    </tableColumn>
    <tableColumn id="4" xr3:uid="{00000000-0010-0000-0300-000004000000}" name="Payment 2" dataDxfId="100">
      <calculatedColumnFormula>Table5[[#This Row],[Floor % w/ No Philadelphia]]*$D$70</calculatedColumnFormula>
    </tableColumn>
    <tableColumn id="5" xr3:uid="{00000000-0010-0000-0300-000005000000}" name="Payment 3 " dataDxfId="99">
      <calculatedColumnFormula>Table5[[#This Row],[Floor % w/ No Philadelphia]]*$E$70</calculatedColumnFormula>
    </tableColumn>
    <tableColumn id="6" xr3:uid="{00000000-0010-0000-0300-000006000000}" name="Payment 4" dataDxfId="98">
      <calculatedColumnFormula>Table5[[#This Row],[Floor % w/ No Philadelphia]]*$F$70</calculatedColumnFormula>
    </tableColumn>
    <tableColumn id="7" xr3:uid="{00000000-0010-0000-0300-000007000000}" name="Payment 5" dataDxfId="97">
      <calculatedColumnFormula>Table5[[#This Row],[Floor % w/ No Philadelphia]]*$G$70</calculatedColumnFormula>
    </tableColumn>
    <tableColumn id="8" xr3:uid="{00000000-0010-0000-0300-000008000000}" name="Payment 6" dataDxfId="96">
      <calculatedColumnFormula>Table5[[#This Row],[Floor % w/ No Philadelphia]]*$H$70</calculatedColumnFormula>
    </tableColumn>
    <tableColumn id="9" xr3:uid="{00000000-0010-0000-0300-000009000000}" name="Payment 7" dataDxfId="95">
      <calculatedColumnFormula>Table5[[#This Row],[Floor % w/ No Philadelphia]]*$I$70</calculatedColumnFormula>
    </tableColumn>
    <tableColumn id="10" xr3:uid="{00000000-0010-0000-0300-00000A000000}" name="Payment 8" dataDxfId="94">
      <calculatedColumnFormula>Table5[[#This Row],[Floor % w/ No Philadelphia]]*$J$70</calculatedColumnFormula>
    </tableColumn>
    <tableColumn id="11" xr3:uid="{00000000-0010-0000-0300-00000B000000}" name="Payment 9" dataDxfId="93">
      <calculatedColumnFormula>Table5[[#This Row],[Floor % w/ No Philadelphia]]*$K$70</calculatedColumnFormula>
    </tableColumn>
    <tableColumn id="12" xr3:uid="{00000000-0010-0000-0300-00000C000000}" name="Payment 10" dataDxfId="92">
      <calculatedColumnFormula>Table5[[#This Row],[Floor % w/ No Philadelphia]]*$L$70</calculatedColumnFormula>
    </tableColumn>
    <tableColumn id="13" xr3:uid="{00000000-0010-0000-0300-00000D000000}" name="Payment 11" dataDxfId="91">
      <calculatedColumnFormula>Table5[[#This Row],[Floor % w/ No Philadelphia]]*$M$70</calculatedColumnFormula>
    </tableColumn>
    <tableColumn id="14" xr3:uid="{00000000-0010-0000-0300-00000E000000}" name="Payment 12" dataDxfId="90">
      <calculatedColumnFormula>Table5[[#This Row],[Floor % w/ No Philadelphia]]*$N$70</calculatedColumnFormula>
    </tableColumn>
    <tableColumn id="15" xr3:uid="{00000000-0010-0000-0300-00000F000000}" name="Payment 13" dataDxfId="89">
      <calculatedColumnFormula>Table5[[#This Row],[Floor % w/ No Philadelphia]]*$O$70</calculatedColumnFormula>
    </tableColumn>
    <tableColumn id="16" xr3:uid="{00000000-0010-0000-0300-000010000000}" name="Payment 14" dataDxfId="88">
      <calculatedColumnFormula>Table5[[#This Row],[Floor % w/ No Philadelphia]]*$P$70</calculatedColumnFormula>
    </tableColumn>
    <tableColumn id="17" xr3:uid="{00000000-0010-0000-0300-000011000000}" name="Payment 15" dataDxfId="87">
      <calculatedColumnFormula>Table5[[#This Row],[Floor % w/ No Philadelphia]]*$Q$70</calculatedColumnFormula>
    </tableColumn>
    <tableColumn id="18" xr3:uid="{00000000-0010-0000-0300-000012000000}" name="Total" dataDxfId="86">
      <calculatedColumnFormula>SUM(Table5[[#This Row],[Payment 1]:[Payment 15]])</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C2DAD-0516-410D-A078-67A11D10E0B9}">
  <sheetPr>
    <tabColor rgb="FF92D050"/>
    <pageSetUpPr fitToPage="1"/>
  </sheetPr>
  <dimension ref="B2:P152"/>
  <sheetViews>
    <sheetView tabSelected="1" topLeftCell="B123" workbookViewId="0">
      <selection activeCell="C2" sqref="C2:K150"/>
    </sheetView>
  </sheetViews>
  <sheetFormatPr defaultRowHeight="14.4" x14ac:dyDescent="0.3"/>
  <cols>
    <col min="3" max="3" width="50.6640625" bestFit="1" customWidth="1"/>
    <col min="4" max="4" width="21.88671875" bestFit="1" customWidth="1"/>
    <col min="5" max="5" width="16.33203125" bestFit="1" customWidth="1"/>
    <col min="6" max="6" width="19" customWidth="1"/>
    <col min="7" max="7" width="16.33203125" bestFit="1" customWidth="1"/>
    <col min="8" max="8" width="17.44140625" bestFit="1" customWidth="1"/>
    <col min="9" max="9" width="1.88671875" customWidth="1"/>
    <col min="10" max="10" width="22.33203125" customWidth="1"/>
    <col min="11" max="11" width="18.5546875" customWidth="1"/>
    <col min="12" max="12" width="8.88671875" hidden="1" customWidth="1"/>
    <col min="13" max="13" width="21.88671875" customWidth="1"/>
    <col min="14" max="14" width="21.33203125" bestFit="1" customWidth="1"/>
    <col min="15" max="15" width="16.6640625" bestFit="1" customWidth="1"/>
    <col min="16" max="16" width="16.109375" bestFit="1" customWidth="1"/>
  </cols>
  <sheetData>
    <row r="2" spans="2:16" ht="25.8" x14ac:dyDescent="0.5">
      <c r="D2" s="169" t="s">
        <v>323</v>
      </c>
    </row>
    <row r="3" spans="2:16" ht="15.6" x14ac:dyDescent="0.3">
      <c r="C3" s="182" t="s">
        <v>440</v>
      </c>
      <c r="D3" s="182"/>
      <c r="E3" s="182"/>
      <c r="F3" s="182"/>
      <c r="G3" s="182"/>
      <c r="H3" s="182"/>
    </row>
    <row r="4" spans="2:16" x14ac:dyDescent="0.3">
      <c r="C4" s="155" t="s">
        <v>300</v>
      </c>
      <c r="D4" s="43" t="s">
        <v>439</v>
      </c>
      <c r="E4" s="43" t="s">
        <v>325</v>
      </c>
      <c r="F4" s="43" t="s">
        <v>446</v>
      </c>
      <c r="G4" s="43" t="s">
        <v>326</v>
      </c>
      <c r="H4" s="43" t="s">
        <v>308</v>
      </c>
    </row>
    <row r="5" spans="2:16" x14ac:dyDescent="0.3">
      <c r="C5" t="s">
        <v>26</v>
      </c>
      <c r="D5" s="67">
        <v>131926.23141771235</v>
      </c>
      <c r="E5" s="67">
        <v>102172.12594528435</v>
      </c>
      <c r="F5" s="170">
        <v>226734.05338259542</v>
      </c>
      <c r="G5" s="67">
        <v>34587.839374099938</v>
      </c>
      <c r="H5" s="54">
        <f>SUM(D5:G5)</f>
        <v>495420.25011969201</v>
      </c>
      <c r="J5" s="171"/>
    </row>
    <row r="6" spans="2:16" x14ac:dyDescent="0.3">
      <c r="C6" t="s">
        <v>27</v>
      </c>
      <c r="D6" s="67">
        <v>3495044.9634743319</v>
      </c>
      <c r="E6" s="67">
        <v>2710081.3541239947</v>
      </c>
      <c r="F6" s="67">
        <v>3702771.9809002341</v>
      </c>
      <c r="G6" s="67">
        <v>1429560.5814053253</v>
      </c>
      <c r="H6" s="54">
        <f t="shared" ref="H6:H69" si="0">SUM(D6:G6)</f>
        <v>11337458.879903885</v>
      </c>
      <c r="J6" s="171"/>
      <c r="M6" s="7"/>
      <c r="N6" s="7"/>
      <c r="O6" s="7"/>
      <c r="P6" s="7"/>
    </row>
    <row r="7" spans="2:16" x14ac:dyDescent="0.3">
      <c r="C7" t="s">
        <v>28</v>
      </c>
      <c r="D7" s="67">
        <v>184064.52139560023</v>
      </c>
      <c r="E7" s="67">
        <v>142461.18446698014</v>
      </c>
      <c r="F7" s="67">
        <v>211974.29709612997</v>
      </c>
      <c r="G7" s="67">
        <v>60930.908377589607</v>
      </c>
      <c r="H7" s="54">
        <f t="shared" si="0"/>
        <v>599430.91133629996</v>
      </c>
      <c r="J7" s="171"/>
      <c r="M7" s="7"/>
      <c r="N7" s="7"/>
      <c r="O7" s="7"/>
      <c r="P7" s="7"/>
    </row>
    <row r="8" spans="2:16" x14ac:dyDescent="0.3">
      <c r="B8" s="68"/>
      <c r="C8" t="s">
        <v>29</v>
      </c>
      <c r="D8" s="67">
        <v>394987.0826770608</v>
      </c>
      <c r="E8" s="67">
        <v>307052.62116693123</v>
      </c>
      <c r="F8" s="67">
        <v>476675.6054718236</v>
      </c>
      <c r="G8" s="67">
        <v>164530.05053011631</v>
      </c>
      <c r="H8" s="54">
        <f t="shared" si="0"/>
        <v>1343245.3598459319</v>
      </c>
      <c r="J8" s="171"/>
    </row>
    <row r="9" spans="2:16" x14ac:dyDescent="0.3">
      <c r="C9" t="s">
        <v>30</v>
      </c>
      <c r="D9" s="67">
        <v>65909.210093675429</v>
      </c>
      <c r="E9" s="67">
        <v>51799.923574882545</v>
      </c>
      <c r="F9" s="67">
        <v>102371.68849678952</v>
      </c>
      <c r="G9" s="67">
        <v>19304.848984299508</v>
      </c>
      <c r="H9" s="54">
        <f t="shared" si="0"/>
        <v>239385.67114964701</v>
      </c>
      <c r="J9" s="171"/>
    </row>
    <row r="10" spans="2:16" x14ac:dyDescent="0.3">
      <c r="C10" t="s">
        <v>31</v>
      </c>
      <c r="D10" s="67">
        <v>514584.66686752287</v>
      </c>
      <c r="E10" s="67">
        <v>393690.70686568914</v>
      </c>
      <c r="F10" s="67">
        <v>758302.10153017112</v>
      </c>
      <c r="G10" s="67">
        <v>190132.58273981401</v>
      </c>
      <c r="H10" s="54">
        <f t="shared" si="0"/>
        <v>1856710.0580031972</v>
      </c>
      <c r="J10" s="171"/>
    </row>
    <row r="11" spans="2:16" x14ac:dyDescent="0.3">
      <c r="C11" t="s">
        <v>32</v>
      </c>
      <c r="D11" s="67">
        <v>219603.31103823546</v>
      </c>
      <c r="E11" s="67">
        <v>168010.80234080568</v>
      </c>
      <c r="F11" s="67">
        <v>269782.90962961805</v>
      </c>
      <c r="G11" s="67">
        <v>81140.670125454199</v>
      </c>
      <c r="H11" s="54">
        <f t="shared" si="0"/>
        <v>738537.69313411345</v>
      </c>
      <c r="J11" s="171"/>
    </row>
    <row r="12" spans="2:16" x14ac:dyDescent="0.3">
      <c r="C12" t="s">
        <v>33</v>
      </c>
      <c r="D12" s="67">
        <v>70806.666333574525</v>
      </c>
      <c r="E12" s="67">
        <v>62120.230386578842</v>
      </c>
      <c r="F12" s="67">
        <v>132892.56320170956</v>
      </c>
      <c r="G12" s="67">
        <v>22622.86245070483</v>
      </c>
      <c r="H12" s="54">
        <f t="shared" si="0"/>
        <v>288442.32237256778</v>
      </c>
      <c r="J12" s="171"/>
    </row>
    <row r="13" spans="2:16" x14ac:dyDescent="0.3">
      <c r="C13" t="s">
        <v>34</v>
      </c>
      <c r="D13" s="67">
        <v>1764781.0945429448</v>
      </c>
      <c r="E13" s="67">
        <v>1368858.7831317799</v>
      </c>
      <c r="F13" s="67">
        <v>1964950.214155446</v>
      </c>
      <c r="G13" s="67">
        <v>723505.0850485703</v>
      </c>
      <c r="H13" s="54">
        <f t="shared" si="0"/>
        <v>5822095.176878741</v>
      </c>
      <c r="J13" s="171"/>
    </row>
    <row r="14" spans="2:16" x14ac:dyDescent="0.3">
      <c r="C14" t="s">
        <v>35</v>
      </c>
      <c r="D14" s="67">
        <v>372536.43300888303</v>
      </c>
      <c r="E14" s="67">
        <v>285014.57794553274</v>
      </c>
      <c r="F14" s="67">
        <v>440168.02166258183</v>
      </c>
      <c r="G14" s="67">
        <v>137647.54127602442</v>
      </c>
      <c r="H14" s="54">
        <f t="shared" si="0"/>
        <v>1235366.573893022</v>
      </c>
      <c r="J14" s="171"/>
      <c r="K14" s="7"/>
    </row>
    <row r="15" spans="2:16" x14ac:dyDescent="0.3">
      <c r="C15" t="s">
        <v>36</v>
      </c>
      <c r="D15" s="67">
        <v>470175.18468049134</v>
      </c>
      <c r="E15" s="67">
        <v>363579.97260418651</v>
      </c>
      <c r="F15" s="67">
        <v>497908.33148993476</v>
      </c>
      <c r="G15" s="67">
        <v>159566.58750635394</v>
      </c>
      <c r="H15" s="54">
        <f t="shared" si="0"/>
        <v>1491230.0762809664</v>
      </c>
      <c r="J15" s="171"/>
      <c r="K15" s="7"/>
    </row>
    <row r="16" spans="2:16" x14ac:dyDescent="0.3">
      <c r="C16" t="s">
        <v>37</v>
      </c>
      <c r="D16" s="67">
        <v>39118.672977498107</v>
      </c>
      <c r="E16" s="67">
        <v>29928.3266831652</v>
      </c>
      <c r="F16" s="67">
        <v>42823.552636029315</v>
      </c>
      <c r="G16" s="67">
        <v>14453.859210073762</v>
      </c>
      <c r="H16" s="54">
        <f t="shared" si="0"/>
        <v>126324.41150676638</v>
      </c>
      <c r="J16" s="171"/>
    </row>
    <row r="17" spans="2:10" x14ac:dyDescent="0.3">
      <c r="B17" s="68"/>
      <c r="C17" t="s">
        <v>38</v>
      </c>
      <c r="D17" s="67">
        <v>266247.52952914505</v>
      </c>
      <c r="E17" s="67">
        <v>207460.38725710666</v>
      </c>
      <c r="F17" s="67">
        <v>269829.50712253706</v>
      </c>
      <c r="G17" s="67">
        <v>78775.910798318859</v>
      </c>
      <c r="H17" s="54">
        <f t="shared" si="0"/>
        <v>822313.33470710763</v>
      </c>
      <c r="J17" s="171"/>
    </row>
    <row r="18" spans="2:10" x14ac:dyDescent="0.3">
      <c r="C18" t="s">
        <v>39</v>
      </c>
      <c r="D18" s="67">
        <v>68030.775632418226</v>
      </c>
      <c r="E18" s="67">
        <v>52047.963866445709</v>
      </c>
      <c r="F18" s="67">
        <v>199442.90650969953</v>
      </c>
      <c r="G18" s="67">
        <v>25136.518652069546</v>
      </c>
      <c r="H18" s="54">
        <f t="shared" si="0"/>
        <v>344658.16466063302</v>
      </c>
      <c r="J18" s="171"/>
    </row>
    <row r="19" spans="2:10" x14ac:dyDescent="0.3">
      <c r="C19" t="s">
        <v>40</v>
      </c>
      <c r="D19" s="67">
        <v>760289.16265889863</v>
      </c>
      <c r="E19" s="67">
        <v>597116.49205471948</v>
      </c>
      <c r="F19" s="67">
        <v>1041846.9088462598</v>
      </c>
      <c r="G19" s="67">
        <v>339968.41915822442</v>
      </c>
      <c r="H19" s="54">
        <f t="shared" si="0"/>
        <v>2739220.9827181022</v>
      </c>
      <c r="J19" s="171"/>
    </row>
    <row r="20" spans="2:10" x14ac:dyDescent="0.3">
      <c r="C20" t="s">
        <v>41</v>
      </c>
      <c r="D20" s="67">
        <v>50695.711350960075</v>
      </c>
      <c r="E20" s="67">
        <v>39861.86986552734</v>
      </c>
      <c r="F20" s="67">
        <v>82413.731561097506</v>
      </c>
      <c r="G20" s="67">
        <v>14780.270712614858</v>
      </c>
      <c r="H20" s="54">
        <f t="shared" si="0"/>
        <v>187751.58349019979</v>
      </c>
      <c r="J20" s="171"/>
    </row>
    <row r="21" spans="2:10" x14ac:dyDescent="0.3">
      <c r="C21" t="s">
        <v>42</v>
      </c>
      <c r="D21" s="67">
        <v>104497.89887279479</v>
      </c>
      <c r="E21" s="67">
        <v>82276.130752591285</v>
      </c>
      <c r="F21" s="67">
        <v>139852.11897010251</v>
      </c>
      <c r="G21" s="67">
        <v>47512.533723551438</v>
      </c>
      <c r="H21" s="54">
        <f t="shared" si="0"/>
        <v>374138.68231904</v>
      </c>
      <c r="J21" s="171"/>
    </row>
    <row r="22" spans="2:10" x14ac:dyDescent="0.3">
      <c r="C22" t="s">
        <v>43</v>
      </c>
      <c r="D22" s="67">
        <v>49872.307969612622</v>
      </c>
      <c r="E22" s="67">
        <v>39237.957736107252</v>
      </c>
      <c r="F22" s="67">
        <v>82013.209175298281</v>
      </c>
      <c r="G22" s="67">
        <v>22565.310246102181</v>
      </c>
      <c r="H22" s="54">
        <f t="shared" si="0"/>
        <v>193688.78512712035</v>
      </c>
      <c r="J22" s="171"/>
    </row>
    <row r="23" spans="2:10" x14ac:dyDescent="0.3">
      <c r="C23" t="s">
        <v>44</v>
      </c>
      <c r="D23" s="67">
        <v>108414.32799664381</v>
      </c>
      <c r="E23" s="67">
        <v>84377.291074485474</v>
      </c>
      <c r="F23" s="67">
        <v>158069.84895450619</v>
      </c>
      <c r="G23" s="67">
        <v>32979.11039015952</v>
      </c>
      <c r="H23" s="54">
        <f t="shared" si="0"/>
        <v>383840.578415795</v>
      </c>
      <c r="J23" s="171"/>
    </row>
    <row r="24" spans="2:10" x14ac:dyDescent="0.3">
      <c r="C24" t="s">
        <v>45</v>
      </c>
      <c r="D24" s="67">
        <v>257100.15280645172</v>
      </c>
      <c r="E24" s="67">
        <v>139696.68988562367</v>
      </c>
      <c r="F24" s="67">
        <v>208822.60398350708</v>
      </c>
      <c r="G24" s="67">
        <v>67466.394265734983</v>
      </c>
      <c r="H24" s="54">
        <f t="shared" si="0"/>
        <v>673085.8409413175</v>
      </c>
      <c r="J24" s="171"/>
    </row>
    <row r="25" spans="2:10" x14ac:dyDescent="0.3">
      <c r="C25" t="s">
        <v>46</v>
      </c>
      <c r="D25" s="67">
        <v>367423.97858130548</v>
      </c>
      <c r="E25" s="67">
        <v>282685.95196404331</v>
      </c>
      <c r="F25" s="67">
        <v>497689.69631136733</v>
      </c>
      <c r="G25" s="67">
        <v>105372.26156009946</v>
      </c>
      <c r="H25" s="54">
        <f t="shared" si="0"/>
        <v>1253171.8884168155</v>
      </c>
      <c r="J25" s="171"/>
    </row>
    <row r="26" spans="2:10" x14ac:dyDescent="0.3">
      <c r="C26" t="s">
        <v>47</v>
      </c>
      <c r="D26" s="67">
        <v>604024.908896168</v>
      </c>
      <c r="E26" s="67">
        <v>335397.0005037337</v>
      </c>
      <c r="F26" s="67">
        <v>648378.29421912041</v>
      </c>
      <c r="G26" s="67">
        <v>224012.47026979696</v>
      </c>
      <c r="H26" s="54">
        <f t="shared" si="0"/>
        <v>1811812.6738888191</v>
      </c>
      <c r="J26" s="171"/>
    </row>
    <row r="27" spans="2:10" x14ac:dyDescent="0.3">
      <c r="C27" t="s">
        <v>48</v>
      </c>
      <c r="D27" s="67">
        <v>2119303.5162953343</v>
      </c>
      <c r="E27" s="67">
        <v>1776422.9140808627</v>
      </c>
      <c r="F27" s="67">
        <v>2265157.6308882227</v>
      </c>
      <c r="G27" s="67">
        <v>775269.87336363026</v>
      </c>
      <c r="H27" s="54">
        <f t="shared" si="0"/>
        <v>6936153.9346280498</v>
      </c>
      <c r="J27" s="171"/>
    </row>
    <row r="28" spans="2:10" x14ac:dyDescent="0.3">
      <c r="C28" t="s">
        <v>49</v>
      </c>
      <c r="D28" s="67">
        <v>45716.663073920798</v>
      </c>
      <c r="E28" s="67">
        <v>34976.217831507936</v>
      </c>
      <c r="F28" s="67">
        <v>60390.575512081654</v>
      </c>
      <c r="G28" s="67">
        <v>16891.733827600063</v>
      </c>
      <c r="H28" s="54">
        <f t="shared" si="0"/>
        <v>157975.19024511043</v>
      </c>
      <c r="J28" s="171"/>
    </row>
    <row r="29" spans="2:10" x14ac:dyDescent="0.3">
      <c r="C29" t="s">
        <v>50</v>
      </c>
      <c r="D29" s="67">
        <v>635905.4216415066</v>
      </c>
      <c r="E29" s="67">
        <v>494337.96963105514</v>
      </c>
      <c r="F29" s="67">
        <v>721572.41844046023</v>
      </c>
      <c r="G29" s="67">
        <v>264890.10268123075</v>
      </c>
      <c r="H29" s="54">
        <f t="shared" si="0"/>
        <v>2116705.9123942526</v>
      </c>
      <c r="J29" s="171"/>
    </row>
    <row r="30" spans="2:10" x14ac:dyDescent="0.3">
      <c r="C30" t="s">
        <v>51</v>
      </c>
      <c r="D30" s="67">
        <v>405137.77190431126</v>
      </c>
      <c r="E30" s="67">
        <v>312661.71616314969</v>
      </c>
      <c r="F30" s="67">
        <v>449605.85792931053</v>
      </c>
      <c r="G30" s="67">
        <v>135536.07816103924</v>
      </c>
      <c r="H30" s="54">
        <f t="shared" si="0"/>
        <v>1302941.4241578106</v>
      </c>
      <c r="J30" s="171"/>
    </row>
    <row r="31" spans="2:10" x14ac:dyDescent="0.3">
      <c r="C31" t="s">
        <v>52</v>
      </c>
      <c r="D31" s="67">
        <v>39118.672977498107</v>
      </c>
      <c r="E31" s="67">
        <v>29928.3266831652</v>
      </c>
      <c r="F31" s="67">
        <v>42823.552636029315</v>
      </c>
      <c r="G31" s="67">
        <v>14453.859210073762</v>
      </c>
      <c r="H31" s="54">
        <f t="shared" si="0"/>
        <v>126324.41150676638</v>
      </c>
      <c r="J31" s="171"/>
    </row>
    <row r="32" spans="2:10" x14ac:dyDescent="0.3">
      <c r="C32" t="s">
        <v>53</v>
      </c>
      <c r="D32" s="67">
        <v>184646.56266060888</v>
      </c>
      <c r="E32" s="67">
        <v>145773.44560115325</v>
      </c>
      <c r="F32" s="67">
        <v>318114.60223909147</v>
      </c>
      <c r="G32" s="67">
        <v>51680.669744889761</v>
      </c>
      <c r="H32" s="54">
        <f t="shared" si="0"/>
        <v>700215.28024574323</v>
      </c>
      <c r="J32" s="171"/>
    </row>
    <row r="33" spans="2:10" x14ac:dyDescent="0.3">
      <c r="C33" t="s">
        <v>54</v>
      </c>
      <c r="D33" s="67">
        <v>39118.672977498107</v>
      </c>
      <c r="E33" s="67">
        <v>29928.3266831652</v>
      </c>
      <c r="F33" s="67">
        <v>42823.552636029315</v>
      </c>
      <c r="G33" s="67">
        <v>14453.859210073762</v>
      </c>
      <c r="H33" s="54">
        <f t="shared" si="0"/>
        <v>126324.41150676638</v>
      </c>
      <c r="J33" s="171"/>
    </row>
    <row r="34" spans="2:10" x14ac:dyDescent="0.3">
      <c r="C34" t="s">
        <v>55</v>
      </c>
      <c r="D34" s="67">
        <v>66109.286603587549</v>
      </c>
      <c r="E34" s="67">
        <v>51617.064290180606</v>
      </c>
      <c r="F34" s="67">
        <v>91313.433446123498</v>
      </c>
      <c r="G34" s="67">
        <v>20611.940380384898</v>
      </c>
      <c r="H34" s="54">
        <f t="shared" si="0"/>
        <v>229651.72472027654</v>
      </c>
      <c r="J34" s="171"/>
    </row>
    <row r="35" spans="2:10" x14ac:dyDescent="0.3">
      <c r="C35" t="s">
        <v>56</v>
      </c>
      <c r="D35" s="67">
        <v>61370.885721141945</v>
      </c>
      <c r="E35" s="67">
        <v>48227.086024351636</v>
      </c>
      <c r="F35" s="67">
        <v>96455.290760721007</v>
      </c>
      <c r="G35" s="67">
        <v>17997.743134354907</v>
      </c>
      <c r="H35" s="54">
        <f t="shared" si="0"/>
        <v>224051.00564056952</v>
      </c>
      <c r="J35" s="171"/>
    </row>
    <row r="36" spans="2:10" x14ac:dyDescent="0.3">
      <c r="C36" t="s">
        <v>57</v>
      </c>
      <c r="D36" s="67">
        <v>209763.84662449459</v>
      </c>
      <c r="E36" s="67">
        <v>162888.98915794992</v>
      </c>
      <c r="F36" s="67">
        <v>249019.09449524025</v>
      </c>
      <c r="G36" s="67">
        <v>68672.959071014309</v>
      </c>
      <c r="H36" s="54">
        <f t="shared" si="0"/>
        <v>690344.88934869901</v>
      </c>
      <c r="J36" s="171"/>
    </row>
    <row r="37" spans="2:10" x14ac:dyDescent="0.3">
      <c r="B37" s="68"/>
      <c r="C37" t="s">
        <v>58</v>
      </c>
      <c r="D37" s="67">
        <v>51431.236178492654</v>
      </c>
      <c r="E37" s="67">
        <v>39348.237578364766</v>
      </c>
      <c r="F37" s="67">
        <v>77027.256746954867</v>
      </c>
      <c r="G37" s="67">
        <v>19003.196942585269</v>
      </c>
      <c r="H37" s="54">
        <f t="shared" si="0"/>
        <v>186809.92744639755</v>
      </c>
      <c r="J37" s="171"/>
    </row>
    <row r="38" spans="2:10" x14ac:dyDescent="0.3">
      <c r="C38" t="s">
        <v>59</v>
      </c>
      <c r="D38" s="67">
        <v>39118.672977498107</v>
      </c>
      <c r="E38" s="67">
        <v>29928.3266831652</v>
      </c>
      <c r="F38" s="67">
        <v>50902.974793920759</v>
      </c>
      <c r="G38" s="67">
        <v>14453.859210073762</v>
      </c>
      <c r="H38" s="54">
        <f t="shared" si="0"/>
        <v>134403.83366465784</v>
      </c>
      <c r="J38" s="171"/>
    </row>
    <row r="39" spans="2:10" x14ac:dyDescent="0.3">
      <c r="C39" t="s">
        <v>60</v>
      </c>
      <c r="D39" s="67">
        <v>441061.18532203481</v>
      </c>
      <c r="E39" s="67">
        <v>343680.40776321472</v>
      </c>
      <c r="F39" s="67">
        <v>550366.35523710074</v>
      </c>
      <c r="G39" s="67">
        <v>140060.65643272386</v>
      </c>
      <c r="H39" s="54">
        <f t="shared" si="0"/>
        <v>1475168.604755074</v>
      </c>
      <c r="J39" s="171"/>
    </row>
    <row r="40" spans="2:10" x14ac:dyDescent="0.3">
      <c r="C40" t="s">
        <v>61</v>
      </c>
      <c r="D40" s="67">
        <v>616630.81075681362</v>
      </c>
      <c r="E40" s="67">
        <v>471762.63770119433</v>
      </c>
      <c r="F40" s="67">
        <v>946829.4317891167</v>
      </c>
      <c r="G40" s="67">
        <v>227837.35349098872</v>
      </c>
      <c r="H40" s="54">
        <f t="shared" si="0"/>
        <v>2263060.2337381132</v>
      </c>
      <c r="J40" s="171"/>
    </row>
    <row r="41" spans="2:10" x14ac:dyDescent="0.3">
      <c r="C41" t="s">
        <v>62</v>
      </c>
      <c r="D41" s="67">
        <v>293844.39851661224</v>
      </c>
      <c r="E41" s="67">
        <v>227297.69837595103</v>
      </c>
      <c r="F41" s="67">
        <v>310370.88621354889</v>
      </c>
      <c r="G41" s="67">
        <v>99440.050847664126</v>
      </c>
      <c r="H41" s="54">
        <f t="shared" si="0"/>
        <v>930953.03395377623</v>
      </c>
      <c r="J41" s="171"/>
    </row>
    <row r="42" spans="2:10" x14ac:dyDescent="0.3">
      <c r="C42" t="s">
        <v>63</v>
      </c>
      <c r="D42" s="67">
        <v>164090.19780923278</v>
      </c>
      <c r="E42" s="67">
        <v>125539.66358635934</v>
      </c>
      <c r="F42" s="67">
        <v>248771.64153846441</v>
      </c>
      <c r="G42" s="67">
        <v>60629.270789734575</v>
      </c>
      <c r="H42" s="54">
        <f t="shared" si="0"/>
        <v>599030.77372379112</v>
      </c>
      <c r="J42" s="171"/>
    </row>
    <row r="43" spans="2:10" x14ac:dyDescent="0.3">
      <c r="C43" t="s">
        <v>64</v>
      </c>
      <c r="D43" s="67">
        <v>680915.9677114595</v>
      </c>
      <c r="E43" s="67">
        <v>531770.60399052012</v>
      </c>
      <c r="F43" s="67">
        <v>899918.64412119123</v>
      </c>
      <c r="G43" s="67">
        <v>292977.38865396834</v>
      </c>
      <c r="H43" s="54">
        <f t="shared" si="0"/>
        <v>2405582.6044771392</v>
      </c>
      <c r="J43" s="171"/>
    </row>
    <row r="44" spans="2:10" x14ac:dyDescent="0.3">
      <c r="C44" t="s">
        <v>65</v>
      </c>
      <c r="D44" s="67">
        <v>986600.98665223434</v>
      </c>
      <c r="E44" s="67">
        <v>764224.34805429098</v>
      </c>
      <c r="F44" s="67">
        <v>1060249.0761291084</v>
      </c>
      <c r="G44" s="67">
        <v>329992.14262934815</v>
      </c>
      <c r="H44" s="54">
        <f t="shared" si="0"/>
        <v>3141066.5534649822</v>
      </c>
      <c r="J44" s="171"/>
    </row>
    <row r="45" spans="2:10" x14ac:dyDescent="0.3">
      <c r="C45" t="s">
        <v>66</v>
      </c>
      <c r="D45" s="67">
        <v>213018.88843200912</v>
      </c>
      <c r="E45" s="67">
        <v>164213.28040628179</v>
      </c>
      <c r="F45" s="67">
        <v>295438.27561950835</v>
      </c>
      <c r="G45" s="67">
        <v>64550.559431849957</v>
      </c>
      <c r="H45" s="54">
        <f t="shared" si="0"/>
        <v>737221.00388964918</v>
      </c>
      <c r="J45" s="171"/>
    </row>
    <row r="46" spans="2:10" x14ac:dyDescent="0.3">
      <c r="C46" t="s">
        <v>67</v>
      </c>
      <c r="D46" s="67">
        <v>48982.133419390426</v>
      </c>
      <c r="E46" s="67">
        <v>37474.514829711836</v>
      </c>
      <c r="F46" s="67">
        <v>72678.704960595656</v>
      </c>
      <c r="G46" s="67">
        <v>18098.284179020178</v>
      </c>
      <c r="H46" s="54">
        <f t="shared" si="0"/>
        <v>177233.63738871811</v>
      </c>
      <c r="J46" s="171"/>
    </row>
    <row r="47" spans="2:10" x14ac:dyDescent="0.3">
      <c r="B47" s="68"/>
      <c r="C47" t="s">
        <v>68</v>
      </c>
      <c r="D47" s="67">
        <v>291662.4818058766</v>
      </c>
      <c r="E47" s="67">
        <v>224380.73944521684</v>
      </c>
      <c r="F47" s="67">
        <v>347425.85176142771</v>
      </c>
      <c r="G47" s="67">
        <v>117574.95741590521</v>
      </c>
      <c r="H47" s="54">
        <f t="shared" si="0"/>
        <v>981044.03042842634</v>
      </c>
      <c r="J47" s="171"/>
    </row>
    <row r="48" spans="2:10" x14ac:dyDescent="0.3">
      <c r="C48" t="s">
        <v>69</v>
      </c>
      <c r="D48" s="67">
        <v>47077.288757424139</v>
      </c>
      <c r="E48" s="67">
        <v>36017.184890201788</v>
      </c>
      <c r="F48" s="67">
        <v>76445.747553835885</v>
      </c>
      <c r="G48" s="67">
        <v>17394.467958644847</v>
      </c>
      <c r="H48" s="54">
        <f t="shared" si="0"/>
        <v>176934.68916010665</v>
      </c>
      <c r="J48" s="171"/>
    </row>
    <row r="49" spans="2:10" x14ac:dyDescent="0.3">
      <c r="C49" t="s">
        <v>70</v>
      </c>
      <c r="D49" s="67">
        <v>273380.23799999396</v>
      </c>
      <c r="E49" s="67">
        <v>214018.7230080278</v>
      </c>
      <c r="F49" s="67">
        <v>395893.41321850626</v>
      </c>
      <c r="G49" s="67">
        <v>83151.577741914924</v>
      </c>
      <c r="H49" s="54">
        <f t="shared" si="0"/>
        <v>966443.95196844288</v>
      </c>
      <c r="J49" s="171"/>
    </row>
    <row r="50" spans="2:10" x14ac:dyDescent="0.3">
      <c r="C50" t="s">
        <v>71</v>
      </c>
      <c r="D50" s="67">
        <v>1373404.9715916282</v>
      </c>
      <c r="E50" s="67">
        <v>1050744.0444547085</v>
      </c>
      <c r="F50" s="67">
        <v>1751364.6240164503</v>
      </c>
      <c r="G50" s="67">
        <v>507455.91777153249</v>
      </c>
      <c r="H50" s="54">
        <f t="shared" si="0"/>
        <v>4682969.5578343198</v>
      </c>
      <c r="J50" s="171"/>
    </row>
    <row r="51" spans="2:10" x14ac:dyDescent="0.3">
      <c r="C51" t="s">
        <v>72</v>
      </c>
      <c r="D51" s="67">
        <v>39118.672977498107</v>
      </c>
      <c r="E51" s="67">
        <v>29928.3266831652</v>
      </c>
      <c r="F51" s="67">
        <v>44829.988697941444</v>
      </c>
      <c r="G51" s="67">
        <v>14453.859210073762</v>
      </c>
      <c r="H51" s="54">
        <f t="shared" si="0"/>
        <v>128330.84756867851</v>
      </c>
      <c r="J51" s="171"/>
    </row>
    <row r="52" spans="2:10" x14ac:dyDescent="0.3">
      <c r="C52" t="s">
        <v>73</v>
      </c>
      <c r="D52" s="67">
        <v>548662.2164968783</v>
      </c>
      <c r="E52" s="67">
        <v>351011.38667083468</v>
      </c>
      <c r="F52" s="67">
        <v>734405.2673782116</v>
      </c>
      <c r="G52" s="67">
        <v>237303.99918656205</v>
      </c>
      <c r="H52" s="54">
        <f t="shared" si="0"/>
        <v>1871382.8697324868</v>
      </c>
      <c r="J52" s="171"/>
    </row>
    <row r="53" spans="2:10" x14ac:dyDescent="0.3">
      <c r="C53" t="s">
        <v>74</v>
      </c>
      <c r="D53" s="67">
        <v>183603.22028935622</v>
      </c>
      <c r="E53" s="67">
        <v>143117.22333718263</v>
      </c>
      <c r="F53" s="67">
        <v>236908.65262135331</v>
      </c>
      <c r="G53" s="67">
        <v>58115.614588369855</v>
      </c>
      <c r="H53" s="54">
        <f t="shared" si="0"/>
        <v>621744.71083626198</v>
      </c>
      <c r="J53" s="171"/>
    </row>
    <row r="54" spans="2:10" x14ac:dyDescent="0.3">
      <c r="C54" t="s">
        <v>75</v>
      </c>
      <c r="D54" s="67">
        <v>62860.421506309336</v>
      </c>
      <c r="E54" s="67">
        <v>48092.30700040509</v>
      </c>
      <c r="F54" s="67">
        <v>87820.466056546924</v>
      </c>
      <c r="G54" s="67">
        <v>23226.137626414889</v>
      </c>
      <c r="H54" s="54">
        <f t="shared" si="0"/>
        <v>221999.33218967624</v>
      </c>
      <c r="J54" s="171"/>
    </row>
    <row r="55" spans="2:10" x14ac:dyDescent="0.3">
      <c r="C55" t="s">
        <v>76</v>
      </c>
      <c r="D55" s="67">
        <v>7764877.2151688449</v>
      </c>
      <c r="E55" s="67">
        <v>6019539.0472774943</v>
      </c>
      <c r="F55" s="67">
        <v>5580949.5463853367</v>
      </c>
      <c r="G55" s="67">
        <v>2674611.9639290893</v>
      </c>
      <c r="H55" s="54">
        <f t="shared" si="0"/>
        <v>22039977.772760767</v>
      </c>
      <c r="J55" s="171"/>
    </row>
    <row r="56" spans="2:10" x14ac:dyDescent="0.3">
      <c r="C56" t="s">
        <v>77</v>
      </c>
      <c r="D56" s="67">
        <v>96168.775082459731</v>
      </c>
      <c r="E56" s="67">
        <v>74195.352496782143</v>
      </c>
      <c r="F56" s="67">
        <v>132418.30817928657</v>
      </c>
      <c r="G56" s="67">
        <v>28454.532118474872</v>
      </c>
      <c r="H56" s="54">
        <f t="shared" si="0"/>
        <v>331236.96787700331</v>
      </c>
      <c r="J56" s="171"/>
    </row>
    <row r="57" spans="2:10" x14ac:dyDescent="0.3">
      <c r="C57" t="s">
        <v>78</v>
      </c>
      <c r="D57" s="67">
        <v>39118.672977498107</v>
      </c>
      <c r="E57" s="67">
        <v>29928.3266831652</v>
      </c>
      <c r="F57" s="67">
        <v>43289.855834831513</v>
      </c>
      <c r="G57" s="67">
        <v>14453.859210073762</v>
      </c>
      <c r="H57" s="54">
        <f t="shared" si="0"/>
        <v>126790.71470556858</v>
      </c>
      <c r="J57" s="171"/>
    </row>
    <row r="58" spans="2:10" x14ac:dyDescent="0.3">
      <c r="C58" t="s">
        <v>79</v>
      </c>
      <c r="D58" s="67">
        <v>309389.34917365451</v>
      </c>
      <c r="E58" s="67">
        <v>240837.43087113055</v>
      </c>
      <c r="F58" s="67">
        <v>376016.44293823675</v>
      </c>
      <c r="G58" s="67">
        <v>99138.413259809109</v>
      </c>
      <c r="H58" s="54">
        <f t="shared" si="0"/>
        <v>1025381.6362428309</v>
      </c>
      <c r="J58" s="171"/>
    </row>
    <row r="59" spans="2:10" x14ac:dyDescent="0.3">
      <c r="B59" s="68"/>
      <c r="C59" t="s">
        <v>80</v>
      </c>
      <c r="D59" s="67">
        <v>39118.672977498107</v>
      </c>
      <c r="E59" s="67">
        <v>29928.3266831652</v>
      </c>
      <c r="F59" s="67">
        <v>65412.884478926317</v>
      </c>
      <c r="G59" s="67">
        <v>14453.859210073762</v>
      </c>
      <c r="H59" s="54">
        <f t="shared" si="0"/>
        <v>148913.74334966339</v>
      </c>
      <c r="J59" s="171"/>
    </row>
    <row r="60" spans="2:10" x14ac:dyDescent="0.3">
      <c r="C60" t="s">
        <v>81</v>
      </c>
      <c r="D60" s="67">
        <v>115652.28336830532</v>
      </c>
      <c r="E60" s="67">
        <v>88481.5116374637</v>
      </c>
      <c r="F60" s="67">
        <v>150711.79696905572</v>
      </c>
      <c r="G60" s="67">
        <v>42732.06870004494</v>
      </c>
      <c r="H60" s="54">
        <f t="shared" si="0"/>
        <v>397577.66067486966</v>
      </c>
      <c r="J60" s="171"/>
    </row>
    <row r="61" spans="2:10" x14ac:dyDescent="0.3">
      <c r="C61" t="s">
        <v>82</v>
      </c>
      <c r="D61" s="67">
        <v>39118.672977498107</v>
      </c>
      <c r="E61" s="67">
        <v>29928.3266831652</v>
      </c>
      <c r="F61" s="67">
        <v>42823.552636029315</v>
      </c>
      <c r="G61" s="67">
        <v>14453.859210073762</v>
      </c>
      <c r="H61" s="54">
        <f t="shared" si="0"/>
        <v>126324.41150676638</v>
      </c>
      <c r="J61" s="171"/>
    </row>
    <row r="62" spans="2:10" x14ac:dyDescent="0.3">
      <c r="C62" t="s">
        <v>83</v>
      </c>
      <c r="D62" s="67">
        <v>45172.444095457846</v>
      </c>
      <c r="E62" s="67">
        <v>34559.854950691741</v>
      </c>
      <c r="F62" s="67">
        <v>69687.086555345872</v>
      </c>
      <c r="G62" s="67">
        <v>16690.651738269516</v>
      </c>
      <c r="H62" s="54">
        <f t="shared" si="0"/>
        <v>166110.03733976497</v>
      </c>
      <c r="J62" s="171"/>
    </row>
    <row r="63" spans="2:10" x14ac:dyDescent="0.3">
      <c r="C63" t="s">
        <v>84</v>
      </c>
      <c r="D63" s="67">
        <v>52332.274588550041</v>
      </c>
      <c r="E63" s="67">
        <v>41223.89488855996</v>
      </c>
      <c r="F63" s="67">
        <v>80545.702060932759</v>
      </c>
      <c r="G63" s="67">
        <v>23871.474272461128</v>
      </c>
      <c r="H63" s="54">
        <f t="shared" si="0"/>
        <v>197973.34581050387</v>
      </c>
      <c r="J63" s="171"/>
    </row>
    <row r="64" spans="2:10" x14ac:dyDescent="0.3">
      <c r="C64" t="s">
        <v>85</v>
      </c>
      <c r="D64" s="67">
        <v>39118.672977498107</v>
      </c>
      <c r="E64" s="67">
        <v>29928.3266831652</v>
      </c>
      <c r="F64" s="67">
        <v>69643.430892947741</v>
      </c>
      <c r="G64" s="67">
        <v>14453.859210073762</v>
      </c>
      <c r="H64" s="54">
        <f t="shared" si="0"/>
        <v>153144.28976368482</v>
      </c>
      <c r="J64" s="171"/>
    </row>
    <row r="65" spans="2:13" x14ac:dyDescent="0.3">
      <c r="C65" t="s">
        <v>86</v>
      </c>
      <c r="D65" s="67">
        <v>91433.326147841595</v>
      </c>
      <c r="E65" s="67">
        <v>69952.435663015873</v>
      </c>
      <c r="F65" s="67">
        <v>112273.57889031933</v>
      </c>
      <c r="G65" s="67">
        <v>33783.467655200126</v>
      </c>
      <c r="H65" s="54">
        <f t="shared" si="0"/>
        <v>307442.80835637689</v>
      </c>
      <c r="J65" s="171"/>
    </row>
    <row r="66" spans="2:13" x14ac:dyDescent="0.3">
      <c r="B66" s="68"/>
      <c r="C66" t="s">
        <v>87</v>
      </c>
      <c r="D66" s="67">
        <v>39118.672977498107</v>
      </c>
      <c r="E66" s="67">
        <v>29928.3266831652</v>
      </c>
      <c r="F66" s="67">
        <v>64315.043275902965</v>
      </c>
      <c r="G66" s="67">
        <v>14453.859210073762</v>
      </c>
      <c r="H66" s="54">
        <f t="shared" si="0"/>
        <v>147815.90214664006</v>
      </c>
      <c r="J66" s="171"/>
    </row>
    <row r="67" spans="2:13" x14ac:dyDescent="0.3">
      <c r="C67" t="s">
        <v>88</v>
      </c>
      <c r="D67" s="67">
        <v>508300.48552651244</v>
      </c>
      <c r="E67" s="67">
        <v>394933.61649280874</v>
      </c>
      <c r="F67" s="67">
        <v>594437.62685495382</v>
      </c>
      <c r="G67" s="67">
        <v>165599.35371731373</v>
      </c>
      <c r="H67" s="54">
        <f t="shared" si="0"/>
        <v>1663271.0825915886</v>
      </c>
      <c r="J67" s="171"/>
    </row>
    <row r="68" spans="2:13" x14ac:dyDescent="0.3">
      <c r="C68" t="s">
        <v>89</v>
      </c>
      <c r="D68" s="67">
        <v>85718.753043269724</v>
      </c>
      <c r="E68" s="67">
        <v>65580.415916159051</v>
      </c>
      <c r="F68" s="67">
        <v>108844.4571919032</v>
      </c>
      <c r="G68" s="67">
        <v>31672.004540214919</v>
      </c>
      <c r="H68" s="54">
        <f t="shared" si="0"/>
        <v>291815.63069154689</v>
      </c>
      <c r="J68" s="171"/>
    </row>
    <row r="69" spans="2:13" x14ac:dyDescent="0.3">
      <c r="C69" t="s">
        <v>90</v>
      </c>
      <c r="D69" s="67">
        <v>979981.28642636444</v>
      </c>
      <c r="E69" s="67">
        <v>760000.01039413712</v>
      </c>
      <c r="F69" s="67">
        <v>1090325.5719895023</v>
      </c>
      <c r="G69" s="67">
        <v>401280.04269338358</v>
      </c>
      <c r="H69" s="54">
        <f t="shared" si="0"/>
        <v>3231586.9115033871</v>
      </c>
      <c r="J69" s="171"/>
    </row>
    <row r="70" spans="2:13" x14ac:dyDescent="0.3">
      <c r="C70" t="s">
        <v>91</v>
      </c>
      <c r="D70" s="67">
        <v>65092.093229002669</v>
      </c>
      <c r="E70" s="67">
        <v>50109.674697084163</v>
      </c>
      <c r="F70" s="67">
        <v>80553.459796993367</v>
      </c>
      <c r="G70" s="67">
        <v>20511.399335719623</v>
      </c>
      <c r="H70" s="54">
        <f t="shared" ref="H70:H125" si="1">SUM(D70:G70)</f>
        <v>216266.62705879982</v>
      </c>
      <c r="J70" s="171"/>
    </row>
    <row r="71" spans="2:13" x14ac:dyDescent="0.3">
      <c r="C71" t="s">
        <v>92</v>
      </c>
      <c r="D71" s="67">
        <v>830692.9115517498</v>
      </c>
      <c r="E71" s="67">
        <v>648726.2595179393</v>
      </c>
      <c r="F71" s="67">
        <v>1019710.6826611154</v>
      </c>
      <c r="G71" s="67">
        <v>357365.70630528941</v>
      </c>
      <c r="H71" s="54">
        <f t="shared" si="1"/>
        <v>2856495.5600360939</v>
      </c>
      <c r="J71" s="171"/>
    </row>
    <row r="72" spans="2:13" x14ac:dyDescent="0.3">
      <c r="D72" s="67"/>
      <c r="E72" s="67"/>
      <c r="F72" s="67"/>
      <c r="G72" s="67"/>
      <c r="H72" s="54"/>
      <c r="J72" s="171"/>
    </row>
    <row r="73" spans="2:13" x14ac:dyDescent="0.3">
      <c r="C73" t="s">
        <v>120</v>
      </c>
      <c r="D73" s="181">
        <v>3831.5912000000003</v>
      </c>
      <c r="E73" s="181"/>
      <c r="F73" s="181">
        <v>2553.5073945222698</v>
      </c>
      <c r="G73" s="67">
        <v>0</v>
      </c>
      <c r="H73" s="54">
        <f t="shared" si="1"/>
        <v>6385.0985945222701</v>
      </c>
      <c r="J73" s="172"/>
      <c r="K73" s="36"/>
      <c r="L73" s="69"/>
      <c r="M73" s="69"/>
    </row>
    <row r="74" spans="2:13" x14ac:dyDescent="0.3">
      <c r="C74" t="s">
        <v>122</v>
      </c>
      <c r="D74" s="67">
        <v>38315.910000000003</v>
      </c>
      <c r="E74" s="67">
        <v>31283.584746132929</v>
      </c>
      <c r="F74" s="67">
        <v>28558.235118869583</v>
      </c>
      <c r="G74" s="67">
        <v>0</v>
      </c>
      <c r="H74" s="54">
        <f t="shared" si="1"/>
        <v>98157.729865002504</v>
      </c>
      <c r="J74" s="172"/>
      <c r="K74" s="36"/>
      <c r="L74" s="69"/>
      <c r="M74" s="69"/>
    </row>
    <row r="75" spans="2:13" x14ac:dyDescent="0.3">
      <c r="C75" t="s">
        <v>126</v>
      </c>
      <c r="D75" s="67">
        <v>19157.96</v>
      </c>
      <c r="E75" s="67">
        <v>15463.92750051803</v>
      </c>
      <c r="F75" s="67">
        <v>33469.819185711218</v>
      </c>
      <c r="G75" s="67">
        <v>13473.672485933772</v>
      </c>
      <c r="H75" s="54">
        <f t="shared" si="1"/>
        <v>81565.379172163011</v>
      </c>
      <c r="J75" s="172"/>
      <c r="K75" s="36"/>
      <c r="L75" s="69"/>
      <c r="M75" s="69"/>
    </row>
    <row r="76" spans="2:13" x14ac:dyDescent="0.3">
      <c r="C76" t="s">
        <v>128</v>
      </c>
      <c r="D76" s="67">
        <v>19157.96</v>
      </c>
      <c r="E76" s="67">
        <v>15277.074487011827</v>
      </c>
      <c r="F76" s="67">
        <v>32429.659705013481</v>
      </c>
      <c r="G76" s="67">
        <v>0</v>
      </c>
      <c r="H76" s="54">
        <f t="shared" si="1"/>
        <v>66864.694192025316</v>
      </c>
      <c r="I76" s="48"/>
      <c r="J76" s="172"/>
      <c r="K76" s="36"/>
      <c r="L76" s="69"/>
      <c r="M76" s="69"/>
    </row>
    <row r="77" spans="2:13" x14ac:dyDescent="0.3">
      <c r="C77" t="s">
        <v>136</v>
      </c>
      <c r="D77" s="67">
        <v>9578.98</v>
      </c>
      <c r="E77" s="67">
        <v>3055.4148974023656</v>
      </c>
      <c r="F77" s="67">
        <v>16033.030626132044</v>
      </c>
      <c r="G77" s="67">
        <v>0</v>
      </c>
      <c r="H77" s="54">
        <f t="shared" si="1"/>
        <v>28667.42552353441</v>
      </c>
      <c r="I77" s="48"/>
      <c r="J77" s="172"/>
      <c r="K77" s="36"/>
      <c r="L77" s="69"/>
      <c r="M77" s="69"/>
    </row>
    <row r="78" spans="2:13" x14ac:dyDescent="0.3">
      <c r="B78" s="68"/>
      <c r="C78" t="s">
        <v>154</v>
      </c>
      <c r="D78" s="67">
        <v>3831.59</v>
      </c>
      <c r="E78" s="67">
        <v>7638.5372435059135</v>
      </c>
      <c r="F78" s="67">
        <v>6413.2122504528179</v>
      </c>
      <c r="G78" s="67">
        <v>0</v>
      </c>
      <c r="H78" s="54">
        <f t="shared" si="1"/>
        <v>17883.339493958731</v>
      </c>
      <c r="I78" s="48"/>
      <c r="J78" s="172"/>
      <c r="K78" s="36"/>
      <c r="L78" s="69"/>
      <c r="M78" s="69"/>
    </row>
    <row r="79" spans="2:13" x14ac:dyDescent="0.3">
      <c r="C79" t="s">
        <v>156</v>
      </c>
      <c r="D79" s="67">
        <v>3831.59</v>
      </c>
      <c r="E79" s="67">
        <v>3055.4148974023656</v>
      </c>
      <c r="F79" s="67">
        <v>6413.2122504528179</v>
      </c>
      <c r="G79" s="67">
        <v>0</v>
      </c>
      <c r="H79" s="54">
        <f t="shared" si="1"/>
        <v>13300.217147855183</v>
      </c>
      <c r="I79" s="48"/>
      <c r="J79" s="172"/>
      <c r="K79" s="36"/>
      <c r="L79" s="69"/>
      <c r="M79" s="69"/>
    </row>
    <row r="80" spans="2:13" x14ac:dyDescent="0.3">
      <c r="C80" t="s">
        <v>157</v>
      </c>
      <c r="D80" s="67">
        <v>9578.98</v>
      </c>
      <c r="E80" s="67">
        <v>3055.4148974023656</v>
      </c>
      <c r="F80" s="67">
        <v>16033.030626132044</v>
      </c>
      <c r="G80" s="67">
        <v>0</v>
      </c>
      <c r="H80" s="54">
        <f t="shared" si="1"/>
        <v>28667.42552353441</v>
      </c>
      <c r="I80" s="48"/>
      <c r="J80" s="172"/>
      <c r="K80" s="36"/>
      <c r="L80" s="69"/>
      <c r="M80" s="69"/>
    </row>
    <row r="81" spans="2:13" x14ac:dyDescent="0.3">
      <c r="C81" t="s">
        <v>159</v>
      </c>
      <c r="D81" s="67">
        <v>3831.59</v>
      </c>
      <c r="E81" s="67">
        <v>7638.5372435059135</v>
      </c>
      <c r="F81" s="67">
        <v>6413.2122504528179</v>
      </c>
      <c r="G81" s="67">
        <v>0</v>
      </c>
      <c r="H81" s="54">
        <f t="shared" si="1"/>
        <v>17883.339493958731</v>
      </c>
      <c r="I81" s="48"/>
      <c r="J81" s="172"/>
      <c r="K81" s="36"/>
      <c r="L81" s="69"/>
      <c r="M81" s="69"/>
    </row>
    <row r="82" spans="2:13" x14ac:dyDescent="0.3">
      <c r="C82" t="s">
        <v>162</v>
      </c>
      <c r="D82" s="67">
        <v>9578.98</v>
      </c>
      <c r="E82" s="67">
        <v>3055.4148974023656</v>
      </c>
      <c r="F82" s="67">
        <v>16033.030626132044</v>
      </c>
      <c r="G82" s="67">
        <v>0</v>
      </c>
      <c r="H82" s="54">
        <f t="shared" si="1"/>
        <v>28667.42552353441</v>
      </c>
      <c r="I82" s="48"/>
      <c r="J82" s="172"/>
      <c r="K82" s="36"/>
      <c r="L82" s="69"/>
      <c r="M82" s="69"/>
    </row>
    <row r="83" spans="2:13" x14ac:dyDescent="0.3">
      <c r="C83" t="s">
        <v>163</v>
      </c>
      <c r="D83" s="67">
        <v>9578.98</v>
      </c>
      <c r="E83" s="67">
        <v>7638.5372435059135</v>
      </c>
      <c r="F83" s="67">
        <v>16584.436753352886</v>
      </c>
      <c r="G83" s="67">
        <v>0</v>
      </c>
      <c r="H83" s="54">
        <f t="shared" si="1"/>
        <v>33801.9539968588</v>
      </c>
      <c r="I83" s="48"/>
      <c r="J83" s="172"/>
      <c r="K83" s="36"/>
      <c r="L83" s="69"/>
      <c r="M83" s="69"/>
    </row>
    <row r="84" spans="2:13" x14ac:dyDescent="0.3">
      <c r="C84" t="s">
        <v>166</v>
      </c>
      <c r="D84" s="67">
        <v>9578.98</v>
      </c>
      <c r="E84" s="67">
        <v>7638.5372435059135</v>
      </c>
      <c r="F84" s="67">
        <v>16033.030626132044</v>
      </c>
      <c r="G84" s="67">
        <v>0</v>
      </c>
      <c r="H84" s="54">
        <f t="shared" si="1"/>
        <v>33250.547869637958</v>
      </c>
      <c r="I84" s="48"/>
      <c r="J84" s="172"/>
      <c r="K84" s="36"/>
      <c r="L84" s="69"/>
      <c r="M84" s="69"/>
    </row>
    <row r="85" spans="2:13" x14ac:dyDescent="0.3">
      <c r="C85" t="s">
        <v>170</v>
      </c>
      <c r="D85" s="67">
        <v>3831.59</v>
      </c>
      <c r="E85" s="67">
        <v>7638.5372435059135</v>
      </c>
      <c r="F85" s="67">
        <v>6413.2122504528197</v>
      </c>
      <c r="G85" s="67">
        <v>0</v>
      </c>
      <c r="H85" s="54">
        <f t="shared" si="1"/>
        <v>17883.339493958734</v>
      </c>
      <c r="I85" s="48"/>
      <c r="J85" s="172"/>
      <c r="K85" s="36"/>
      <c r="L85" s="69"/>
      <c r="M85" s="69"/>
    </row>
    <row r="86" spans="2:13" x14ac:dyDescent="0.3">
      <c r="C86" t="s">
        <v>272</v>
      </c>
      <c r="D86" s="67">
        <v>9578.98</v>
      </c>
      <c r="E86" s="67">
        <v>8248.1571923929496</v>
      </c>
      <c r="F86" s="67">
        <v>17220.09534155429</v>
      </c>
      <c r="G86" s="67">
        <v>7186.5940020139624</v>
      </c>
      <c r="H86" s="54">
        <f t="shared" si="1"/>
        <v>42233.826535961198</v>
      </c>
      <c r="I86" s="48"/>
      <c r="J86" s="172"/>
      <c r="K86" s="36"/>
      <c r="L86" s="69"/>
      <c r="M86" s="69"/>
    </row>
    <row r="87" spans="2:13" x14ac:dyDescent="0.3">
      <c r="C87" t="s">
        <v>273</v>
      </c>
      <c r="D87" s="67">
        <v>9578.98</v>
      </c>
      <c r="E87" s="67">
        <v>7638.5372435059135</v>
      </c>
      <c r="F87" s="67">
        <v>16033.030626132044</v>
      </c>
      <c r="G87" s="67">
        <v>0</v>
      </c>
      <c r="H87" s="54">
        <f t="shared" si="1"/>
        <v>33250.547869637958</v>
      </c>
      <c r="I87" s="48"/>
      <c r="J87" s="172"/>
      <c r="K87" s="36"/>
      <c r="L87" s="69"/>
      <c r="M87" s="69"/>
    </row>
    <row r="88" spans="2:13" x14ac:dyDescent="0.3">
      <c r="B88" s="68"/>
      <c r="C88" t="s">
        <v>274</v>
      </c>
      <c r="D88" s="181">
        <v>3831.59</v>
      </c>
      <c r="E88" s="181"/>
      <c r="F88" s="181">
        <v>2553.5073945222698</v>
      </c>
      <c r="G88" s="181">
        <v>1451.0488148843208</v>
      </c>
      <c r="H88" s="54">
        <f t="shared" si="1"/>
        <v>7836.146209406591</v>
      </c>
      <c r="I88" s="48"/>
      <c r="J88" s="172"/>
      <c r="K88" s="36"/>
      <c r="L88" s="69"/>
      <c r="M88" s="69"/>
    </row>
    <row r="89" spans="2:13" x14ac:dyDescent="0.3">
      <c r="C89" t="s">
        <v>275</v>
      </c>
      <c r="D89" s="67">
        <v>13220.22</v>
      </c>
      <c r="E89" s="67">
        <v>11445.001722054592</v>
      </c>
      <c r="F89" s="67">
        <v>20224.905709127139</v>
      </c>
      <c r="G89" s="67">
        <v>0</v>
      </c>
      <c r="H89" s="54">
        <f t="shared" si="1"/>
        <v>44890.127431181732</v>
      </c>
      <c r="I89" s="48"/>
      <c r="J89" s="172"/>
      <c r="K89" s="36"/>
      <c r="L89" s="69"/>
      <c r="M89" s="69"/>
    </row>
    <row r="90" spans="2:13" x14ac:dyDescent="0.3">
      <c r="C90" t="s">
        <v>276</v>
      </c>
      <c r="D90" s="67">
        <v>3831.59</v>
      </c>
      <c r="E90" s="67">
        <v>3055.4148974023656</v>
      </c>
      <c r="F90" s="67">
        <v>6413.2122504528179</v>
      </c>
      <c r="G90" s="67">
        <v>0</v>
      </c>
      <c r="H90" s="54">
        <f t="shared" si="1"/>
        <v>13300.217147855183</v>
      </c>
      <c r="I90" s="48"/>
      <c r="J90" s="172"/>
      <c r="K90" s="36"/>
      <c r="L90" s="69"/>
      <c r="M90" s="69"/>
    </row>
    <row r="91" spans="2:13" x14ac:dyDescent="0.3">
      <c r="C91" t="s">
        <v>277</v>
      </c>
      <c r="D91" s="67">
        <v>9578.98</v>
      </c>
      <c r="E91" s="67">
        <v>7638.5372435059135</v>
      </c>
      <c r="F91" s="67">
        <v>16033.030626132044</v>
      </c>
      <c r="G91" s="67">
        <v>0</v>
      </c>
      <c r="H91" s="54">
        <f t="shared" si="1"/>
        <v>33250.547869637958</v>
      </c>
      <c r="I91" s="48"/>
      <c r="J91" s="172"/>
      <c r="K91" s="36"/>
      <c r="L91" s="69"/>
      <c r="M91" s="69"/>
    </row>
    <row r="92" spans="2:13" x14ac:dyDescent="0.3">
      <c r="C92" t="s">
        <v>278</v>
      </c>
      <c r="D92" s="67">
        <v>9578.98</v>
      </c>
      <c r="E92" s="67"/>
      <c r="F92" s="67">
        <v>6383.7684863056747</v>
      </c>
      <c r="G92" s="67">
        <v>4753.8653239364494</v>
      </c>
      <c r="H92" s="54">
        <f t="shared" si="1"/>
        <v>20716.613810242125</v>
      </c>
      <c r="I92" s="48"/>
      <c r="J92" s="172"/>
      <c r="K92" s="36"/>
      <c r="L92" s="69"/>
      <c r="M92" s="69"/>
    </row>
    <row r="93" spans="2:13" x14ac:dyDescent="0.3">
      <c r="C93" t="s">
        <v>279</v>
      </c>
      <c r="D93" s="67">
        <v>9578.98</v>
      </c>
      <c r="E93" s="67">
        <v>7638.5372435059135</v>
      </c>
      <c r="F93" s="67">
        <v>16033.030626132044</v>
      </c>
      <c r="G93" s="67">
        <v>0</v>
      </c>
      <c r="H93" s="54">
        <f t="shared" si="1"/>
        <v>33250.547869637958</v>
      </c>
      <c r="I93" s="48"/>
      <c r="J93" s="172"/>
      <c r="K93" s="36"/>
      <c r="L93" s="69"/>
      <c r="M93" s="69"/>
    </row>
    <row r="94" spans="2:13" x14ac:dyDescent="0.3">
      <c r="C94" t="s">
        <v>280</v>
      </c>
      <c r="D94" s="67">
        <v>10264.91</v>
      </c>
      <c r="E94" s="67">
        <v>8886.5317454389133</v>
      </c>
      <c r="F94" s="67">
        <v>17820.122792870548</v>
      </c>
      <c r="G94" s="67">
        <v>0</v>
      </c>
      <c r="H94" s="54">
        <f t="shared" si="1"/>
        <v>36971.56453830946</v>
      </c>
      <c r="I94" s="48"/>
      <c r="J94" s="172"/>
      <c r="K94" s="36"/>
      <c r="L94" s="69"/>
      <c r="M94" s="69"/>
    </row>
    <row r="95" spans="2:13" x14ac:dyDescent="0.3">
      <c r="B95" s="68"/>
      <c r="C95" t="s">
        <v>281</v>
      </c>
      <c r="D95" s="67">
        <v>86997.05</v>
      </c>
      <c r="E95" s="67">
        <v>75315.022083679447</v>
      </c>
      <c r="F95" s="67">
        <v>81658.665232017738</v>
      </c>
      <c r="G95" s="67">
        <v>0</v>
      </c>
      <c r="H95" s="54">
        <f t="shared" si="1"/>
        <v>243970.73731569719</v>
      </c>
      <c r="I95" s="48"/>
      <c r="J95" s="172"/>
      <c r="K95" s="36"/>
      <c r="L95" s="69"/>
      <c r="M95" s="69"/>
    </row>
    <row r="96" spans="2:13" x14ac:dyDescent="0.3">
      <c r="C96" t="s">
        <v>282</v>
      </c>
      <c r="D96" s="67">
        <v>3831.59</v>
      </c>
      <c r="E96" s="67">
        <v>3055.4148974023656</v>
      </c>
      <c r="F96" s="67">
        <v>6413.2122504528179</v>
      </c>
      <c r="G96" s="67">
        <v>0</v>
      </c>
      <c r="H96" s="54">
        <f t="shared" si="1"/>
        <v>13300.217147855183</v>
      </c>
      <c r="I96" s="48"/>
      <c r="J96" s="172"/>
      <c r="K96" s="36"/>
      <c r="L96" s="69"/>
      <c r="M96" s="69"/>
    </row>
    <row r="97" spans="2:14" x14ac:dyDescent="0.3">
      <c r="C97" t="s">
        <v>283</v>
      </c>
      <c r="D97" s="67">
        <v>121122.11</v>
      </c>
      <c r="E97" s="67"/>
      <c r="F97" s="67">
        <v>93835.854465273427</v>
      </c>
      <c r="G97" s="67">
        <v>0</v>
      </c>
      <c r="H97" s="54">
        <f t="shared" si="1"/>
        <v>214957.96446527343</v>
      </c>
      <c r="I97" s="48"/>
      <c r="J97" s="172"/>
      <c r="K97" s="36"/>
      <c r="L97" s="69"/>
      <c r="M97" s="69"/>
    </row>
    <row r="98" spans="2:14" x14ac:dyDescent="0.3">
      <c r="C98" t="s">
        <v>284</v>
      </c>
      <c r="D98" s="67">
        <v>3831.59</v>
      </c>
      <c r="E98" s="67">
        <v>3055.4148974023656</v>
      </c>
      <c r="F98" s="67">
        <v>6413.2122504528179</v>
      </c>
      <c r="G98" s="67">
        <v>0</v>
      </c>
      <c r="H98" s="54">
        <f t="shared" si="1"/>
        <v>13300.217147855183</v>
      </c>
      <c r="I98" s="48"/>
      <c r="J98" s="172"/>
      <c r="K98" s="36"/>
      <c r="L98" s="69"/>
      <c r="M98" s="69"/>
    </row>
    <row r="99" spans="2:14" x14ac:dyDescent="0.3">
      <c r="C99" t="s">
        <v>285</v>
      </c>
      <c r="D99" s="67">
        <v>3831.59</v>
      </c>
      <c r="E99" s="67"/>
      <c r="F99" s="67">
        <v>2553.5073945222698</v>
      </c>
      <c r="G99" s="67">
        <v>0</v>
      </c>
      <c r="H99" s="54">
        <f t="shared" si="1"/>
        <v>6385.0973945222704</v>
      </c>
      <c r="I99" s="48"/>
      <c r="J99" s="172"/>
      <c r="K99" s="36"/>
      <c r="L99" s="69"/>
      <c r="M99" s="69"/>
    </row>
    <row r="100" spans="2:14" x14ac:dyDescent="0.3">
      <c r="C100" t="s">
        <v>286</v>
      </c>
      <c r="D100" s="67">
        <v>3831.59</v>
      </c>
      <c r="E100" s="67"/>
      <c r="F100" s="67">
        <v>2553.5073945222698</v>
      </c>
      <c r="G100" s="67">
        <v>1451.0488148843208</v>
      </c>
      <c r="H100" s="54">
        <f t="shared" si="1"/>
        <v>7836.146209406591</v>
      </c>
      <c r="I100" s="48"/>
      <c r="J100" s="172"/>
      <c r="K100" s="67"/>
      <c r="L100" s="69"/>
      <c r="M100" s="69"/>
    </row>
    <row r="101" spans="2:14" x14ac:dyDescent="0.3">
      <c r="C101" t="s">
        <v>287</v>
      </c>
      <c r="D101" s="67">
        <v>9578.98</v>
      </c>
      <c r="E101" s="67">
        <v>8353.3100101259879</v>
      </c>
      <c r="F101" s="67">
        <v>17318.931639025777</v>
      </c>
      <c r="G101" s="67">
        <v>7278.213328802748</v>
      </c>
      <c r="H101" s="54">
        <f t="shared" si="1"/>
        <v>42529.434977954508</v>
      </c>
      <c r="I101" s="48"/>
      <c r="J101" s="172"/>
      <c r="K101" s="36"/>
      <c r="L101" s="69"/>
      <c r="M101" s="69"/>
      <c r="N101" s="44"/>
    </row>
    <row r="102" spans="2:14" x14ac:dyDescent="0.3">
      <c r="C102" t="s">
        <v>288</v>
      </c>
      <c r="D102" s="67">
        <v>9578.98</v>
      </c>
      <c r="E102" s="67">
        <v>7638.5372435059135</v>
      </c>
      <c r="F102" s="67">
        <v>16022.69093361972</v>
      </c>
      <c r="G102" s="67">
        <v>5553.257492996865</v>
      </c>
      <c r="H102" s="54">
        <f t="shared" si="1"/>
        <v>38793.465670122503</v>
      </c>
      <c r="I102" s="48"/>
      <c r="J102" s="172"/>
      <c r="K102" s="67"/>
      <c r="L102" s="69"/>
      <c r="M102" s="69"/>
    </row>
    <row r="103" spans="2:14" x14ac:dyDescent="0.3">
      <c r="C103" t="s">
        <v>289</v>
      </c>
      <c r="D103" s="67">
        <v>9578.98</v>
      </c>
      <c r="E103" s="67">
        <v>7638.5372435059135</v>
      </c>
      <c r="F103" s="67">
        <v>16033.030626132044</v>
      </c>
      <c r="G103" s="67">
        <v>0</v>
      </c>
      <c r="H103" s="54">
        <f t="shared" si="1"/>
        <v>33250.547869637958</v>
      </c>
      <c r="I103" s="48"/>
      <c r="J103" s="172"/>
      <c r="K103" s="36"/>
      <c r="L103" s="69"/>
      <c r="M103" s="69"/>
    </row>
    <row r="104" spans="2:14" x14ac:dyDescent="0.3">
      <c r="B104" s="68"/>
      <c r="C104" t="s">
        <v>290</v>
      </c>
      <c r="D104" s="67">
        <v>3831.59</v>
      </c>
      <c r="E104" s="67">
        <v>3055.4148974023656</v>
      </c>
      <c r="F104" s="67">
        <v>6413.2122504528179</v>
      </c>
      <c r="G104" s="67">
        <v>0</v>
      </c>
      <c r="H104" s="54">
        <f t="shared" si="1"/>
        <v>13300.217147855183</v>
      </c>
      <c r="I104" s="48"/>
      <c r="J104" s="172"/>
      <c r="K104" s="36"/>
      <c r="L104" s="69"/>
      <c r="M104" s="69"/>
    </row>
    <row r="105" spans="2:14" x14ac:dyDescent="0.3">
      <c r="C105" t="s">
        <v>318</v>
      </c>
      <c r="D105" s="67">
        <v>3831.59</v>
      </c>
      <c r="E105" s="67">
        <v>3055.4148974023656</v>
      </c>
      <c r="F105" s="67">
        <v>6413.2122504528179</v>
      </c>
      <c r="G105" s="67">
        <v>0</v>
      </c>
      <c r="H105" s="54">
        <f>SUM(D105:G105)</f>
        <v>13300.217147855183</v>
      </c>
      <c r="I105" s="48"/>
      <c r="J105" s="172"/>
      <c r="K105" s="36"/>
      <c r="L105" s="69"/>
      <c r="M105" s="69"/>
    </row>
    <row r="106" spans="2:14" x14ac:dyDescent="0.3">
      <c r="C106" t="s">
        <v>319</v>
      </c>
      <c r="D106" s="67">
        <v>12728.63</v>
      </c>
      <c r="E106" s="67">
        <v>11019.418686690618</v>
      </c>
      <c r="F106" s="67">
        <v>19824.887408249633</v>
      </c>
      <c r="G106" s="67">
        <v>0</v>
      </c>
      <c r="H106" s="54">
        <f t="shared" si="1"/>
        <v>43572.936094940247</v>
      </c>
      <c r="I106" s="48"/>
      <c r="J106" s="172"/>
      <c r="K106" s="36"/>
      <c r="L106" s="69"/>
      <c r="M106" s="69"/>
    </row>
    <row r="107" spans="2:14" x14ac:dyDescent="0.3">
      <c r="C107" t="s">
        <v>291</v>
      </c>
      <c r="D107" s="67">
        <v>3831.59</v>
      </c>
      <c r="E107" s="67">
        <v>3055.4148974023656</v>
      </c>
      <c r="F107" s="67">
        <v>6413.2122504528179</v>
      </c>
      <c r="G107" s="67">
        <v>0</v>
      </c>
      <c r="H107" s="54">
        <f t="shared" si="1"/>
        <v>13300.217147855183</v>
      </c>
      <c r="I107" s="48"/>
      <c r="J107" s="172"/>
      <c r="K107" s="36"/>
      <c r="L107" s="69"/>
      <c r="M107" s="69"/>
    </row>
    <row r="108" spans="2:14" x14ac:dyDescent="0.3">
      <c r="C108" t="s">
        <v>292</v>
      </c>
      <c r="D108" s="67">
        <v>3831.59</v>
      </c>
      <c r="E108" s="67">
        <v>3055.4148974023656</v>
      </c>
      <c r="F108" s="67">
        <v>6413.2122504528179</v>
      </c>
      <c r="G108" s="67">
        <v>0</v>
      </c>
      <c r="H108" s="54">
        <f t="shared" si="1"/>
        <v>13300.217147855183</v>
      </c>
      <c r="I108" s="48"/>
      <c r="J108" s="172"/>
      <c r="K108" s="36"/>
      <c r="L108" s="69"/>
      <c r="M108" s="69"/>
    </row>
    <row r="109" spans="2:14" x14ac:dyDescent="0.3">
      <c r="D109" s="67"/>
      <c r="E109" s="67"/>
      <c r="F109" s="67"/>
      <c r="G109" s="67"/>
      <c r="H109" s="54"/>
      <c r="I109" s="48"/>
      <c r="J109" s="172"/>
      <c r="K109" s="70"/>
      <c r="L109" s="64"/>
      <c r="M109" s="64"/>
    </row>
    <row r="110" spans="2:14" x14ac:dyDescent="0.3">
      <c r="C110" t="s">
        <v>141</v>
      </c>
      <c r="D110" s="67"/>
      <c r="E110" s="67"/>
      <c r="F110" s="67">
        <v>0</v>
      </c>
      <c r="G110" s="67">
        <v>135433.9414383758</v>
      </c>
      <c r="H110" s="54">
        <f t="shared" si="1"/>
        <v>135433.9414383758</v>
      </c>
      <c r="I110" s="48"/>
      <c r="J110" s="172"/>
      <c r="K110" s="36"/>
      <c r="L110" s="36"/>
      <c r="M110" s="69"/>
      <c r="N110" s="69"/>
    </row>
    <row r="111" spans="2:14" x14ac:dyDescent="0.3">
      <c r="C111" t="s">
        <v>219</v>
      </c>
      <c r="D111" s="67"/>
      <c r="E111" s="67"/>
      <c r="F111" s="67">
        <v>29049.750102357313</v>
      </c>
      <c r="G111" s="67">
        <v>0</v>
      </c>
      <c r="H111" s="54">
        <f t="shared" si="1"/>
        <v>29049.750102357313</v>
      </c>
      <c r="I111" s="48"/>
      <c r="J111" s="172"/>
      <c r="K111" s="36"/>
      <c r="L111" s="36"/>
      <c r="M111" s="69"/>
      <c r="N111" s="69"/>
    </row>
    <row r="112" spans="2:14" x14ac:dyDescent="0.3">
      <c r="C112" t="s">
        <v>270</v>
      </c>
      <c r="D112" s="67">
        <v>107023.66</v>
      </c>
      <c r="E112" s="67">
        <v>92652.441902792736</v>
      </c>
      <c r="F112" s="67">
        <v>120585.53902915586</v>
      </c>
      <c r="G112" s="67">
        <v>46443.092995323772</v>
      </c>
      <c r="H112" s="54">
        <f t="shared" si="1"/>
        <v>366704.73392727238</v>
      </c>
      <c r="I112" s="48"/>
      <c r="J112" s="172"/>
      <c r="K112" s="36"/>
      <c r="L112" s="36"/>
      <c r="M112" s="69"/>
      <c r="N112" s="69"/>
    </row>
    <row r="113" spans="2:14" x14ac:dyDescent="0.3">
      <c r="B113" s="68"/>
      <c r="C113" t="s">
        <v>263</v>
      </c>
      <c r="D113" s="67">
        <v>161349.79999999999</v>
      </c>
      <c r="E113" s="67">
        <v>139683.62943441255</v>
      </c>
      <c r="F113" s="67">
        <v>181796.2341822701</v>
      </c>
      <c r="G113" s="67">
        <v>68039.804304480291</v>
      </c>
      <c r="H113" s="54">
        <f t="shared" si="1"/>
        <v>550869.46792116296</v>
      </c>
      <c r="I113" s="48"/>
      <c r="J113" s="172"/>
      <c r="K113" s="36"/>
      <c r="L113" s="36"/>
      <c r="M113" s="69"/>
      <c r="N113" s="69"/>
    </row>
    <row r="114" spans="2:14" x14ac:dyDescent="0.3">
      <c r="C114" t="s">
        <v>220</v>
      </c>
      <c r="D114" s="67"/>
      <c r="E114" s="67"/>
      <c r="F114" s="67">
        <v>30990.260634524213</v>
      </c>
      <c r="G114" s="67">
        <v>0</v>
      </c>
      <c r="H114" s="54">
        <f t="shared" si="1"/>
        <v>30990.260634524213</v>
      </c>
      <c r="I114" s="48"/>
      <c r="J114" s="172"/>
      <c r="K114" s="36"/>
      <c r="L114" s="36"/>
      <c r="M114" s="69"/>
      <c r="N114" s="69"/>
    </row>
    <row r="115" spans="2:14" x14ac:dyDescent="0.3">
      <c r="C115" t="s">
        <v>267</v>
      </c>
      <c r="D115" s="67">
        <v>133368.17000000001</v>
      </c>
      <c r="E115" s="67">
        <v>115459.39626218744</v>
      </c>
      <c r="F115" s="67">
        <v>150268.46202087044</v>
      </c>
      <c r="G115" s="67">
        <v>0</v>
      </c>
      <c r="H115" s="54">
        <f t="shared" si="1"/>
        <v>399096.02828305785</v>
      </c>
      <c r="I115" s="48"/>
      <c r="J115" s="173"/>
      <c r="K115" s="36"/>
      <c r="L115" s="36"/>
      <c r="M115" s="69"/>
      <c r="N115" s="69"/>
    </row>
    <row r="116" spans="2:14" x14ac:dyDescent="0.3">
      <c r="C116" t="s">
        <v>271</v>
      </c>
      <c r="D116" s="67">
        <v>20105.02</v>
      </c>
      <c r="E116" s="67">
        <v>17405.307274274895</v>
      </c>
      <c r="F116" s="67">
        <v>25624.840630810486</v>
      </c>
      <c r="G116" s="67">
        <v>8724.6290836384687</v>
      </c>
      <c r="H116" s="54">
        <f t="shared" si="1"/>
        <v>71859.796988723858</v>
      </c>
      <c r="I116" s="48"/>
      <c r="J116" s="172"/>
      <c r="K116" s="36"/>
      <c r="L116" s="36"/>
      <c r="M116" s="69"/>
      <c r="N116" s="69"/>
    </row>
    <row r="117" spans="2:14" x14ac:dyDescent="0.3">
      <c r="C117" t="s">
        <v>269</v>
      </c>
      <c r="D117" s="67">
        <v>71474.384423664291</v>
      </c>
      <c r="E117" s="67">
        <v>61876.750998819269</v>
      </c>
      <c r="F117" s="67">
        <v>95309.923041846007</v>
      </c>
      <c r="G117" s="67">
        <v>0</v>
      </c>
      <c r="H117" s="54">
        <f t="shared" si="1"/>
        <v>228661.05846432957</v>
      </c>
      <c r="I117" s="48"/>
      <c r="J117" s="172"/>
      <c r="K117" s="36"/>
      <c r="L117" s="36"/>
      <c r="M117" s="69"/>
      <c r="N117" s="69"/>
    </row>
    <row r="118" spans="2:14" x14ac:dyDescent="0.3">
      <c r="C118" t="s">
        <v>264</v>
      </c>
      <c r="D118" s="67">
        <v>143953.5</v>
      </c>
      <c r="E118" s="67">
        <v>124623.31365929329</v>
      </c>
      <c r="F118" s="67">
        <v>162195.44986274416</v>
      </c>
      <c r="G118" s="67">
        <v>62469.002685077059</v>
      </c>
      <c r="H118" s="54">
        <f t="shared" si="1"/>
        <v>493241.2662071145</v>
      </c>
      <c r="I118" s="48"/>
      <c r="J118" s="172"/>
      <c r="K118" s="36"/>
      <c r="L118" s="36"/>
      <c r="M118" s="69"/>
      <c r="N118" s="69"/>
    </row>
    <row r="119" spans="2:14" x14ac:dyDescent="0.3">
      <c r="B119" s="68"/>
      <c r="C119" t="s">
        <v>148</v>
      </c>
      <c r="D119" s="67">
        <v>67599.72</v>
      </c>
      <c r="E119" s="67">
        <v>58522.380442720962</v>
      </c>
      <c r="F119" s="67">
        <v>43502.689831255593</v>
      </c>
      <c r="G119" s="67">
        <v>0</v>
      </c>
      <c r="H119" s="54">
        <f t="shared" si="1"/>
        <v>169624.79027397654</v>
      </c>
      <c r="I119" s="48"/>
      <c r="J119" s="172"/>
      <c r="K119" s="36"/>
      <c r="L119" s="36"/>
      <c r="M119" s="69"/>
      <c r="N119" s="69"/>
    </row>
    <row r="120" spans="2:14" x14ac:dyDescent="0.3">
      <c r="C120" t="s">
        <v>221</v>
      </c>
      <c r="D120" s="67">
        <v>0</v>
      </c>
      <c r="E120" s="67"/>
      <c r="F120" s="67">
        <v>14642.882203127891</v>
      </c>
      <c r="G120" s="67">
        <v>0</v>
      </c>
      <c r="H120" s="54">
        <f t="shared" si="1"/>
        <v>14642.882203127891</v>
      </c>
      <c r="I120" s="48"/>
      <c r="J120" s="172"/>
      <c r="K120" s="36"/>
      <c r="L120" s="64"/>
      <c r="M120" s="64"/>
    </row>
    <row r="121" spans="2:14" x14ac:dyDescent="0.3">
      <c r="C121" t="s">
        <v>265</v>
      </c>
      <c r="D121" s="67">
        <v>93474.57</v>
      </c>
      <c r="E121" s="67">
        <v>80922.731337824967</v>
      </c>
      <c r="F121" s="67">
        <v>112990.40472572307</v>
      </c>
      <c r="G121" s="67">
        <v>40563.428113507289</v>
      </c>
      <c r="H121" s="54">
        <f t="shared" si="1"/>
        <v>327951.13417705533</v>
      </c>
      <c r="I121" s="48"/>
      <c r="J121" s="171"/>
      <c r="N121" s="17"/>
    </row>
    <row r="122" spans="2:14" x14ac:dyDescent="0.3">
      <c r="C122" t="s">
        <v>268</v>
      </c>
      <c r="D122" s="67">
        <v>78100.19</v>
      </c>
      <c r="E122" s="67">
        <v>67612.841315991129</v>
      </c>
      <c r="F122" s="67">
        <v>100634.76523871219</v>
      </c>
      <c r="G122" s="67">
        <v>0</v>
      </c>
      <c r="H122" s="54">
        <f>SUM(D122:G122)</f>
        <v>246347.79655470332</v>
      </c>
      <c r="I122" s="48"/>
      <c r="J122" s="171"/>
    </row>
    <row r="123" spans="2:14" x14ac:dyDescent="0.3">
      <c r="C123" t="s">
        <v>151</v>
      </c>
      <c r="D123" s="67"/>
      <c r="E123" s="67"/>
      <c r="F123" s="67">
        <v>231790.43045743657</v>
      </c>
      <c r="G123" s="67">
        <v>173686.52653176594</v>
      </c>
      <c r="H123" s="54">
        <f t="shared" si="1"/>
        <v>405476.95698920253</v>
      </c>
      <c r="I123" s="48"/>
      <c r="J123" s="171"/>
    </row>
    <row r="124" spans="2:14" x14ac:dyDescent="0.3">
      <c r="C124" t="s">
        <v>266</v>
      </c>
      <c r="D124" s="67">
        <v>88509.83</v>
      </c>
      <c r="E124" s="67">
        <v>76624.660499037142</v>
      </c>
      <c r="F124" s="67">
        <v>109000.48342009382</v>
      </c>
      <c r="G124" s="67">
        <v>38408.96607197525</v>
      </c>
      <c r="H124" s="54">
        <f>SUM(D124:G124)</f>
        <v>312543.93999110622</v>
      </c>
      <c r="I124" s="48"/>
      <c r="J124" s="171"/>
    </row>
    <row r="125" spans="2:14" x14ac:dyDescent="0.3">
      <c r="C125" t="s">
        <v>153</v>
      </c>
      <c r="D125" s="71">
        <v>0</v>
      </c>
      <c r="E125" s="71"/>
      <c r="F125" s="71">
        <v>18215.820669493234</v>
      </c>
      <c r="G125" s="71">
        <v>0</v>
      </c>
      <c r="H125" s="72">
        <f t="shared" si="1"/>
        <v>18215.820669493234</v>
      </c>
      <c r="I125" s="48"/>
      <c r="J125" s="171"/>
      <c r="N125" s="7"/>
    </row>
    <row r="126" spans="2:14" x14ac:dyDescent="0.3">
      <c r="D126" s="48"/>
      <c r="E126" s="48"/>
      <c r="F126" s="48"/>
      <c r="G126" s="48"/>
      <c r="H126" s="54"/>
      <c r="I126" s="48"/>
      <c r="J126" s="48"/>
    </row>
    <row r="127" spans="2:14" ht="15" thickBot="1" x14ac:dyDescent="0.35">
      <c r="C127" s="15" t="s">
        <v>6</v>
      </c>
      <c r="D127" s="73">
        <f>SUM(D5:D125)</f>
        <v>33130118.830395762</v>
      </c>
      <c r="E127" s="73">
        <f>SUM(E5:E126)</f>
        <v>25532691.610628475</v>
      </c>
      <c r="F127" s="73">
        <f>SUM(F5:F125)</f>
        <v>36399570.058498852</v>
      </c>
      <c r="G127" s="73">
        <f>SUM(G5:G125)</f>
        <v>12285628.195500003</v>
      </c>
      <c r="H127" s="73">
        <f>SUM(D127:G127)</f>
        <v>107348008.69502309</v>
      </c>
      <c r="I127" s="48"/>
      <c r="J127" s="48"/>
    </row>
    <row r="128" spans="2:14" ht="15" thickTop="1" x14ac:dyDescent="0.3">
      <c r="J128" s="48"/>
    </row>
    <row r="129" spans="3:13" x14ac:dyDescent="0.3">
      <c r="C129" t="s">
        <v>327</v>
      </c>
      <c r="J129" s="48"/>
    </row>
    <row r="130" spans="3:13" x14ac:dyDescent="0.3">
      <c r="K130" s="17"/>
    </row>
    <row r="131" spans="3:13" x14ac:dyDescent="0.3">
      <c r="E131" s="7"/>
      <c r="K131" s="17"/>
    </row>
    <row r="132" spans="3:13" x14ac:dyDescent="0.3">
      <c r="C132" s="174" t="s">
        <v>423</v>
      </c>
      <c r="F132" s="160" t="s">
        <v>434</v>
      </c>
      <c r="J132" s="160" t="s">
        <v>436</v>
      </c>
      <c r="K132" s="17"/>
      <c r="M132" s="160"/>
    </row>
    <row r="133" spans="3:13" x14ac:dyDescent="0.3">
      <c r="C133" s="175" t="s">
        <v>324</v>
      </c>
      <c r="D133" s="7">
        <f>D127</f>
        <v>33130118.830395762</v>
      </c>
      <c r="F133" t="s">
        <v>435</v>
      </c>
      <c r="G133" s="7">
        <f>+F127</f>
        <v>36399570.058498852</v>
      </c>
      <c r="J133" t="s">
        <v>437</v>
      </c>
      <c r="K133" s="17">
        <v>12285628.199999999</v>
      </c>
    </row>
    <row r="134" spans="3:13" x14ac:dyDescent="0.3">
      <c r="C134" s="175" t="s">
        <v>422</v>
      </c>
      <c r="D134" s="7">
        <f>E127</f>
        <v>25532691.610628475</v>
      </c>
      <c r="G134" s="170"/>
      <c r="K134" s="17"/>
    </row>
    <row r="135" spans="3:13" x14ac:dyDescent="0.3">
      <c r="C135" s="175" t="s">
        <v>452</v>
      </c>
      <c r="D135" s="7">
        <f>+D73</f>
        <v>3831.5912000000003</v>
      </c>
      <c r="F135" s="168" t="s">
        <v>452</v>
      </c>
      <c r="G135" s="170">
        <f>+F88</f>
        <v>2553.5073945222698</v>
      </c>
      <c r="J135" s="168" t="s">
        <v>452</v>
      </c>
      <c r="K135" s="170">
        <f>+G88</f>
        <v>1451.0488148843208</v>
      </c>
    </row>
    <row r="136" spans="3:13" x14ac:dyDescent="0.3">
      <c r="C136" s="175" t="s">
        <v>453</v>
      </c>
      <c r="D136" s="7">
        <f>+D88</f>
        <v>3831.59</v>
      </c>
      <c r="F136" s="168" t="s">
        <v>453</v>
      </c>
      <c r="G136" s="170">
        <f>+F73</f>
        <v>2553.5073945222698</v>
      </c>
      <c r="J136" s="168" t="s">
        <v>453</v>
      </c>
      <c r="K136" s="17"/>
    </row>
    <row r="137" spans="3:13" x14ac:dyDescent="0.3">
      <c r="C137" s="175" t="s">
        <v>442</v>
      </c>
      <c r="D137" s="7">
        <f>+D133+D134-D135-D136</f>
        <v>58655147.259824231</v>
      </c>
      <c r="F137" t="s">
        <v>442</v>
      </c>
      <c r="G137" s="170">
        <f>+G133-G135-G136</f>
        <v>36394463.043709807</v>
      </c>
      <c r="J137" t="s">
        <v>442</v>
      </c>
      <c r="K137" s="17">
        <f>+K133-K135</f>
        <v>12284177.151185116</v>
      </c>
    </row>
    <row r="138" spans="3:13" x14ac:dyDescent="0.3">
      <c r="C138" s="175" t="s">
        <v>294</v>
      </c>
      <c r="D138" s="7">
        <f>'Wave 1 J&amp;J Payment Detail'!F132+'Wave1 Distrib Part. Payment Det'!L122</f>
        <v>9459017.1855940819</v>
      </c>
      <c r="F138" t="s">
        <v>294</v>
      </c>
      <c r="G138" s="7">
        <f>+'Wave 2 Distribution Breakdown'!K25</f>
        <v>1672071.943796213</v>
      </c>
      <c r="J138" t="s">
        <v>294</v>
      </c>
      <c r="K138" s="17">
        <v>632035.4</v>
      </c>
      <c r="M138" s="7"/>
    </row>
    <row r="139" spans="3:13" x14ac:dyDescent="0.3">
      <c r="C139" s="175" t="s">
        <v>3</v>
      </c>
      <c r="D139" s="7">
        <f>'Wave 1 J&amp;J Payment Detail'!F128+'Wave1 Distrib Part. Payment Det'!L123</f>
        <v>10351348.350000001</v>
      </c>
      <c r="F139" t="s">
        <v>3</v>
      </c>
      <c r="G139" s="7">
        <f>+'Wave 2 Distribution Breakdown'!J25</f>
        <v>2637600.495128578</v>
      </c>
      <c r="J139" t="s">
        <v>438</v>
      </c>
      <c r="K139" s="17">
        <v>2168052.0299999998</v>
      </c>
      <c r="M139" s="7"/>
    </row>
    <row r="140" spans="3:13" x14ac:dyDescent="0.3">
      <c r="C140" s="175" t="s">
        <v>443</v>
      </c>
      <c r="D140" s="7">
        <f>+D135+D136</f>
        <v>7663.1812000000009</v>
      </c>
      <c r="F140" t="s">
        <v>445</v>
      </c>
      <c r="G140" s="7">
        <f>+G135+G136</f>
        <v>5107.0147890445396</v>
      </c>
      <c r="J140" t="s">
        <v>443</v>
      </c>
      <c r="K140" s="17">
        <f>+K135</f>
        <v>1451.0488148843208</v>
      </c>
      <c r="M140" s="7"/>
    </row>
    <row r="141" spans="3:13" x14ac:dyDescent="0.3">
      <c r="C141" s="175" t="s">
        <v>444</v>
      </c>
      <c r="D141" s="7">
        <f>SUM(D139:D140)</f>
        <v>10359011.531200001</v>
      </c>
      <c r="F141" t="s">
        <v>444</v>
      </c>
      <c r="G141" s="7">
        <f>+G139+G140</f>
        <v>2642707.5099176224</v>
      </c>
      <c r="J141" t="s">
        <v>444</v>
      </c>
      <c r="K141" s="17">
        <f>+K139+K140</f>
        <v>2169503.0788148842</v>
      </c>
      <c r="M141" s="7"/>
    </row>
    <row r="142" spans="3:13" ht="15" thickBot="1" x14ac:dyDescent="0.35">
      <c r="C142" s="175" t="s">
        <v>441</v>
      </c>
      <c r="D142" s="176">
        <f>+D137+D138+D141</f>
        <v>78473175.97661832</v>
      </c>
      <c r="F142" t="s">
        <v>441</v>
      </c>
      <c r="G142" s="176">
        <f>+G137+G138+G141</f>
        <v>40709242.497423641</v>
      </c>
      <c r="J142" t="s">
        <v>441</v>
      </c>
      <c r="K142" s="162">
        <f>+K137+K138+K141</f>
        <v>15085715.630000001</v>
      </c>
    </row>
    <row r="143" spans="3:13" ht="15" thickTop="1" x14ac:dyDescent="0.3">
      <c r="C143" s="175"/>
      <c r="K143" s="17"/>
    </row>
    <row r="144" spans="3:13" x14ac:dyDescent="0.3">
      <c r="C144" s="160"/>
      <c r="D144" s="180"/>
      <c r="G144" s="48"/>
      <c r="K144" s="17"/>
    </row>
    <row r="145" spans="3:11" x14ac:dyDescent="0.3">
      <c r="K145" s="17"/>
    </row>
    <row r="146" spans="3:11" x14ac:dyDescent="0.3">
      <c r="K146" s="17"/>
    </row>
    <row r="147" spans="3:11" x14ac:dyDescent="0.3">
      <c r="G147" s="7"/>
    </row>
    <row r="148" spans="3:11" x14ac:dyDescent="0.3">
      <c r="C148" s="42" t="s">
        <v>448</v>
      </c>
      <c r="H148" s="7"/>
    </row>
    <row r="149" spans="3:11" x14ac:dyDescent="0.3">
      <c r="C149" s="7" t="s">
        <v>294</v>
      </c>
      <c r="D149" s="7">
        <f>+D138+G138+K138</f>
        <v>11763124.529390296</v>
      </c>
      <c r="F149" s="7"/>
      <c r="J149" s="170"/>
    </row>
    <row r="150" spans="3:11" x14ac:dyDescent="0.3">
      <c r="C150" s="7" t="s">
        <v>3</v>
      </c>
      <c r="D150" s="7">
        <f>+D141+G141+K141</f>
        <v>15171222.119932508</v>
      </c>
      <c r="H150" s="7"/>
    </row>
    <row r="151" spans="3:11" x14ac:dyDescent="0.3">
      <c r="C151" s="7"/>
    </row>
    <row r="152" spans="3:11" x14ac:dyDescent="0.3">
      <c r="C152" s="7"/>
      <c r="H152" s="7"/>
    </row>
  </sheetData>
  <mergeCells count="1">
    <mergeCell ref="C3:H3"/>
  </mergeCells>
  <printOptions horizontalCentered="1"/>
  <pageMargins left="0.25" right="0.25" top="0.75" bottom="0.75" header="0.3" footer="0.3"/>
  <pageSetup scale="5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25"/>
  <sheetViews>
    <sheetView workbookViewId="0">
      <selection activeCell="A24" sqref="A24"/>
    </sheetView>
  </sheetViews>
  <sheetFormatPr defaultRowHeight="14.4" x14ac:dyDescent="0.3"/>
  <cols>
    <col min="1" max="1" width="14.33203125" customWidth="1"/>
    <col min="2" max="2" width="20.6640625" customWidth="1"/>
    <col min="3" max="8" width="23.44140625" customWidth="1"/>
    <col min="9" max="9" width="25.6640625" customWidth="1"/>
    <col min="10" max="10" width="35" customWidth="1"/>
    <col min="11" max="11" width="22.5546875" customWidth="1"/>
  </cols>
  <sheetData>
    <row r="1" spans="1:11" ht="15.6" x14ac:dyDescent="0.3">
      <c r="A1" s="1" t="s">
        <v>0</v>
      </c>
      <c r="B1" s="1" t="s">
        <v>1</v>
      </c>
      <c r="C1" s="1" t="s">
        <v>4</v>
      </c>
      <c r="D1" s="1" t="s">
        <v>106</v>
      </c>
      <c r="E1" s="1" t="s">
        <v>107</v>
      </c>
      <c r="F1" s="1" t="s">
        <v>108</v>
      </c>
      <c r="G1" s="1" t="s">
        <v>109</v>
      </c>
      <c r="H1" s="1" t="s">
        <v>110</v>
      </c>
      <c r="I1" s="3" t="s">
        <v>111</v>
      </c>
      <c r="J1" s="3" t="s">
        <v>112</v>
      </c>
      <c r="K1" t="s">
        <v>113</v>
      </c>
    </row>
    <row r="2" spans="1:11" ht="15.6" x14ac:dyDescent="0.3">
      <c r="A2" s="3">
        <v>1</v>
      </c>
      <c r="B2" s="3">
        <v>2024</v>
      </c>
      <c r="C2" s="4">
        <f>Table14[[#This Row],[Total Less Fees]]*0.7</f>
        <v>97324298.282099009</v>
      </c>
      <c r="D2" s="4">
        <f>(Table14[[#This Row],[Teva]]-Table14[[#This Row],[Teva Attorney Fees]])*0.7</f>
        <v>4516947.2302759215</v>
      </c>
      <c r="E2" s="4">
        <f>(Table14[[#This Row],[Allergan]]-Table14[[#This Row],[Allergan Attorney Fees ]])*0.7</f>
        <v>4655316.1070614913</v>
      </c>
      <c r="F2" s="4">
        <f>(Table14[[#This Row],[Walgreens]]-Table14[[#This Row],[Walgreens Attorney Fees]])*0.7</f>
        <v>2295357.3094544229</v>
      </c>
      <c r="G2" s="4">
        <f>(Table14[[#This Row],[CVS]]-Table14[[#This Row],[CVS Attorney Fees]])*0.7</f>
        <v>2777526.6286596861</v>
      </c>
      <c r="H2" s="4">
        <f>(Table14[[#This Row],[Walmart]]-Table14[[#This Row],[Walmart Attorney Fees]])*0.7</f>
        <v>83079151.006647497</v>
      </c>
      <c r="I2" s="9">
        <f>Table14[[#This Row],[County Escrow]]</f>
        <v>4873602.1164021166</v>
      </c>
      <c r="J2" s="9">
        <f>(SUM(D2,E2,H2))-Table145[[#This Row],[Walmart Escrow Amount]]</f>
        <v>87377812.227582783</v>
      </c>
      <c r="K2" s="8">
        <f>SUM(Table145[[#This Row],[Walgreens County Amount]:[CVS County Amount]])</f>
        <v>5072883.9381141085</v>
      </c>
    </row>
    <row r="3" spans="1:11" ht="15.6" x14ac:dyDescent="0.3">
      <c r="A3" s="1">
        <v>2</v>
      </c>
      <c r="B3" s="2">
        <v>46006</v>
      </c>
      <c r="C3" s="4">
        <f>Table14[[#This Row],[Total Less Fees]]*0.7</f>
        <v>33548270.908951528</v>
      </c>
      <c r="D3" s="4">
        <f>(Table14[[#This Row],[Teva]]-Table14[[#This Row],[Teva Attorney Fees]])*0.7</f>
        <v>8810759.4802759234</v>
      </c>
      <c r="E3" s="4">
        <f>(Table14[[#This Row],[Allergan]]-Table14[[#This Row],[Allergan Attorney Fees ]])*0.7</f>
        <v>9440416.1645614915</v>
      </c>
      <c r="F3" s="4">
        <f>(Table14[[#This Row],[Walgreens]]-Table14[[#This Row],[Walgreens Attorney Fees]])*0.7</f>
        <v>8595891.0804544222</v>
      </c>
      <c r="G3" s="4">
        <f>(Table14[[#This Row],[CVS]]-Table14[[#This Row],[CVS Attorney Fees]])*0.7</f>
        <v>6701204.1836596858</v>
      </c>
      <c r="H3" s="6">
        <f>(Table14[[#This Row],[Walmart]]-Table14[[#This Row],[Walmart Attorney Fees]])*0.7</f>
        <v>0</v>
      </c>
      <c r="I3" s="8">
        <v>0</v>
      </c>
      <c r="J3" s="8">
        <f>(SUM(D3,E3,H3))-Table145[[#This Row],[Walmart Escrow Amount]]</f>
        <v>18251175.644837417</v>
      </c>
      <c r="K3" s="8">
        <f>SUM(Table145[[#This Row],[Walgreens County Amount]:[CVS County Amount]])</f>
        <v>15297095.264114108</v>
      </c>
    </row>
    <row r="4" spans="1:11" ht="15.6" x14ac:dyDescent="0.3">
      <c r="A4" s="1">
        <v>3</v>
      </c>
      <c r="B4" s="2">
        <v>46371</v>
      </c>
      <c r="C4" s="8">
        <f>Table14[[#This Row],[Total Less Fees]]*0.7</f>
        <v>29976116.518763725</v>
      </c>
      <c r="D4" s="8">
        <f>(Table14[[#This Row],[Teva]]-Table14[[#This Row],[Teva Attorney Fees]])*0.7</f>
        <v>9456039.1712759212</v>
      </c>
      <c r="E4" s="8">
        <f>(Table14[[#This Row],[Allergan]]-Table14[[#This Row],[Allergan Attorney Fees ]])*0.7</f>
        <v>9653964.8775614928</v>
      </c>
      <c r="F4" s="8">
        <f>(Table14[[#This Row],[Walgreens]]-Table14[[#This Row],[Walgreens Attorney Fees]])*0.7</f>
        <v>4724243.2374544227</v>
      </c>
      <c r="G4" s="8">
        <f>(Table14[[#This Row],[CVS]]-Table14[[#This Row],[CVS Attorney Fees]])*0.7</f>
        <v>5733571.3146596858</v>
      </c>
      <c r="H4" s="8">
        <f>(Table14[[#This Row],[Walmart]]-Table14[[#This Row],[Walmart Attorney Fees]])*0.7</f>
        <v>408297.91781219834</v>
      </c>
      <c r="I4" s="9">
        <v>0</v>
      </c>
      <c r="J4" s="9">
        <f>(SUM(D4,E4,H4))-Table145[[#This Row],[Walmart Escrow Amount]]</f>
        <v>19518301.966649614</v>
      </c>
      <c r="K4" s="8">
        <f>SUM(Table145[[#This Row],[Walgreens County Amount]:[CVS County Amount]])</f>
        <v>10457814.552114109</v>
      </c>
    </row>
    <row r="5" spans="1:11" ht="15.6" x14ac:dyDescent="0.3">
      <c r="A5" s="1">
        <v>4</v>
      </c>
      <c r="B5" s="2">
        <v>46736</v>
      </c>
      <c r="C5" s="8">
        <f>Table14[[#This Row],[Total Less Fees]]*0.7</f>
        <v>26523539.5859957</v>
      </c>
      <c r="D5" s="8">
        <f>(Table14[[#This Row],[Teva]]-Table14[[#This Row],[Teva Attorney Fees]])*0.7</f>
        <v>6855055.4237492643</v>
      </c>
      <c r="E5" s="8">
        <f>(Table14[[#This Row],[Allergan]]-Table14[[#This Row],[Allergan Attorney Fees ]])*0.7</f>
        <v>7911771.4741826272</v>
      </c>
      <c r="F5" s="8">
        <f>(Table14[[#This Row],[Walgreens]]-Table14[[#This Row],[Walgreens Attorney Fees]])*0.7</f>
        <v>4232914.7962019695</v>
      </c>
      <c r="G5" s="8">
        <f>(Table14[[#This Row],[CVS]]-Table14[[#This Row],[CVS Attorney Fees]])*0.7</f>
        <v>7115499.9740496436</v>
      </c>
      <c r="H5" s="8">
        <f>(Table14[[#This Row],[Walmart]]-Table14[[#This Row],[Walmart Attorney Fees]])*0.7</f>
        <v>408297.91781219834</v>
      </c>
      <c r="I5" s="9">
        <v>0</v>
      </c>
      <c r="J5" s="9">
        <f>(SUM(D5,E5,H5))-Table145[[#This Row],[Walmart Escrow Amount]]</f>
        <v>15175124.815744091</v>
      </c>
      <c r="K5" s="8">
        <f>SUM(Table145[[#This Row],[Walgreens County Amount]:[CVS County Amount]])</f>
        <v>11348414.770251613</v>
      </c>
    </row>
    <row r="6" spans="1:11" ht="15.6" x14ac:dyDescent="0.3">
      <c r="A6" s="1">
        <v>5</v>
      </c>
      <c r="B6" s="2">
        <v>47102</v>
      </c>
      <c r="C6" s="8">
        <f>Table14[[#This Row],[Total Less Fees]]*0.7</f>
        <v>26523539.5859957</v>
      </c>
      <c r="D6" s="8">
        <f>(Table14[[#This Row],[Teva]]-Table14[[#This Row],[Teva Attorney Fees]])*0.7</f>
        <v>6855055.4237492643</v>
      </c>
      <c r="E6" s="8">
        <f>(Table14[[#This Row],[Allergan]]-Table14[[#This Row],[Allergan Attorney Fees ]])*0.7</f>
        <v>7911771.4741826272</v>
      </c>
      <c r="F6" s="8">
        <f>(Table14[[#This Row],[Walgreens]]-Table14[[#This Row],[Walgreens Attorney Fees]])*0.7</f>
        <v>4232914.7962019695</v>
      </c>
      <c r="G6" s="8">
        <f>(Table14[[#This Row],[CVS]]-Table14[[#This Row],[CVS Attorney Fees]])*0.7</f>
        <v>7115499.9740496436</v>
      </c>
      <c r="H6" s="8">
        <f>(Table14[[#This Row],[Walmart]]-Table14[[#This Row],[Walmart Attorney Fees]])*0.7</f>
        <v>408297.91781219834</v>
      </c>
      <c r="I6" s="9">
        <v>0</v>
      </c>
      <c r="J6" s="9">
        <f>(SUM(D6,E6,H6))-Table145[[#This Row],[Walmart Escrow Amount]]</f>
        <v>15175124.815744091</v>
      </c>
      <c r="K6" s="8">
        <f>SUM(Table145[[#This Row],[Walgreens County Amount]:[CVS County Amount]])</f>
        <v>11348414.770251613</v>
      </c>
    </row>
    <row r="7" spans="1:11" ht="15.6" x14ac:dyDescent="0.3">
      <c r="A7" s="1">
        <v>6</v>
      </c>
      <c r="B7" s="2">
        <v>47467</v>
      </c>
      <c r="C7" s="8">
        <f>Table14[[#This Row],[Total Less Fees]]*0.7</f>
        <v>30580709.495199468</v>
      </c>
      <c r="D7" s="8">
        <f>(Table14[[#This Row],[Teva]]-Table14[[#This Row],[Teva Attorney Fees]])*0.7</f>
        <v>7277200.1344733415</v>
      </c>
      <c r="E7" s="8">
        <f>(Table14[[#This Row],[Allergan]]-Table14[[#This Row],[Allergan Attorney Fees ]])*0.7</f>
        <v>8255104.1376211345</v>
      </c>
      <c r="F7" s="8">
        <f>(Table14[[#This Row],[Walgreens]]-Table14[[#This Row],[Walgreens Attorney Fees]])*0.7</f>
        <v>5788953.1308599971</v>
      </c>
      <c r="G7" s="8">
        <f>(Table14[[#This Row],[CVS]]-Table14[[#This Row],[CVS Attorney Fees]])*0.7</f>
        <v>8613411.0830484796</v>
      </c>
      <c r="H7" s="8">
        <f>(Table14[[#This Row],[Walmart]]-Table14[[#This Row],[Walmart Attorney Fees]])*0.7</f>
        <v>646041.00919651636</v>
      </c>
      <c r="I7" s="9">
        <v>0</v>
      </c>
      <c r="J7" s="9">
        <f>(SUM(D7,E7,H7))-Table145[[#This Row],[Walmart Escrow Amount]]</f>
        <v>16178345.281290993</v>
      </c>
      <c r="K7" s="8">
        <f>SUM(Table145[[#This Row],[Walgreens County Amount]:[CVS County Amount]])</f>
        <v>14402364.213908477</v>
      </c>
    </row>
    <row r="8" spans="1:11" ht="15.6" x14ac:dyDescent="0.3">
      <c r="A8" s="1">
        <v>7</v>
      </c>
      <c r="B8" s="2">
        <v>47832</v>
      </c>
      <c r="C8" s="8">
        <f>Table14[[#This Row],[Total Less Fees]]*0.7</f>
        <v>29570256.774719644</v>
      </c>
      <c r="D8" s="8">
        <f>(Table14[[#This Row],[Teva]]-Table14[[#This Row],[Teva Attorney Fees]])*0.7</f>
        <v>7277200.1344733397</v>
      </c>
      <c r="E8" s="8">
        <f>(Table14[[#This Row],[Allergan]]-Table14[[#This Row],[Allergan Attorney Fees ]])*0.7</f>
        <v>8255104.1376211345</v>
      </c>
      <c r="F8" s="8">
        <f>(Table14[[#This Row],[Walgreens]]-Table14[[#This Row],[Walgreens Attorney Fees]])*0.7</f>
        <v>5788953.1308599971</v>
      </c>
      <c r="G8" s="8">
        <f>(Table14[[#This Row],[CVS]]-Table14[[#This Row],[CVS Attorney Fees]])*0.7</f>
        <v>8248999.3717651721</v>
      </c>
      <c r="H8" s="8">
        <f>(Table14[[#This Row],[Walmart]]-Table14[[#This Row],[Walmart Attorney Fees]])*0.7</f>
        <v>0</v>
      </c>
      <c r="I8" s="9">
        <v>0</v>
      </c>
      <c r="J8" s="9">
        <f>(SUM(D8,E8,H8))-Table145[[#This Row],[Walmart Escrow Amount]]</f>
        <v>15532304.272094473</v>
      </c>
      <c r="K8" s="8">
        <f>SUM(Table145[[#This Row],[Walgreens County Amount]:[CVS County Amount]])</f>
        <v>14037952.502625169</v>
      </c>
    </row>
    <row r="9" spans="1:11" ht="15.6" x14ac:dyDescent="0.3">
      <c r="A9" s="1">
        <v>8</v>
      </c>
      <c r="B9" s="2">
        <v>48197</v>
      </c>
      <c r="C9" s="8">
        <f>Table14[[#This Row],[Total Less Fees]]*0.7</f>
        <v>22543127.057604849</v>
      </c>
      <c r="D9" s="8">
        <f>(Table14[[#This Row],[Teva]]-Table14[[#This Row],[Teva Attorney Fees]])*0.7</f>
        <v>7277200.1344733397</v>
      </c>
      <c r="E9" s="8">
        <f>(Table14[[#This Row],[Allergan]]-Table14[[#This Row],[Allergan Attorney Fees ]])*0.7</f>
        <v>0</v>
      </c>
      <c r="F9" s="8">
        <f>(Table14[[#This Row],[Walgreens]]-Table14[[#This Row],[Walgreens Attorney Fees]])*0.7</f>
        <v>7381339.2626496423</v>
      </c>
      <c r="G9" s="8">
        <f>(Table14[[#This Row],[CVS]]-Table14[[#This Row],[CVS Attorney Fees]])*0.7</f>
        <v>7884587.6604818655</v>
      </c>
      <c r="H9" s="8">
        <f>(Table14[[#This Row],[Walmart]]-Table14[[#This Row],[Walmart Attorney Fees]])*0.7</f>
        <v>0</v>
      </c>
      <c r="I9" s="9">
        <v>0</v>
      </c>
      <c r="J9" s="9">
        <f>(SUM(D9,E9,H9))-Table145[[#This Row],[Walmart Escrow Amount]]</f>
        <v>7277200.1344733397</v>
      </c>
      <c r="K9" s="8">
        <f>SUM(Table145[[#This Row],[Walgreens County Amount]:[CVS County Amount]])</f>
        <v>15265926.923131507</v>
      </c>
    </row>
    <row r="10" spans="1:11" ht="15.6" x14ac:dyDescent="0.3">
      <c r="A10" s="1">
        <v>9</v>
      </c>
      <c r="B10" s="2">
        <v>48563</v>
      </c>
      <c r="C10" s="8">
        <f>Table14[[#This Row],[Total Less Fees]]*0.7</f>
        <v>22537343.624446265</v>
      </c>
      <c r="D10" s="8">
        <f>(Table14[[#This Row],[Teva]]-Table14[[#This Row],[Teva Attorney Fees]])*0.7</f>
        <v>7277200.1344733397</v>
      </c>
      <c r="E10" s="8">
        <f>(Table14[[#This Row],[Allergan]]-Table14[[#This Row],[Allergan Attorney Fees ]])*0.7</f>
        <v>0</v>
      </c>
      <c r="F10" s="8">
        <f>(Table14[[#This Row],[Walgreens]]-Table14[[#This Row],[Walgreens Attorney Fees]])*0.7</f>
        <v>7381339.2626496423</v>
      </c>
      <c r="G10" s="8">
        <f>(Table14[[#This Row],[CVS]]-Table14[[#This Row],[CVS Attorney Fees]])*0.7</f>
        <v>7878804.2273232834</v>
      </c>
      <c r="H10" s="8">
        <f>(Table14[[#This Row],[Walmart]]-Table14[[#This Row],[Walmart Attorney Fees]])*0.7</f>
        <v>0</v>
      </c>
      <c r="I10" s="9">
        <v>0</v>
      </c>
      <c r="J10" s="9">
        <f>(SUM(D10,E10,H10))-Table145[[#This Row],[Walmart Escrow Amount]]</f>
        <v>7277200.1344733397</v>
      </c>
      <c r="K10" s="8">
        <f>SUM(Table145[[#This Row],[Walgreens County Amount]:[CVS County Amount]])</f>
        <v>15260143.489972927</v>
      </c>
    </row>
    <row r="11" spans="1:11" ht="15.6" x14ac:dyDescent="0.3">
      <c r="A11" s="1">
        <v>10</v>
      </c>
      <c r="B11" s="2">
        <v>48928</v>
      </c>
      <c r="C11" s="8">
        <f>Table14[[#This Row],[Total Less Fees]]*0.7</f>
        <v>22537343.637293346</v>
      </c>
      <c r="D11" s="8">
        <f>(Table14[[#This Row],[Teva]]-Table14[[#This Row],[Teva Attorney Fees]])*0.7</f>
        <v>7277200.1344733397</v>
      </c>
      <c r="E11" s="8">
        <f>(Table14[[#This Row],[Allergan]]-Table14[[#This Row],[Allergan Attorney Fees ]])*0.7</f>
        <v>0</v>
      </c>
      <c r="F11" s="8">
        <f>(Table14[[#This Row],[Walgreens]]-Table14[[#This Row],[Walgreens Attorney Fees]])*0.7</f>
        <v>7381339.2626496423</v>
      </c>
      <c r="G11" s="8">
        <f>(Table14[[#This Row],[CVS]]-Table14[[#This Row],[CVS Attorney Fees]])*0.7</f>
        <v>7878804.2401703633</v>
      </c>
      <c r="H11" s="8">
        <f>(Table14[[#This Row],[Walmart]]-Table14[[#This Row],[Walmart Attorney Fees]])*0.7</f>
        <v>0</v>
      </c>
      <c r="I11" s="9">
        <v>0</v>
      </c>
      <c r="J11" s="9">
        <f>(SUM(D11,E11,H11))-Table145[[#This Row],[Walmart Escrow Amount]]</f>
        <v>7277200.1344733397</v>
      </c>
      <c r="K11" s="8">
        <f>SUM(Table145[[#This Row],[Walgreens County Amount]:[CVS County Amount]])</f>
        <v>15260143.502820006</v>
      </c>
    </row>
    <row r="12" spans="1:11" ht="15.6" x14ac:dyDescent="0.3">
      <c r="A12" s="1">
        <v>11</v>
      </c>
      <c r="B12" s="2">
        <v>49293</v>
      </c>
      <c r="C12" s="8">
        <f>Table14[[#This Row],[Total Less Fees]]*0.7</f>
        <v>14658539.397122985</v>
      </c>
      <c r="D12" s="8">
        <f>(Table14[[#This Row],[Teva]]-Table14[[#This Row],[Teva Attorney Fees]])*0.7</f>
        <v>7277200.1344733415</v>
      </c>
      <c r="E12" s="8">
        <f>(Table14[[#This Row],[Allergan]]-Table14[[#This Row],[Allergan Attorney Fees ]])*0.7</f>
        <v>0</v>
      </c>
      <c r="F12" s="8">
        <f>(Table14[[#This Row],[Walgreens]]-Table14[[#This Row],[Walgreens Attorney Fees]])*0.7</f>
        <v>7381339.2626496423</v>
      </c>
      <c r="G12" s="8">
        <f>(Table14[[#This Row],[CVS]]-Table14[[#This Row],[CVS Attorney Fees]])*0.7</f>
        <v>0</v>
      </c>
      <c r="H12" s="8">
        <f>(Table14[[#This Row],[Walmart]]-Table14[[#This Row],[Walmart Attorney Fees]])*0.7</f>
        <v>0</v>
      </c>
      <c r="I12" s="9">
        <v>0</v>
      </c>
      <c r="J12" s="9">
        <f>(SUM(D12,E12,H12))-Table145[[#This Row],[Walmart Escrow Amount]]</f>
        <v>7277200.1344733415</v>
      </c>
      <c r="K12" s="8">
        <f>SUM(Table145[[#This Row],[Walgreens County Amount]:[CVS County Amount]])</f>
        <v>7381339.2626496423</v>
      </c>
    </row>
    <row r="13" spans="1:11" ht="15.6" x14ac:dyDescent="0.3">
      <c r="A13" s="1">
        <v>12</v>
      </c>
      <c r="B13" s="2">
        <v>49658</v>
      </c>
      <c r="C13" s="8">
        <f>Table14[[#This Row],[Total Less Fees]]*0.7</f>
        <v>14658539.397122985</v>
      </c>
      <c r="D13" s="8">
        <f>(Table14[[#This Row],[Teva]]-Table14[[#This Row],[Teva Attorney Fees]])*0.7</f>
        <v>7277200.1344733415</v>
      </c>
      <c r="E13" s="8">
        <f>(Table14[[#This Row],[Allergan]]-Table14[[#This Row],[Allergan Attorney Fees ]])*0.7</f>
        <v>0</v>
      </c>
      <c r="F13" s="8">
        <f>(Table14[[#This Row],[Walgreens]]-Table14[[#This Row],[Walgreens Attorney Fees]])*0.7</f>
        <v>7381339.2626496423</v>
      </c>
      <c r="G13" s="8">
        <f>(Table14[[#This Row],[CVS]]-Table14[[#This Row],[CVS Attorney Fees]])*0.7</f>
        <v>0</v>
      </c>
      <c r="H13" s="8">
        <f>(Table14[[#This Row],[Walmart]]-Table14[[#This Row],[Walmart Attorney Fees]])*0.7</f>
        <v>0</v>
      </c>
      <c r="I13" s="9">
        <v>0</v>
      </c>
      <c r="J13" s="9">
        <f>(SUM(D13,E13,H13))-Table145[[#This Row],[Walmart Escrow Amount]]</f>
        <v>7277200.1344733415</v>
      </c>
      <c r="K13" s="8">
        <f>SUM(Table145[[#This Row],[Walgreens County Amount]:[CVS County Amount]])</f>
        <v>7381339.2626496423</v>
      </c>
    </row>
    <row r="14" spans="1:11" ht="15.6" x14ac:dyDescent="0.3">
      <c r="A14" s="1">
        <v>13</v>
      </c>
      <c r="B14" s="2">
        <v>50024</v>
      </c>
      <c r="C14" s="8">
        <f>Table14[[#This Row],[Total Less Fees]]*0.7</f>
        <v>14658539.397122985</v>
      </c>
      <c r="D14" s="8">
        <f>(Table14[[#This Row],[Teva]]-Table14[[#This Row],[Teva Attorney Fees]])*0.7</f>
        <v>7277200.1344733415</v>
      </c>
      <c r="E14" s="8">
        <f>(Table14[[#This Row],[Allergan]]-Table14[[#This Row],[Allergan Attorney Fees ]])*0.7</f>
        <v>0</v>
      </c>
      <c r="F14" s="8">
        <f>(Table14[[#This Row],[Walgreens]]-Table14[[#This Row],[Walgreens Attorney Fees]])*0.7</f>
        <v>7381339.2626496423</v>
      </c>
      <c r="G14" s="8">
        <f>(Table14[[#This Row],[CVS]]-Table14[[#This Row],[CVS Attorney Fees]])*0.7</f>
        <v>0</v>
      </c>
      <c r="H14" s="8">
        <f>(Table14[[#This Row],[Walmart]]-Table14[[#This Row],[Walmart Attorney Fees]])*0.7</f>
        <v>0</v>
      </c>
      <c r="I14" s="9">
        <v>0</v>
      </c>
      <c r="J14" s="9">
        <f>(SUM(D14,E14,H14))-Table145[[#This Row],[Walmart Escrow Amount]]</f>
        <v>7277200.1344733415</v>
      </c>
      <c r="K14" s="8">
        <f>SUM(Table145[[#This Row],[Walgreens County Amount]:[CVS County Amount]])</f>
        <v>7381339.2626496423</v>
      </c>
    </row>
    <row r="15" spans="1:11" ht="15.6" x14ac:dyDescent="0.3">
      <c r="A15" s="1">
        <v>14</v>
      </c>
      <c r="B15" s="2">
        <v>50389</v>
      </c>
      <c r="C15" s="8">
        <f>Table14[[#This Row],[Total Less Fees]]*0.7</f>
        <v>7381339.2626496423</v>
      </c>
      <c r="D15" s="8">
        <f>(Table14[[#This Row],[Teva]]-Table14[[#This Row],[Teva Attorney Fees]])*0.7</f>
        <v>0</v>
      </c>
      <c r="E15" s="8">
        <f>(Table14[[#This Row],[Allergan]]-Table14[[#This Row],[Allergan Attorney Fees ]])*0.7</f>
        <v>0</v>
      </c>
      <c r="F15" s="8">
        <f>(Table14[[#This Row],[Walgreens]]-Table14[[#This Row],[Walgreens Attorney Fees]])*0.7</f>
        <v>7381339.2626496423</v>
      </c>
      <c r="G15" s="8">
        <f>(Table14[[#This Row],[CVS]]-Table14[[#This Row],[CVS Attorney Fees]])*0.7</f>
        <v>0</v>
      </c>
      <c r="H15" s="8">
        <f>(Table14[[#This Row],[Walmart]]-Table14[[#This Row],[Walmart Attorney Fees]])*0.7</f>
        <v>0</v>
      </c>
      <c r="I15" s="9">
        <v>0</v>
      </c>
      <c r="J15" s="9">
        <f>(SUM(D15,E15,H15))-Table145[[#This Row],[Walmart Escrow Amount]]</f>
        <v>0</v>
      </c>
      <c r="K15" s="8">
        <f>SUM(Table145[[#This Row],[Walgreens County Amount]:[CVS County Amount]])</f>
        <v>7381339.2626496423</v>
      </c>
    </row>
    <row r="16" spans="1:11" ht="15.6" x14ac:dyDescent="0.3">
      <c r="A16" s="1">
        <v>15</v>
      </c>
      <c r="B16" s="2">
        <v>50754</v>
      </c>
      <c r="C16" s="8">
        <f>Table14[[#This Row],[Total Less Fees]]*0.7</f>
        <v>7381339.2626496423</v>
      </c>
      <c r="D16" s="8">
        <f>(Table14[[#This Row],[Teva]]-Table14[[#This Row],[Teva Attorney Fees]])*0.7</f>
        <v>0</v>
      </c>
      <c r="E16" s="8">
        <f>(Table14[[#This Row],[Allergan]]-Table14[[#This Row],[Allergan Attorney Fees ]])*0.7</f>
        <v>0</v>
      </c>
      <c r="F16" s="8">
        <f>(Table14[[#This Row],[Walgreens]]-Table14[[#This Row],[Walgreens Attorney Fees]])*0.7</f>
        <v>7381339.2626496423</v>
      </c>
      <c r="G16" s="8">
        <f>(Table14[[#This Row],[CVS]]-Table14[[#This Row],[CVS Attorney Fees]])*0.7</f>
        <v>0</v>
      </c>
      <c r="H16" s="8">
        <f>(Table14[[#This Row],[Walmart]]-Table14[[#This Row],[Walmart Attorney Fees]])*0.7</f>
        <v>0</v>
      </c>
      <c r="I16" s="9">
        <v>0</v>
      </c>
      <c r="J16" s="9">
        <f>(SUM(D16,E16,H16))-Table145[[#This Row],[Walmart Escrow Amount]]</f>
        <v>0</v>
      </c>
      <c r="K16" s="8">
        <f>SUM(Table145[[#This Row],[Walgreens County Amount]:[CVS County Amount]])</f>
        <v>7381339.2626496423</v>
      </c>
    </row>
    <row r="17" spans="1:11" ht="15.6" x14ac:dyDescent="0.3">
      <c r="A17" s="8" t="s">
        <v>6</v>
      </c>
      <c r="B17" s="8"/>
      <c r="C17" s="8">
        <f>Table14[[#This Row],[Total Less Fees]]*0.7</f>
        <v>400402842.18773758</v>
      </c>
      <c r="D17" s="8">
        <f>(Table14[[#This Row],[Teva]]-Table14[[#This Row],[Teva Attorney Fees]])*0.7</f>
        <v>94711457.805113003</v>
      </c>
      <c r="E17" s="8">
        <f>(Table14[[#This Row],[Allergan]]-Table14[[#This Row],[Allergan Attorney Fees ]])*0.7</f>
        <v>56083448.372791991</v>
      </c>
      <c r="F17" s="8">
        <f>(Table14[[#This Row],[Walgreens]]-Table14[[#This Row],[Walgreens Attorney Fees]])*0.7</f>
        <v>94709941.582684323</v>
      </c>
      <c r="G17" s="8">
        <f>(Table14[[#This Row],[CVS]]-Table14[[#This Row],[CVS Attorney Fees]])*0.7</f>
        <v>69947908.657867506</v>
      </c>
      <c r="H17" s="8">
        <f>(Table14[[#This Row],[Walmart]]-Table14[[#This Row],[Walmart Attorney Fees]])*0.7</f>
        <v>84950085.769280612</v>
      </c>
      <c r="I17" s="9">
        <f>SUM(I2:I16)</f>
        <v>4873602.1164021166</v>
      </c>
      <c r="J17" s="9">
        <f>(SUM(D17,E17,H17))-Table145[[#This Row],[Walmart Escrow Amount]]</f>
        <v>230871389.83078349</v>
      </c>
      <c r="K17" s="8">
        <f>SUM(Table145[[#This Row],[Walgreens County Amount]:[CVS County Amount]])</f>
        <v>164657850.24055183</v>
      </c>
    </row>
    <row r="19" spans="1:11" x14ac:dyDescent="0.3">
      <c r="A19" t="s">
        <v>230</v>
      </c>
    </row>
    <row r="24" spans="1:11" x14ac:dyDescent="0.3">
      <c r="J24" s="7"/>
    </row>
    <row r="25" spans="1:11" x14ac:dyDescent="0.3">
      <c r="J25" s="7"/>
    </row>
  </sheetData>
  <pageMargins left="0.7" right="0.7" top="0.75" bottom="0.75" header="0.3" footer="0.3"/>
  <pageSetup orientation="portrait" horizontalDpi="200" verticalDpi="2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P70"/>
  <sheetViews>
    <sheetView topLeftCell="C1" workbookViewId="0">
      <selection activeCell="J13" sqref="J13"/>
    </sheetView>
  </sheetViews>
  <sheetFormatPr defaultRowHeight="14.4" x14ac:dyDescent="0.3"/>
  <cols>
    <col min="1" max="2" width="25.6640625" customWidth="1"/>
    <col min="3" max="15" width="15.6640625" customWidth="1"/>
    <col min="16" max="16" width="15.44140625" customWidth="1"/>
  </cols>
  <sheetData>
    <row r="1" spans="1:16" x14ac:dyDescent="0.3">
      <c r="A1" t="s">
        <v>4</v>
      </c>
      <c r="B1" t="s">
        <v>24</v>
      </c>
      <c r="C1" t="s">
        <v>93</v>
      </c>
      <c r="D1" t="s">
        <v>94</v>
      </c>
      <c r="E1" t="s">
        <v>95</v>
      </c>
      <c r="F1" t="s">
        <v>96</v>
      </c>
      <c r="G1" t="s">
        <v>97</v>
      </c>
      <c r="H1" t="s">
        <v>98</v>
      </c>
      <c r="I1" t="s">
        <v>99</v>
      </c>
      <c r="J1" t="s">
        <v>100</v>
      </c>
      <c r="K1" t="s">
        <v>101</v>
      </c>
      <c r="L1" t="s">
        <v>102</v>
      </c>
      <c r="M1" t="s">
        <v>103</v>
      </c>
      <c r="N1" t="s">
        <v>104</v>
      </c>
      <c r="O1" t="s">
        <v>105</v>
      </c>
      <c r="P1" t="s">
        <v>6</v>
      </c>
    </row>
    <row r="2" spans="1:16" x14ac:dyDescent="0.3">
      <c r="A2" t="s">
        <v>26</v>
      </c>
      <c r="B2">
        <v>3.4185894747622387E-3</v>
      </c>
      <c r="C2" s="17">
        <f>Table1[[#This Row],[Adjusted % (W/Floors)]]*$C$70</f>
        <v>298708.86920896574</v>
      </c>
      <c r="D2" s="17">
        <f>Table1[[#This Row],[Adjusted % (W/Floors)]]*$D$70</f>
        <v>62393.276961478106</v>
      </c>
      <c r="E2" s="17">
        <f>Table1[[#This Row],[Adjusted % (W/Floors)]]*$E$70</f>
        <v>66725.061668419483</v>
      </c>
      <c r="F2" s="17">
        <f>Table1[[#This Row],[Adjusted % (W/Floors)]]*$F$70</f>
        <v>51877.521973306008</v>
      </c>
      <c r="G2" s="17">
        <f>Table1[[#This Row],[Adjusted % (W/Floors)]]*$G$70</f>
        <v>51877.521973306008</v>
      </c>
      <c r="H2" s="17">
        <f>Table1[[#This Row],[Adjusted % (W/Floors)]]*$H$70</f>
        <v>55307.120897690722</v>
      </c>
      <c r="I2" s="17">
        <f>Table1[[#This Row],[Adjusted % (W/Floors)]]*$I$70</f>
        <v>53098.571903386721</v>
      </c>
      <c r="J2" s="17">
        <f>Table1[[#This Row],[Adjusted % (W/Floors)]]*$J$70</f>
        <v>24877.759785448907</v>
      </c>
      <c r="K2" s="17">
        <f>Table1[[#This Row],[Adjusted % (W/Floors)]]*$K$70</f>
        <v>24877.759785448907</v>
      </c>
      <c r="L2" s="17">
        <f>Table1[[#This Row],[Adjusted % (W/Floors)]]*$L$70</f>
        <v>24877.759785448907</v>
      </c>
      <c r="M2" s="17">
        <f>Table1[[#This Row],[Adjusted % (W/Floors)]]*$M$70</f>
        <v>24877.759785448914</v>
      </c>
      <c r="N2" s="17">
        <f>Table1[[#This Row],[Adjusted % (W/Floors)]]*$N$70</f>
        <v>24877.759785448914</v>
      </c>
      <c r="O2" s="17">
        <f>Table1[[#This Row],[Adjusted % (W/Floors)]]*$O$70</f>
        <v>24877.759785448914</v>
      </c>
      <c r="P2" s="17">
        <f>SUM(Table1[[#This Row],[Payment 1]:[Payment 13]])</f>
        <v>789254.50329924631</v>
      </c>
    </row>
    <row r="3" spans="1:16" x14ac:dyDescent="0.3">
      <c r="A3" t="s">
        <v>27</v>
      </c>
      <c r="B3">
        <v>0.11452275526177516</v>
      </c>
      <c r="C3" s="17">
        <f>Table1[[#This Row],[Adjusted % (W/Floors)]]*$C$70</f>
        <v>10006747.805048808</v>
      </c>
      <c r="D3" s="17">
        <f>Table1[[#This Row],[Adjusted % (W/Floors)]]*$D$70</f>
        <v>2090174.9216133868</v>
      </c>
      <c r="E3" s="17">
        <f>Table1[[#This Row],[Adjusted % (W/Floors)]]*$E$70</f>
        <v>2235289.7192520387</v>
      </c>
      <c r="F3" s="17">
        <f>Table1[[#This Row],[Adjusted % (W/Floors)]]*$F$70</f>
        <v>1737897.1053403514</v>
      </c>
      <c r="G3" s="17">
        <f>Table1[[#This Row],[Adjusted % (W/Floors)]]*$G$70</f>
        <v>1737897.1053403514</v>
      </c>
      <c r="H3" s="17">
        <f>Table1[[#This Row],[Adjusted % (W/Floors)]]*$H$70</f>
        <v>1852788.6771897834</v>
      </c>
      <c r="I3" s="17">
        <f>Table1[[#This Row],[Adjusted % (W/Floors)]]*$I$70</f>
        <v>1778802.2808045002</v>
      </c>
      <c r="J3" s="17">
        <f>Table1[[#This Row],[Adjusted % (W/Floors)]]*$J$70</f>
        <v>833405.00999124756</v>
      </c>
      <c r="K3" s="17">
        <f>Table1[[#This Row],[Adjusted % (W/Floors)]]*$K$70</f>
        <v>833405.00999124756</v>
      </c>
      <c r="L3" s="17">
        <f>Table1[[#This Row],[Adjusted % (W/Floors)]]*$L$70</f>
        <v>833405.00999124756</v>
      </c>
      <c r="M3" s="17">
        <f>Table1[[#This Row],[Adjusted % (W/Floors)]]*$M$70</f>
        <v>833405.00999124779</v>
      </c>
      <c r="N3" s="17">
        <f>Table1[[#This Row],[Adjusted % (W/Floors)]]*$N$70</f>
        <v>833405.00999124779</v>
      </c>
      <c r="O3" s="17">
        <f>Table1[[#This Row],[Adjusted % (W/Floors)]]*$O$70</f>
        <v>833405.00999124779</v>
      </c>
      <c r="P3" s="17">
        <f>SUM(Table1[[#This Row],[Payment 1]:[Payment 13]])</f>
        <v>26440027.674536701</v>
      </c>
    </row>
    <row r="4" spans="1:16" x14ac:dyDescent="0.3">
      <c r="A4" t="s">
        <v>28</v>
      </c>
      <c r="B4">
        <v>6.0222831445004236E-3</v>
      </c>
      <c r="C4" s="17">
        <f>Table1[[#This Row],[Adjusted % (W/Floors)]]*$C$70</f>
        <v>526213.92578149482</v>
      </c>
      <c r="D4" s="17">
        <f>Table1[[#This Row],[Adjusted % (W/Floors)]]*$D$70</f>
        <v>109913.74745322102</v>
      </c>
      <c r="E4" s="17">
        <f>Table1[[#This Row],[Adjusted % (W/Floors)]]*$E$70</f>
        <v>117544.74094302344</v>
      </c>
      <c r="F4" s="17">
        <f>Table1[[#This Row],[Adjusted % (W/Floors)]]*$F$70</f>
        <v>91388.898393545736</v>
      </c>
      <c r="G4" s="17">
        <f>Table1[[#This Row],[Adjusted % (W/Floors)]]*$G$70</f>
        <v>91388.898393545736</v>
      </c>
      <c r="H4" s="17">
        <f>Table1[[#This Row],[Adjusted % (W/Floors)]]*$H$70</f>
        <v>97430.576093426716</v>
      </c>
      <c r="I4" s="17">
        <f>Table1[[#This Row],[Adjusted % (W/Floors)]]*$I$70</f>
        <v>93539.934213086468</v>
      </c>
      <c r="J4" s="17">
        <f>Table1[[#This Row],[Adjusted % (W/Floors)]]*$J$70</f>
        <v>43825.359708995013</v>
      </c>
      <c r="K4" s="17">
        <f>Table1[[#This Row],[Adjusted % (W/Floors)]]*$K$70</f>
        <v>43825.359708995013</v>
      </c>
      <c r="L4" s="17">
        <f>Table1[[#This Row],[Adjusted % (W/Floors)]]*$L$70</f>
        <v>43825.359708995013</v>
      </c>
      <c r="M4" s="17">
        <f>Table1[[#This Row],[Adjusted % (W/Floors)]]*$M$70</f>
        <v>43825.35970899502</v>
      </c>
      <c r="N4" s="17">
        <f>Table1[[#This Row],[Adjusted % (W/Floors)]]*$N$70</f>
        <v>43825.35970899502</v>
      </c>
      <c r="O4" s="17">
        <f>Table1[[#This Row],[Adjusted % (W/Floors)]]*$O$70</f>
        <v>43825.35970899502</v>
      </c>
      <c r="P4" s="17">
        <f>SUM(Table1[[#This Row],[Payment 1]:[Payment 13]])</f>
        <v>1390372.8795253146</v>
      </c>
    </row>
    <row r="5" spans="1:16" x14ac:dyDescent="0.3">
      <c r="A5" t="s">
        <v>29</v>
      </c>
      <c r="B5">
        <v>1.2660706775723332E-2</v>
      </c>
      <c r="C5" s="17">
        <f>Table1[[#This Row],[Adjusted % (W/Floors)]]*$C$70</f>
        <v>1106264.8593176382</v>
      </c>
      <c r="D5" s="17">
        <f>Table1[[#This Row],[Adjusted % (W/Floors)]]*$D$70</f>
        <v>231072.78315150974</v>
      </c>
      <c r="E5" s="17">
        <f>Table1[[#This Row],[Adjusted % (W/Floors)]]*$E$70</f>
        <v>247115.4979597748</v>
      </c>
      <c r="F5" s="17">
        <f>Table1[[#This Row],[Adjusted % (W/Floors)]]*$F$70</f>
        <v>192127.8055771385</v>
      </c>
      <c r="G5" s="17">
        <f>Table1[[#This Row],[Adjusted % (W/Floors)]]*$G$70</f>
        <v>192127.8055771385</v>
      </c>
      <c r="H5" s="17">
        <f>Table1[[#This Row],[Adjusted % (W/Floors)]]*$H$70</f>
        <v>204829.28572283246</v>
      </c>
      <c r="I5" s="17">
        <f>Table1[[#This Row],[Adjusted % (W/Floors)]]*$I$70</f>
        <v>196649.94994030296</v>
      </c>
      <c r="J5" s="17">
        <f>Table1[[#This Row],[Adjusted % (W/Floors)]]*$J$70</f>
        <v>92134.497050821359</v>
      </c>
      <c r="K5" s="17">
        <f>Table1[[#This Row],[Adjusted % (W/Floors)]]*$K$70</f>
        <v>92134.497050821359</v>
      </c>
      <c r="L5" s="17">
        <f>Table1[[#This Row],[Adjusted % (W/Floors)]]*$L$70</f>
        <v>92134.497050821359</v>
      </c>
      <c r="M5" s="17">
        <f>Table1[[#This Row],[Adjusted % (W/Floors)]]*$M$70</f>
        <v>92134.497050821374</v>
      </c>
      <c r="N5" s="17">
        <f>Table1[[#This Row],[Adjusted % (W/Floors)]]*$N$70</f>
        <v>92134.497050821374</v>
      </c>
      <c r="O5" s="17">
        <f>Table1[[#This Row],[Adjusted % (W/Floors)]]*$O$70</f>
        <v>92134.497050821374</v>
      </c>
      <c r="P5" s="17">
        <f>SUM(Table1[[#This Row],[Payment 1]:[Payment 13]])</f>
        <v>2922994.9695512629</v>
      </c>
    </row>
    <row r="6" spans="1:16" x14ac:dyDescent="0.3">
      <c r="A6" t="s">
        <v>30</v>
      </c>
      <c r="B6">
        <v>1.9080507699772487E-3</v>
      </c>
      <c r="C6" s="17">
        <f>Table1[[#This Row],[Adjusted % (W/Floors)]]*$C$70</f>
        <v>166721.30189976678</v>
      </c>
      <c r="D6" s="17">
        <f>Table1[[#This Row],[Adjusted % (W/Floors)]]*$D$70</f>
        <v>34824.169742122045</v>
      </c>
      <c r="E6" s="17">
        <f>Table1[[#This Row],[Adjusted % (W/Floors)]]*$E$70</f>
        <v>37241.911096114243</v>
      </c>
      <c r="F6" s="17">
        <f>Table1[[#This Row],[Adjusted % (W/Floors)]]*$F$70</f>
        <v>28954.908589181367</v>
      </c>
      <c r="G6" s="17">
        <f>Table1[[#This Row],[Adjusted % (W/Floors)]]*$G$70</f>
        <v>28954.908589181367</v>
      </c>
      <c r="H6" s="17">
        <f>Table1[[#This Row],[Adjusted % (W/Floors)]]*$H$70</f>
        <v>30869.104170925068</v>
      </c>
      <c r="I6" s="17">
        <f>Table1[[#This Row],[Adjusted % (W/Floors)]]*$I$70</f>
        <v>29636.425125890768</v>
      </c>
      <c r="J6" s="17">
        <f>Table1[[#This Row],[Adjusted % (W/Floors)]]*$J$70</f>
        <v>13885.267319860393</v>
      </c>
      <c r="K6" s="17">
        <f>Table1[[#This Row],[Adjusted % (W/Floors)]]*$K$70</f>
        <v>13885.267319860393</v>
      </c>
      <c r="L6" s="17">
        <f>Table1[[#This Row],[Adjusted % (W/Floors)]]*$L$70</f>
        <v>13885.267319860393</v>
      </c>
      <c r="M6" s="17">
        <f>Table1[[#This Row],[Adjusted % (W/Floors)]]*$M$70</f>
        <v>13885.267319860397</v>
      </c>
      <c r="N6" s="17">
        <f>Table1[[#This Row],[Adjusted % (W/Floors)]]*$N$70</f>
        <v>13885.267319860397</v>
      </c>
      <c r="O6" s="17">
        <f>Table1[[#This Row],[Adjusted % (W/Floors)]]*$O$70</f>
        <v>13885.267319860397</v>
      </c>
      <c r="P6" s="17">
        <f>SUM(Table1[[#This Row],[Payment 1]:[Payment 13]])</f>
        <v>440514.33313234407</v>
      </c>
    </row>
    <row r="7" spans="1:16" x14ac:dyDescent="0.3">
      <c r="A7" t="s">
        <v>31</v>
      </c>
      <c r="B7">
        <v>1.8792305559577987E-2</v>
      </c>
      <c r="C7" s="17">
        <f>Table1[[#This Row],[Adjusted % (W/Floors)]]*$C$70</f>
        <v>1642030.5465081653</v>
      </c>
      <c r="D7" s="17">
        <f>Table1[[#This Row],[Adjusted % (W/Floors)]]*$D$70</f>
        <v>342981.66953931254</v>
      </c>
      <c r="E7" s="17">
        <f>Table1[[#This Row],[Adjusted % (W/Floors)]]*$E$70</f>
        <v>366793.8945613915</v>
      </c>
      <c r="F7" s="17">
        <f>Table1[[#This Row],[Adjusted % (W/Floors)]]*$F$70</f>
        <v>285175.58244219754</v>
      </c>
      <c r="G7" s="17">
        <f>Table1[[#This Row],[Adjusted % (W/Floors)]]*$G$70</f>
        <v>285175.58244219754</v>
      </c>
      <c r="H7" s="17">
        <f>Table1[[#This Row],[Adjusted % (W/Floors)]]*$H$70</f>
        <v>304028.40797437704</v>
      </c>
      <c r="I7" s="17">
        <f>Table1[[#This Row],[Adjusted % (W/Floors)]]*$I$70</f>
        <v>291887.80792553787</v>
      </c>
      <c r="J7" s="17">
        <f>Table1[[#This Row],[Adjusted % (W/Floors)]]*$J$70</f>
        <v>136755.36854522501</v>
      </c>
      <c r="K7" s="17">
        <f>Table1[[#This Row],[Adjusted % (W/Floors)]]*$K$70</f>
        <v>136755.36854522501</v>
      </c>
      <c r="L7" s="17">
        <f>Table1[[#This Row],[Adjusted % (W/Floors)]]*$L$70</f>
        <v>136755.36854522501</v>
      </c>
      <c r="M7" s="17">
        <f>Table1[[#This Row],[Adjusted % (W/Floors)]]*$M$70</f>
        <v>136755.36854522504</v>
      </c>
      <c r="N7" s="17">
        <f>Table1[[#This Row],[Adjusted % (W/Floors)]]*$N$70</f>
        <v>136755.36854522504</v>
      </c>
      <c r="O7" s="17">
        <f>Table1[[#This Row],[Adjusted % (W/Floors)]]*$O$70</f>
        <v>136755.36854522504</v>
      </c>
      <c r="P7" s="17">
        <f>SUM(Table1[[#This Row],[Payment 1]:[Payment 13]])</f>
        <v>4338605.702664529</v>
      </c>
    </row>
    <row r="8" spans="1:16" x14ac:dyDescent="0.3">
      <c r="A8" t="s">
        <v>32</v>
      </c>
      <c r="B8">
        <v>8.0197735934250114E-3</v>
      </c>
      <c r="C8" s="17">
        <f>Table1[[#This Row],[Adjusted % (W/Floors)]]*$C$70</f>
        <v>700750.27115401742</v>
      </c>
      <c r="D8" s="17">
        <f>Table1[[#This Row],[Adjusted % (W/Floors)]]*$D$70</f>
        <v>146370.29648542881</v>
      </c>
      <c r="E8" s="17">
        <f>Table1[[#This Row],[Adjusted % (W/Floors)]]*$E$70</f>
        <v>156532.36270063205</v>
      </c>
      <c r="F8" s="17">
        <f>Table1[[#This Row],[Adjusted % (W/Floors)]]*$F$70</f>
        <v>121701.06527423306</v>
      </c>
      <c r="G8" s="17">
        <f>Table1[[#This Row],[Adjusted % (W/Floors)]]*$G$70</f>
        <v>121701.06527423306</v>
      </c>
      <c r="H8" s="17">
        <f>Table1[[#This Row],[Adjusted % (W/Floors)]]*$H$70</f>
        <v>129746.66627220965</v>
      </c>
      <c r="I8" s="17">
        <f>Table1[[#This Row],[Adjusted % (W/Floors)]]*$I$70</f>
        <v>124565.56364638575</v>
      </c>
      <c r="J8" s="17">
        <f>Table1[[#This Row],[Adjusted % (W/Floors)]]*$J$70</f>
        <v>58361.497472518233</v>
      </c>
      <c r="K8" s="17">
        <f>Table1[[#This Row],[Adjusted % (W/Floors)]]*$K$70</f>
        <v>58361.497472518233</v>
      </c>
      <c r="L8" s="17">
        <f>Table1[[#This Row],[Adjusted % (W/Floors)]]*$L$70</f>
        <v>58361.497472518233</v>
      </c>
      <c r="M8" s="17">
        <f>Table1[[#This Row],[Adjusted % (W/Floors)]]*$M$70</f>
        <v>58361.497472518247</v>
      </c>
      <c r="N8" s="17">
        <f>Table1[[#This Row],[Adjusted % (W/Floors)]]*$N$70</f>
        <v>58361.497472518247</v>
      </c>
      <c r="O8" s="17">
        <f>Table1[[#This Row],[Adjusted % (W/Floors)]]*$O$70</f>
        <v>58361.497472518247</v>
      </c>
      <c r="P8" s="17">
        <f>SUM(Table1[[#This Row],[Payment 1]:[Payment 13]])</f>
        <v>1851536.2756422493</v>
      </c>
    </row>
    <row r="9" spans="1:16" x14ac:dyDescent="0.3">
      <c r="A9" t="s">
        <v>33</v>
      </c>
      <c r="B9">
        <v>2.2359962594508242E-3</v>
      </c>
      <c r="C9" s="17">
        <f>Table1[[#This Row],[Adjusted % (W/Floors)]]*$C$70</f>
        <v>195376.46129987159</v>
      </c>
      <c r="D9" s="17">
        <f>Table1[[#This Row],[Adjusted % (W/Floors)]]*$D$70</f>
        <v>40809.560472436446</v>
      </c>
      <c r="E9" s="17">
        <f>Table1[[#This Row],[Adjusted % (W/Floors)]]*$E$70</f>
        <v>43642.8501882602</v>
      </c>
      <c r="F9" s="17">
        <f>Table1[[#This Row],[Adjusted % (W/Floors)]]*$F$70</f>
        <v>33931.522324703168</v>
      </c>
      <c r="G9" s="17">
        <f>Table1[[#This Row],[Adjusted % (W/Floors)]]*$G$70</f>
        <v>33931.522324703168</v>
      </c>
      <c r="H9" s="17">
        <f>Table1[[#This Row],[Adjusted % (W/Floors)]]*$H$70</f>
        <v>36174.719533070551</v>
      </c>
      <c r="I9" s="17">
        <f>Table1[[#This Row],[Adjusted % (W/Floors)]]*$I$70</f>
        <v>34730.174253055302</v>
      </c>
      <c r="J9" s="17">
        <f>Table1[[#This Row],[Adjusted % (W/Floors)]]*$J$70</f>
        <v>16271.792279957423</v>
      </c>
      <c r="K9" s="17">
        <f>Table1[[#This Row],[Adjusted % (W/Floors)]]*$K$70</f>
        <v>16271.792279957423</v>
      </c>
      <c r="L9" s="17">
        <f>Table1[[#This Row],[Adjusted % (W/Floors)]]*$L$70</f>
        <v>16271.792279957423</v>
      </c>
      <c r="M9" s="17">
        <f>Table1[[#This Row],[Adjusted % (W/Floors)]]*$M$70</f>
        <v>16271.792279957426</v>
      </c>
      <c r="N9" s="17">
        <f>Table1[[#This Row],[Adjusted % (W/Floors)]]*$N$70</f>
        <v>16271.792279957426</v>
      </c>
      <c r="O9" s="17">
        <f>Table1[[#This Row],[Adjusted % (W/Floors)]]*$O$70</f>
        <v>16271.792279957426</v>
      </c>
      <c r="P9" s="17">
        <f>SUM(Table1[[#This Row],[Payment 1]:[Payment 13]])</f>
        <v>516227.56407584512</v>
      </c>
    </row>
    <row r="10" spans="1:16" x14ac:dyDescent="0.3">
      <c r="A10" t="s">
        <v>34</v>
      </c>
      <c r="B10">
        <v>5.7668825533399602E-2</v>
      </c>
      <c r="C10" s="17">
        <f>Table1[[#This Row],[Adjusted % (W/Floors)]]*$C$70</f>
        <v>5038975.8088426217</v>
      </c>
      <c r="D10" s="17">
        <f>Table1[[#This Row],[Adjusted % (W/Floors)]]*$D$70</f>
        <v>1052523.864041561</v>
      </c>
      <c r="E10" s="17">
        <f>Table1[[#This Row],[Adjusted % (W/Floors)]]*$E$70</f>
        <v>1125597.5508229269</v>
      </c>
      <c r="F10" s="17">
        <f>Table1[[#This Row],[Adjusted % (W/Floors)]]*$F$70</f>
        <v>875131.62544670876</v>
      </c>
      <c r="G10" s="17">
        <f>Table1[[#This Row],[Adjusted % (W/Floors)]]*$G$70</f>
        <v>875131.62544670876</v>
      </c>
      <c r="H10" s="17">
        <f>Table1[[#This Row],[Adjusted % (W/Floors)]]*$H$70</f>
        <v>932986.17144586903</v>
      </c>
      <c r="I10" s="17">
        <f>Table1[[#This Row],[Adjusted % (W/Floors)]]*$I$70</f>
        <v>895729.74519909348</v>
      </c>
      <c r="J10" s="17">
        <f>Table1[[#This Row],[Adjusted % (W/Floors)]]*$J$70</f>
        <v>419667.58492657513</v>
      </c>
      <c r="K10" s="17">
        <f>Table1[[#This Row],[Adjusted % (W/Floors)]]*$K$70</f>
        <v>419667.58492657513</v>
      </c>
      <c r="L10" s="17">
        <f>Table1[[#This Row],[Adjusted % (W/Floors)]]*$L$70</f>
        <v>419667.58492657513</v>
      </c>
      <c r="M10" s="17">
        <f>Table1[[#This Row],[Adjusted % (W/Floors)]]*$M$70</f>
        <v>419667.58492657525</v>
      </c>
      <c r="N10" s="17">
        <f>Table1[[#This Row],[Adjusted % (W/Floors)]]*$N$70</f>
        <v>419667.58492657525</v>
      </c>
      <c r="O10" s="17">
        <f>Table1[[#This Row],[Adjusted % (W/Floors)]]*$O$70</f>
        <v>419667.58492657525</v>
      </c>
      <c r="P10" s="17">
        <f>SUM(Table1[[#This Row],[Payment 1]:[Payment 13]])</f>
        <v>13314081.900804942</v>
      </c>
    </row>
    <row r="11" spans="1:16" x14ac:dyDescent="0.3">
      <c r="A11" t="s">
        <v>35</v>
      </c>
      <c r="B11">
        <v>1.3604794180508509E-2</v>
      </c>
      <c r="C11" s="17">
        <f>Table1[[#This Row],[Adjusted % (W/Floors)]]*$C$70</f>
        <v>1188757.1512993835</v>
      </c>
      <c r="D11" s="17">
        <f>Table1[[#This Row],[Adjusted % (W/Floors)]]*$D$70</f>
        <v>248303.48820032272</v>
      </c>
      <c r="E11" s="17">
        <f>Table1[[#This Row],[Adjusted % (W/Floors)]]*$E$70</f>
        <v>265542.48100928246</v>
      </c>
      <c r="F11" s="17">
        <f>Table1[[#This Row],[Adjusted % (W/Floors)]]*$F$70</f>
        <v>206454.44978172547</v>
      </c>
      <c r="G11" s="17">
        <f>Table1[[#This Row],[Adjusted % (W/Floors)]]*$G$70</f>
        <v>206454.44978172547</v>
      </c>
      <c r="H11" s="17">
        <f>Table1[[#This Row],[Adjusted % (W/Floors)]]*$H$70</f>
        <v>220103.05773316501</v>
      </c>
      <c r="I11" s="17">
        <f>Table1[[#This Row],[Adjusted % (W/Floors)]]*$I$70</f>
        <v>211313.80277087833</v>
      </c>
      <c r="J11" s="17">
        <f>Table1[[#This Row],[Adjusted % (W/Floors)]]*$J$70</f>
        <v>99004.810039878634</v>
      </c>
      <c r="K11" s="17">
        <f>Table1[[#This Row],[Adjusted % (W/Floors)]]*$K$70</f>
        <v>99004.810039878634</v>
      </c>
      <c r="L11" s="17">
        <f>Table1[[#This Row],[Adjusted % (W/Floors)]]*$L$70</f>
        <v>99004.810039878634</v>
      </c>
      <c r="M11" s="17">
        <f>Table1[[#This Row],[Adjusted % (W/Floors)]]*$M$70</f>
        <v>99004.810039878663</v>
      </c>
      <c r="N11" s="17">
        <f>Table1[[#This Row],[Adjusted % (W/Floors)]]*$N$70</f>
        <v>99004.810039878663</v>
      </c>
      <c r="O11" s="17">
        <f>Table1[[#This Row],[Adjusted % (W/Floors)]]*$O$70</f>
        <v>99004.810039878663</v>
      </c>
      <c r="P11" s="17">
        <f>SUM(Table1[[#This Row],[Payment 1]:[Payment 13]])</f>
        <v>3140957.7408157559</v>
      </c>
    </row>
    <row r="12" spans="1:16" x14ac:dyDescent="0.3">
      <c r="A12" t="s">
        <v>36</v>
      </c>
      <c r="B12">
        <v>1.5771226721418889E-2</v>
      </c>
      <c r="C12" s="17">
        <f>Table1[[#This Row],[Adjusted % (W/Floors)]]*$C$70</f>
        <v>1378055.2870627758</v>
      </c>
      <c r="D12" s="17">
        <f>Table1[[#This Row],[Adjusted % (W/Floors)]]*$D$70</f>
        <v>287843.42902716948</v>
      </c>
      <c r="E12" s="17">
        <f>Table1[[#This Row],[Adjusted % (W/Floors)]]*$E$70</f>
        <v>307827.56553314725</v>
      </c>
      <c r="F12" s="17">
        <f>Table1[[#This Row],[Adjusted % (W/Floors)]]*$F$70</f>
        <v>239330.33399493012</v>
      </c>
      <c r="G12" s="17">
        <f>Table1[[#This Row],[Adjusted % (W/Floors)]]*$G$70</f>
        <v>239330.33399493012</v>
      </c>
      <c r="H12" s="17">
        <f>Table1[[#This Row],[Adjusted % (W/Floors)]]*$H$70</f>
        <v>255152.35140863771</v>
      </c>
      <c r="I12" s="17">
        <f>Table1[[#This Row],[Adjusted % (W/Floors)]]*$I$70</f>
        <v>244963.49218126512</v>
      </c>
      <c r="J12" s="17">
        <f>Table1[[#This Row],[Adjusted % (W/Floors)]]*$J$70</f>
        <v>114770.37321791907</v>
      </c>
      <c r="K12" s="17">
        <f>Table1[[#This Row],[Adjusted % (W/Floors)]]*$K$70</f>
        <v>114770.37321791907</v>
      </c>
      <c r="L12" s="17">
        <f>Table1[[#This Row],[Adjusted % (W/Floors)]]*$L$70</f>
        <v>114770.37321791907</v>
      </c>
      <c r="M12" s="17">
        <f>Table1[[#This Row],[Adjusted % (W/Floors)]]*$M$70</f>
        <v>114770.3732179191</v>
      </c>
      <c r="N12" s="17">
        <f>Table1[[#This Row],[Adjusted % (W/Floors)]]*$N$70</f>
        <v>114770.3732179191</v>
      </c>
      <c r="O12" s="17">
        <f>Table1[[#This Row],[Adjusted % (W/Floors)]]*$O$70</f>
        <v>114770.3732179191</v>
      </c>
      <c r="P12" s="17">
        <f>SUM(Table1[[#This Row],[Payment 1]:[Payment 13]])</f>
        <v>3641125.0325103691</v>
      </c>
    </row>
    <row r="13" spans="1:16" x14ac:dyDescent="0.3">
      <c r="A13" t="s">
        <v>37</v>
      </c>
      <c r="B13">
        <v>1.4285891185863999E-3</v>
      </c>
      <c r="C13" s="17">
        <f>Table1[[#This Row],[Adjusted % (W/Floors)]]*$C$70</f>
        <v>124826.99175421044</v>
      </c>
      <c r="D13" s="17">
        <f>Table1[[#This Row],[Adjusted % (W/Floors)]]*$D$70</f>
        <v>26073.430927623853</v>
      </c>
      <c r="E13" s="17">
        <f>Table1[[#This Row],[Adjusted % (W/Floors)]]*$E$70</f>
        <v>27883.633802839169</v>
      </c>
      <c r="F13" s="17">
        <f>Table1[[#This Row],[Adjusted % (W/Floors)]]*$F$70</f>
        <v>21679.018184962453</v>
      </c>
      <c r="G13" s="17">
        <f>Table1[[#This Row],[Adjusted % (W/Floors)]]*$G$70</f>
        <v>21679.018184962453</v>
      </c>
      <c r="H13" s="17">
        <f>Table1[[#This Row],[Adjusted % (W/Floors)]]*$H$70</f>
        <v>23112.20802558594</v>
      </c>
      <c r="I13" s="17">
        <f>Table1[[#This Row],[Adjusted % (W/Floors)]]*$I$70</f>
        <v>22189.280869687216</v>
      </c>
      <c r="J13" s="17">
        <f>Table1[[#This Row],[Adjusted % (W/Floors)]]*$J$70</f>
        <v>10396.128925884099</v>
      </c>
      <c r="K13" s="17">
        <f>Table1[[#This Row],[Adjusted % (W/Floors)]]*$K$70</f>
        <v>10396.128925884099</v>
      </c>
      <c r="L13" s="17">
        <f>Table1[[#This Row],[Adjusted % (W/Floors)]]*$L$70</f>
        <v>10396.128925884099</v>
      </c>
      <c r="M13" s="17">
        <f>Table1[[#This Row],[Adjusted % (W/Floors)]]*$M$70</f>
        <v>10396.128925884103</v>
      </c>
      <c r="N13" s="17">
        <f>Table1[[#This Row],[Adjusted % (W/Floors)]]*$N$70</f>
        <v>10396.128925884103</v>
      </c>
      <c r="O13" s="17">
        <f>Table1[[#This Row],[Adjusted % (W/Floors)]]*$O$70</f>
        <v>10396.128925884103</v>
      </c>
      <c r="P13" s="17">
        <f>SUM(Table1[[#This Row],[Payment 1]:[Payment 13]])</f>
        <v>329820.35530517605</v>
      </c>
    </row>
    <row r="14" spans="1:16" x14ac:dyDescent="0.3">
      <c r="A14" t="s">
        <v>38</v>
      </c>
      <c r="B14">
        <v>6.399917820696671E-3</v>
      </c>
      <c r="C14" s="17">
        <f>Table1[[#This Row],[Adjusted % (W/Floors)]]*$C$70</f>
        <v>559210.81760879455</v>
      </c>
      <c r="D14" s="17">
        <f>Table1[[#This Row],[Adjusted % (W/Floors)]]*$D$70</f>
        <v>116806.02425806003</v>
      </c>
      <c r="E14" s="17">
        <f>Table1[[#This Row],[Adjusted % (W/Floors)]]*$E$70</f>
        <v>124915.52858609975</v>
      </c>
      <c r="F14" s="17">
        <f>Table1[[#This Row],[Adjusted % (W/Floors)]]*$F$70</f>
        <v>97119.551739576898</v>
      </c>
      <c r="G14" s="17">
        <f>Table1[[#This Row],[Adjusted % (W/Floors)]]*$G$70</f>
        <v>97119.551739576898</v>
      </c>
      <c r="H14" s="17">
        <f>Table1[[#This Row],[Adjusted % (W/Floors)]]*$H$70</f>
        <v>103540.08027511812</v>
      </c>
      <c r="I14" s="17">
        <f>Table1[[#This Row],[Adjusted % (W/Floors)]]*$I$70</f>
        <v>99405.470907460447</v>
      </c>
      <c r="J14" s="17">
        <f>Table1[[#This Row],[Adjusted % (W/Floors)]]*$J$70</f>
        <v>46573.482825392137</v>
      </c>
      <c r="K14" s="17">
        <f>Table1[[#This Row],[Adjusted % (W/Floors)]]*$K$70</f>
        <v>46573.482825392137</v>
      </c>
      <c r="L14" s="17">
        <f>Table1[[#This Row],[Adjusted % (W/Floors)]]*$L$70</f>
        <v>46573.482825392137</v>
      </c>
      <c r="M14" s="17">
        <f>Table1[[#This Row],[Adjusted % (W/Floors)]]*$M$70</f>
        <v>46573.482825392151</v>
      </c>
      <c r="N14" s="17">
        <f>Table1[[#This Row],[Adjusted % (W/Floors)]]*$N$70</f>
        <v>46573.482825392151</v>
      </c>
      <c r="O14" s="17">
        <f>Table1[[#This Row],[Adjusted % (W/Floors)]]*$O$70</f>
        <v>46573.482825392151</v>
      </c>
      <c r="P14" s="17">
        <f>SUM(Table1[[#This Row],[Payment 1]:[Payment 13]])</f>
        <v>1477557.9220670396</v>
      </c>
    </row>
    <row r="15" spans="1:16" x14ac:dyDescent="0.3">
      <c r="A15" t="s">
        <v>39</v>
      </c>
      <c r="B15">
        <v>2.4844407644750662E-3</v>
      </c>
      <c r="C15" s="17">
        <f>Table1[[#This Row],[Adjusted % (W/Floors)]]*$C$70</f>
        <v>217084.99860885457</v>
      </c>
      <c r="D15" s="17">
        <f>Table1[[#This Row],[Adjusted % (W/Floors)]]*$D$70</f>
        <v>45343.964771628584</v>
      </c>
      <c r="E15" s="17">
        <f>Table1[[#This Row],[Adjusted % (W/Floors)]]*$E$70</f>
        <v>48492.065059278153</v>
      </c>
      <c r="F15" s="17">
        <f>Table1[[#This Row],[Adjusted % (W/Floors)]]*$F$70</f>
        <v>37701.698698231798</v>
      </c>
      <c r="G15" s="17">
        <f>Table1[[#This Row],[Adjusted % (W/Floors)]]*$G$70</f>
        <v>37701.698698231798</v>
      </c>
      <c r="H15" s="17">
        <f>Table1[[#This Row],[Adjusted % (W/Floors)]]*$H$70</f>
        <v>40194.140518592176</v>
      </c>
      <c r="I15" s="17">
        <f>Table1[[#This Row],[Adjusted % (W/Floors)]]*$I$70</f>
        <v>38589.089899821731</v>
      </c>
      <c r="J15" s="17">
        <f>Table1[[#This Row],[Adjusted % (W/Floors)]]*$J$70</f>
        <v>18079.772665328997</v>
      </c>
      <c r="K15" s="17">
        <f>Table1[[#This Row],[Adjusted % (W/Floors)]]*$K$70</f>
        <v>18079.772665328997</v>
      </c>
      <c r="L15" s="17">
        <f>Table1[[#This Row],[Adjusted % (W/Floors)]]*$L$70</f>
        <v>18079.772665328997</v>
      </c>
      <c r="M15" s="17">
        <f>Table1[[#This Row],[Adjusted % (W/Floors)]]*$M$70</f>
        <v>18079.772665329005</v>
      </c>
      <c r="N15" s="17">
        <f>Table1[[#This Row],[Adjusted % (W/Floors)]]*$N$70</f>
        <v>18079.772665329005</v>
      </c>
      <c r="O15" s="17">
        <f>Table1[[#This Row],[Adjusted % (W/Floors)]]*$O$70</f>
        <v>18079.772665329005</v>
      </c>
      <c r="P15" s="17">
        <f>SUM(Table1[[#This Row],[Payment 1]:[Payment 13]])</f>
        <v>573586.29224661284</v>
      </c>
    </row>
    <row r="16" spans="1:16" x14ac:dyDescent="0.3">
      <c r="A16" t="s">
        <v>40</v>
      </c>
      <c r="B16">
        <v>2.2161205847617552E-2</v>
      </c>
      <c r="C16" s="17">
        <f>Table1[[#This Row],[Adjusted % (W/Floors)]]*$C$70</f>
        <v>1936397.683289936</v>
      </c>
      <c r="D16" s="17">
        <f>Table1[[#This Row],[Adjusted % (W/Floors)]]*$D$70</f>
        <v>404468.06042626599</v>
      </c>
      <c r="E16" s="17">
        <f>Table1[[#This Row],[Adjusted % (W/Floors)]]*$E$70</f>
        <v>432549.10767888062</v>
      </c>
      <c r="F16" s="17">
        <f>Table1[[#This Row],[Adjusted % (W/Floors)]]*$F$70</f>
        <v>336299.06480499415</v>
      </c>
      <c r="G16" s="17">
        <f>Table1[[#This Row],[Adjusted % (W/Floors)]]*$G$70</f>
        <v>336299.06480499415</v>
      </c>
      <c r="H16" s="17">
        <f>Table1[[#This Row],[Adjusted % (W/Floors)]]*$H$70</f>
        <v>358531.64005252178</v>
      </c>
      <c r="I16" s="17">
        <f>Table1[[#This Row],[Adjusted % (W/Floors)]]*$I$70</f>
        <v>344214.59226171515</v>
      </c>
      <c r="J16" s="17">
        <f>Table1[[#This Row],[Adjusted % (W/Floors)]]*$J$70</f>
        <v>161271.53017437382</v>
      </c>
      <c r="K16" s="17">
        <f>Table1[[#This Row],[Adjusted % (W/Floors)]]*$K$70</f>
        <v>161271.53017437382</v>
      </c>
      <c r="L16" s="17">
        <f>Table1[[#This Row],[Adjusted % (W/Floors)]]*$L$70</f>
        <v>161271.53017437382</v>
      </c>
      <c r="M16" s="17">
        <f>Table1[[#This Row],[Adjusted % (W/Floors)]]*$M$70</f>
        <v>161271.53017437385</v>
      </c>
      <c r="N16" s="17">
        <f>Table1[[#This Row],[Adjusted % (W/Floors)]]*$N$70</f>
        <v>161271.53017437385</v>
      </c>
      <c r="O16" s="17">
        <f>Table1[[#This Row],[Adjusted % (W/Floors)]]*$O$70</f>
        <v>161271.53017437385</v>
      </c>
      <c r="P16" s="17">
        <f>SUM(Table1[[#This Row],[Payment 1]:[Payment 13]])</f>
        <v>5116388.39436555</v>
      </c>
    </row>
    <row r="17" spans="1:16" x14ac:dyDescent="0.3">
      <c r="A17" t="s">
        <v>41</v>
      </c>
      <c r="B17">
        <v>1.4608509466514366E-3</v>
      </c>
      <c r="C17" s="17">
        <f>Table1[[#This Row],[Adjusted % (W/Floors)]]*$C$70</f>
        <v>127645.95970899578</v>
      </c>
      <c r="D17" s="17">
        <f>Table1[[#This Row],[Adjusted % (W/Floors)]]*$D$70</f>
        <v>26662.247218262382</v>
      </c>
      <c r="E17" s="17">
        <f>Table1[[#This Row],[Adjusted % (W/Floors)]]*$E$70</f>
        <v>28513.329905008686</v>
      </c>
      <c r="F17" s="17">
        <f>Table1[[#This Row],[Adjusted % (W/Floors)]]*$F$70</f>
        <v>22168.595452633461</v>
      </c>
      <c r="G17" s="17">
        <f>Table1[[#This Row],[Adjusted % (W/Floors)]]*$G$70</f>
        <v>22168.595452633461</v>
      </c>
      <c r="H17" s="17">
        <f>Table1[[#This Row],[Adjusted % (W/Floors)]]*$H$70</f>
        <v>23634.151019427751</v>
      </c>
      <c r="I17" s="17">
        <f>Table1[[#This Row],[Adjusted % (W/Floors)]]*$I$70</f>
        <v>22690.381399567363</v>
      </c>
      <c r="J17" s="17">
        <f>Table1[[#This Row],[Adjusted % (W/Floors)]]*$J$70</f>
        <v>10630.904705417341</v>
      </c>
      <c r="K17" s="17">
        <f>Table1[[#This Row],[Adjusted % (W/Floors)]]*$K$70</f>
        <v>10630.904705417341</v>
      </c>
      <c r="L17" s="17">
        <f>Table1[[#This Row],[Adjusted % (W/Floors)]]*$L$70</f>
        <v>10630.904705417341</v>
      </c>
      <c r="M17" s="17">
        <f>Table1[[#This Row],[Adjusted % (W/Floors)]]*$M$70</f>
        <v>10630.904705417342</v>
      </c>
      <c r="N17" s="17">
        <f>Table1[[#This Row],[Adjusted % (W/Floors)]]*$N$70</f>
        <v>10630.904705417342</v>
      </c>
      <c r="O17" s="17">
        <f>Table1[[#This Row],[Adjusted % (W/Floors)]]*$O$70</f>
        <v>10630.904705417342</v>
      </c>
      <c r="P17" s="17">
        <f>SUM(Table1[[#This Row],[Payment 1]:[Payment 13]])</f>
        <v>337268.68838903296</v>
      </c>
    </row>
    <row r="18" spans="1:16" x14ac:dyDescent="0.3">
      <c r="A18" t="s">
        <v>42</v>
      </c>
      <c r="B18">
        <v>2.9713910800255451E-3</v>
      </c>
      <c r="C18" s="17">
        <f>Table1[[#This Row],[Adjusted % (W/Floors)]]*$C$70</f>
        <v>259633.65184518648</v>
      </c>
      <c r="D18" s="17">
        <f>Table1[[#This Row],[Adjusted % (W/Floors)]]*$D$70</f>
        <v>54231.380511049378</v>
      </c>
      <c r="E18" s="17">
        <f>Table1[[#This Row],[Adjusted % (W/Floors)]]*$E$70</f>
        <v>57996.508360947715</v>
      </c>
      <c r="F18" s="17">
        <f>Table1[[#This Row],[Adjusted % (W/Floors)]]*$F$70</f>
        <v>45091.230515776282</v>
      </c>
      <c r="G18" s="17">
        <f>Table1[[#This Row],[Adjusted % (W/Floors)]]*$G$70</f>
        <v>45091.230515776282</v>
      </c>
      <c r="H18" s="17">
        <f>Table1[[#This Row],[Adjusted % (W/Floors)]]*$H$70</f>
        <v>48072.190858401424</v>
      </c>
      <c r="I18" s="17">
        <f>Table1[[#This Row],[Adjusted % (W/Floors)]]*$I$70</f>
        <v>46152.550366344185</v>
      </c>
      <c r="J18" s="17">
        <f>Table1[[#This Row],[Adjusted % (W/Floors)]]*$J$70</f>
        <v>21623.407567134778</v>
      </c>
      <c r="K18" s="17">
        <f>Table1[[#This Row],[Adjusted % (W/Floors)]]*$K$70</f>
        <v>21623.407567134778</v>
      </c>
      <c r="L18" s="17">
        <f>Table1[[#This Row],[Adjusted % (W/Floors)]]*$L$70</f>
        <v>21623.407567134778</v>
      </c>
      <c r="M18" s="17">
        <f>Table1[[#This Row],[Adjusted % (W/Floors)]]*$M$70</f>
        <v>21623.407567134785</v>
      </c>
      <c r="N18" s="17">
        <f>Table1[[#This Row],[Adjusted % (W/Floors)]]*$N$70</f>
        <v>21623.407567134785</v>
      </c>
      <c r="O18" s="17">
        <f>Table1[[#This Row],[Adjusted % (W/Floors)]]*$O$70</f>
        <v>21623.407567134785</v>
      </c>
      <c r="P18" s="17">
        <f>SUM(Table1[[#This Row],[Payment 1]:[Payment 13]])</f>
        <v>686009.18837629061</v>
      </c>
    </row>
    <row r="19" spans="1:16" x14ac:dyDescent="0.3">
      <c r="A19" t="s">
        <v>43</v>
      </c>
      <c r="B19">
        <v>1.4285891185863999E-3</v>
      </c>
      <c r="C19" s="17">
        <f>Table1[[#This Row],[Adjusted % (W/Floors)]]*$C$70</f>
        <v>124826.99175421044</v>
      </c>
      <c r="D19" s="17">
        <f>Table1[[#This Row],[Adjusted % (W/Floors)]]*$D$70</f>
        <v>26073.430927623853</v>
      </c>
      <c r="E19" s="17">
        <f>Table1[[#This Row],[Adjusted % (W/Floors)]]*$E$70</f>
        <v>27883.633802839169</v>
      </c>
      <c r="F19" s="17">
        <f>Table1[[#This Row],[Adjusted % (W/Floors)]]*$F$70</f>
        <v>21679.018184962453</v>
      </c>
      <c r="G19" s="17">
        <f>Table1[[#This Row],[Adjusted % (W/Floors)]]*$G$70</f>
        <v>21679.018184962453</v>
      </c>
      <c r="H19" s="17">
        <f>Table1[[#This Row],[Adjusted % (W/Floors)]]*$H$70</f>
        <v>23112.20802558594</v>
      </c>
      <c r="I19" s="17">
        <f>Table1[[#This Row],[Adjusted % (W/Floors)]]*$I$70</f>
        <v>22189.280869687216</v>
      </c>
      <c r="J19" s="17">
        <f>Table1[[#This Row],[Adjusted % (W/Floors)]]*$J$70</f>
        <v>10396.128925884099</v>
      </c>
      <c r="K19" s="17">
        <f>Table1[[#This Row],[Adjusted % (W/Floors)]]*$K$70</f>
        <v>10396.128925884099</v>
      </c>
      <c r="L19" s="17">
        <f>Table1[[#This Row],[Adjusted % (W/Floors)]]*$L$70</f>
        <v>10396.128925884099</v>
      </c>
      <c r="M19" s="17">
        <f>Table1[[#This Row],[Adjusted % (W/Floors)]]*$M$70</f>
        <v>10396.128925884103</v>
      </c>
      <c r="N19" s="17">
        <f>Table1[[#This Row],[Adjusted % (W/Floors)]]*$N$70</f>
        <v>10396.128925884103</v>
      </c>
      <c r="O19" s="17">
        <f>Table1[[#This Row],[Adjusted % (W/Floors)]]*$O$70</f>
        <v>10396.128925884103</v>
      </c>
      <c r="P19" s="17">
        <f>SUM(Table1[[#This Row],[Payment 1]:[Payment 13]])</f>
        <v>329820.35530517605</v>
      </c>
    </row>
    <row r="20" spans="1:16" x14ac:dyDescent="0.3">
      <c r="A20" t="s">
        <v>44</v>
      </c>
      <c r="B20">
        <v>3.2595860772744538E-3</v>
      </c>
      <c r="C20" s="17">
        <f>Table1[[#This Row],[Adjusted % (W/Floors)]]*$C$70</f>
        <v>284815.50019973039</v>
      </c>
      <c r="D20" s="17">
        <f>Table1[[#This Row],[Adjusted % (W/Floors)]]*$D$70</f>
        <v>59491.278025802647</v>
      </c>
      <c r="E20" s="17">
        <f>Table1[[#This Row],[Adjusted % (W/Floors)]]*$E$70</f>
        <v>63621.585342529674</v>
      </c>
      <c r="F20" s="17">
        <f>Table1[[#This Row],[Adjusted % (W/Floors)]]*$F$70</f>
        <v>49464.625570301498</v>
      </c>
      <c r="G20" s="17">
        <f>Table1[[#This Row],[Adjusted % (W/Floors)]]*$G$70</f>
        <v>49464.625570301498</v>
      </c>
      <c r="H20" s="17">
        <f>Table1[[#This Row],[Adjusted % (W/Floors)]]*$H$70</f>
        <v>52734.709032234976</v>
      </c>
      <c r="I20" s="17">
        <f>Table1[[#This Row],[Adjusted % (W/Floors)]]*$I$70</f>
        <v>50628.882753309663</v>
      </c>
      <c r="J20" s="17">
        <f>Table1[[#This Row],[Adjusted % (W/Floors)]]*$J$70</f>
        <v>23720.660239869081</v>
      </c>
      <c r="K20" s="17">
        <f>Table1[[#This Row],[Adjusted % (W/Floors)]]*$K$70</f>
        <v>23720.660239869081</v>
      </c>
      <c r="L20" s="17">
        <f>Table1[[#This Row],[Adjusted % (W/Floors)]]*$L$70</f>
        <v>23720.660239869081</v>
      </c>
      <c r="M20" s="17">
        <f>Table1[[#This Row],[Adjusted % (W/Floors)]]*$M$70</f>
        <v>23720.660239869088</v>
      </c>
      <c r="N20" s="17">
        <f>Table1[[#This Row],[Adjusted % (W/Floors)]]*$N$70</f>
        <v>23720.660239869088</v>
      </c>
      <c r="O20" s="17">
        <f>Table1[[#This Row],[Adjusted % (W/Floors)]]*$O$70</f>
        <v>23720.660239869088</v>
      </c>
      <c r="P20" s="17">
        <f>SUM(Table1[[#This Row],[Payment 1]:[Payment 13]])</f>
        <v>752545.1679334247</v>
      </c>
    </row>
    <row r="21" spans="1:16" x14ac:dyDescent="0.3">
      <c r="A21" t="s">
        <v>45</v>
      </c>
      <c r="B21">
        <v>6.6682368575386878E-3</v>
      </c>
      <c r="C21" s="17">
        <f>Table1[[#This Row],[Adjusted % (W/Floors)]]*$C$70</f>
        <v>582655.94802706211</v>
      </c>
      <c r="D21" s="17">
        <f>Table1[[#This Row],[Adjusted % (W/Floors)]]*$D$70</f>
        <v>121703.16212831729</v>
      </c>
      <c r="E21" s="17">
        <f>Table1[[#This Row],[Adjusted % (W/Floors)]]*$E$70</f>
        <v>130152.66057058281</v>
      </c>
      <c r="F21" s="17">
        <f>Table1[[#This Row],[Adjusted % (W/Floors)]]*$F$70</f>
        <v>101191.32661409474</v>
      </c>
      <c r="G21" s="17">
        <f>Table1[[#This Row],[Adjusted % (W/Floors)]]*$G$70</f>
        <v>101191.32661409474</v>
      </c>
      <c r="H21" s="17">
        <f>Table1[[#This Row],[Adjusted % (W/Floors)]]*$H$70</f>
        <v>107881.03829869171</v>
      </c>
      <c r="I21" s="17">
        <f>Table1[[#This Row],[Adjusted % (W/Floors)]]*$I$70</f>
        <v>103573.08382968599</v>
      </c>
      <c r="J21" s="17">
        <f>Table1[[#This Row],[Adjusted % (W/Floors)]]*$J$70</f>
        <v>48526.094156380619</v>
      </c>
      <c r="K21" s="17">
        <f>Table1[[#This Row],[Adjusted % (W/Floors)]]*$K$70</f>
        <v>48526.094156380619</v>
      </c>
      <c r="L21" s="17">
        <f>Table1[[#This Row],[Adjusted % (W/Floors)]]*$L$70</f>
        <v>48526.094156380619</v>
      </c>
      <c r="M21" s="17">
        <f>Table1[[#This Row],[Adjusted % (W/Floors)]]*$M$70</f>
        <v>48526.094156380634</v>
      </c>
      <c r="N21" s="17">
        <f>Table1[[#This Row],[Adjusted % (W/Floors)]]*$N$70</f>
        <v>48526.094156380634</v>
      </c>
      <c r="O21" s="17">
        <f>Table1[[#This Row],[Adjusted % (W/Floors)]]*$O$70</f>
        <v>48526.094156380634</v>
      </c>
      <c r="P21" s="17">
        <f>SUM(Table1[[#This Row],[Payment 1]:[Payment 13]])</f>
        <v>1539505.1110208132</v>
      </c>
    </row>
    <row r="22" spans="1:16" x14ac:dyDescent="0.3">
      <c r="A22" t="s">
        <v>46</v>
      </c>
      <c r="B22">
        <v>1.0414773250363621E-2</v>
      </c>
      <c r="C22" s="17">
        <f>Table1[[#This Row],[Adjusted % (W/Floors)]]*$C$70</f>
        <v>910020.10146312451</v>
      </c>
      <c r="D22" s="17">
        <f>Table1[[#This Row],[Adjusted % (W/Floors)]]*$D$70</f>
        <v>190081.85589354075</v>
      </c>
      <c r="E22" s="17">
        <f>Table1[[#This Row],[Adjusted % (W/Floors)]]*$E$70</f>
        <v>203278.68921478206</v>
      </c>
      <c r="F22" s="17">
        <f>Table1[[#This Row],[Adjusted % (W/Floors)]]*$F$70</f>
        <v>158045.48400194073</v>
      </c>
      <c r="G22" s="17">
        <f>Table1[[#This Row],[Adjusted % (W/Floors)]]*$G$70</f>
        <v>158045.48400194073</v>
      </c>
      <c r="H22" s="17">
        <f>Table1[[#This Row],[Adjusted % (W/Floors)]]*$H$70</f>
        <v>168493.79767073595</v>
      </c>
      <c r="I22" s="17">
        <f>Table1[[#This Row],[Adjusted % (W/Floors)]]*$I$70</f>
        <v>161765.42704951813</v>
      </c>
      <c r="J22" s="17">
        <f>Table1[[#This Row],[Adjusted % (W/Floors)]]*$J$70</f>
        <v>75790.389298055481</v>
      </c>
      <c r="K22" s="17">
        <f>Table1[[#This Row],[Adjusted % (W/Floors)]]*$K$70</f>
        <v>75790.389298055481</v>
      </c>
      <c r="L22" s="17">
        <f>Table1[[#This Row],[Adjusted % (W/Floors)]]*$L$70</f>
        <v>75790.389298055481</v>
      </c>
      <c r="M22" s="17">
        <f>Table1[[#This Row],[Adjusted % (W/Floors)]]*$M$70</f>
        <v>75790.389298055496</v>
      </c>
      <c r="N22" s="17">
        <f>Table1[[#This Row],[Adjusted % (W/Floors)]]*$N$70</f>
        <v>75790.389298055496</v>
      </c>
      <c r="O22" s="17">
        <f>Table1[[#This Row],[Adjusted % (W/Floors)]]*$O$70</f>
        <v>75790.389298055496</v>
      </c>
      <c r="P22" s="17">
        <f>SUM(Table1[[#This Row],[Payment 1]:[Payment 13]])</f>
        <v>2404473.1750839152</v>
      </c>
    </row>
    <row r="23" spans="1:16" x14ac:dyDescent="0.3">
      <c r="A23" t="s">
        <v>47</v>
      </c>
      <c r="B23">
        <v>1.6009732531945126E-2</v>
      </c>
      <c r="C23" s="17">
        <f>Table1[[#This Row],[Adjusted % (W/Floors)]]*$C$70</f>
        <v>1398895.4029901247</v>
      </c>
      <c r="D23" s="17">
        <f>Table1[[#This Row],[Adjusted % (W/Floors)]]*$D$70</f>
        <v>292196.44046739815</v>
      </c>
      <c r="E23" s="17">
        <f>Table1[[#This Row],[Adjusted % (W/Floors)]]*$E$70</f>
        <v>312482.79396379885</v>
      </c>
      <c r="F23" s="17">
        <f>Table1[[#This Row],[Adjusted % (W/Floors)]]*$F$70</f>
        <v>242949.68943894596</v>
      </c>
      <c r="G23" s="17">
        <f>Table1[[#This Row],[Adjusted % (W/Floors)]]*$G$70</f>
        <v>242949.68943894596</v>
      </c>
      <c r="H23" s="17">
        <f>Table1[[#This Row],[Adjusted % (W/Floors)]]*$H$70</f>
        <v>259010.98076292532</v>
      </c>
      <c r="I23" s="17">
        <f>Table1[[#This Row],[Adjusted % (W/Floors)]]*$I$70</f>
        <v>248668.03700102115</v>
      </c>
      <c r="J23" s="17">
        <f>Table1[[#This Row],[Adjusted % (W/Floors)]]*$J$70</f>
        <v>116506.02773435327</v>
      </c>
      <c r="K23" s="17">
        <f>Table1[[#This Row],[Adjusted % (W/Floors)]]*$K$70</f>
        <v>116506.02773435327</v>
      </c>
      <c r="L23" s="17">
        <f>Table1[[#This Row],[Adjusted % (W/Floors)]]*$L$70</f>
        <v>116506.02773435327</v>
      </c>
      <c r="M23" s="17">
        <f>Table1[[#This Row],[Adjusted % (W/Floors)]]*$M$70</f>
        <v>116506.02773435329</v>
      </c>
      <c r="N23" s="17">
        <f>Table1[[#This Row],[Adjusted % (W/Floors)]]*$N$70</f>
        <v>116506.02773435329</v>
      </c>
      <c r="O23" s="17">
        <f>Table1[[#This Row],[Adjusted % (W/Floors)]]*$O$70</f>
        <v>116506.02773435329</v>
      </c>
      <c r="P23" s="17">
        <f>SUM(Table1[[#This Row],[Payment 1]:[Payment 13]])</f>
        <v>3696189.2004692797</v>
      </c>
    </row>
    <row r="24" spans="1:16" x14ac:dyDescent="0.3">
      <c r="A24" t="s">
        <v>48</v>
      </c>
      <c r="B24">
        <v>6.4277437366895854E-2</v>
      </c>
      <c r="C24" s="17">
        <f>Table1[[#This Row],[Adjusted % (W/Floors)]]*$C$70</f>
        <v>5616421.8527148394</v>
      </c>
      <c r="D24" s="17">
        <f>Table1[[#This Row],[Adjusted % (W/Floors)]]*$D$70</f>
        <v>1173138.7993832522</v>
      </c>
      <c r="E24" s="17">
        <f>Table1[[#This Row],[Adjusted % (W/Floors)]]*$E$70</f>
        <v>1254586.4321694807</v>
      </c>
      <c r="F24" s="17">
        <f>Table1[[#This Row],[Adjusted % (W/Floors)]]*$F$70</f>
        <v>975418.13487881783</v>
      </c>
      <c r="G24" s="17">
        <f>Table1[[#This Row],[Adjusted % (W/Floors)]]*$G$70</f>
        <v>975418.13487881783</v>
      </c>
      <c r="H24" s="17">
        <f>Table1[[#This Row],[Adjusted % (W/Floors)]]*$H$70</f>
        <v>1039902.5755181969</v>
      </c>
      <c r="I24" s="17">
        <f>Table1[[#This Row],[Adjusted % (W/Floors)]]*$I$70</f>
        <v>998376.71501312137</v>
      </c>
      <c r="J24" s="17">
        <f>Table1[[#This Row],[Adjusted % (W/Floors)]]*$J$70</f>
        <v>467759.77584997617</v>
      </c>
      <c r="K24" s="17">
        <f>Table1[[#This Row],[Adjusted % (W/Floors)]]*$K$70</f>
        <v>467759.77584997617</v>
      </c>
      <c r="L24" s="17">
        <f>Table1[[#This Row],[Adjusted % (W/Floors)]]*$L$70</f>
        <v>467759.77584997617</v>
      </c>
      <c r="M24" s="17">
        <f>Table1[[#This Row],[Adjusted % (W/Floors)]]*$M$70</f>
        <v>467759.77584997629</v>
      </c>
      <c r="N24" s="17">
        <f>Table1[[#This Row],[Adjusted % (W/Floors)]]*$N$70</f>
        <v>467759.77584997629</v>
      </c>
      <c r="O24" s="17">
        <f>Table1[[#This Row],[Adjusted % (W/Floors)]]*$O$70</f>
        <v>467759.77584997629</v>
      </c>
      <c r="P24" s="17">
        <f>SUM(Table1[[#This Row],[Payment 1]:[Payment 13]])</f>
        <v>14839821.29965638</v>
      </c>
    </row>
    <row r="25" spans="1:16" x14ac:dyDescent="0.3">
      <c r="A25" t="s">
        <v>49</v>
      </c>
      <c r="B25">
        <v>1.6695435308618936E-3</v>
      </c>
      <c r="C25" s="17">
        <f>Table1[[#This Row],[Adjusted % (W/Floors)]]*$C$70</f>
        <v>145881.06114542609</v>
      </c>
      <c r="D25" s="17">
        <f>Table1[[#This Row],[Adjusted % (W/Floors)]]*$D$70</f>
        <v>30471.132228462458</v>
      </c>
      <c r="E25" s="17">
        <f>Table1[[#This Row],[Adjusted % (W/Floors)]]*$E$70</f>
        <v>32586.654781828838</v>
      </c>
      <c r="F25" s="17">
        <f>Table1[[#This Row],[Adjusted % (W/Floors)]]*$F$70</f>
        <v>25335.531466147331</v>
      </c>
      <c r="G25" s="17">
        <f>Table1[[#This Row],[Adjusted % (W/Floors)]]*$G$70</f>
        <v>25335.531466147331</v>
      </c>
      <c r="H25" s="17">
        <f>Table1[[#This Row],[Adjusted % (W/Floors)]]*$H$70</f>
        <v>27010.451704429419</v>
      </c>
      <c r="I25" s="17">
        <f>Table1[[#This Row],[Adjusted % (W/Floors)]]*$I$70</f>
        <v>25931.85811685388</v>
      </c>
      <c r="J25" s="17">
        <f>Table1[[#This Row],[Adjusted % (W/Floors)]]*$J$70</f>
        <v>12149.602407297267</v>
      </c>
      <c r="K25" s="17">
        <f>Table1[[#This Row],[Adjusted % (W/Floors)]]*$K$70</f>
        <v>12149.602407297267</v>
      </c>
      <c r="L25" s="17">
        <f>Table1[[#This Row],[Adjusted % (W/Floors)]]*$L$70</f>
        <v>12149.602407297267</v>
      </c>
      <c r="M25" s="17">
        <f>Table1[[#This Row],[Adjusted % (W/Floors)]]*$M$70</f>
        <v>12149.60240729727</v>
      </c>
      <c r="N25" s="17">
        <f>Table1[[#This Row],[Adjusted % (W/Floors)]]*$N$70</f>
        <v>12149.60240729727</v>
      </c>
      <c r="O25" s="17">
        <f>Table1[[#This Row],[Adjusted % (W/Floors)]]*$O$70</f>
        <v>12149.60240729727</v>
      </c>
      <c r="P25" s="17">
        <f>SUM(Table1[[#This Row],[Payment 1]:[Payment 13]])</f>
        <v>385449.83535307914</v>
      </c>
    </row>
    <row r="26" spans="1:16" x14ac:dyDescent="0.3">
      <c r="A26" t="s">
        <v>50</v>
      </c>
      <c r="B26">
        <v>2.0382346677401429E-2</v>
      </c>
      <c r="C26" s="17">
        <f>Table1[[#This Row],[Adjusted % (W/Floors)]]*$C$70</f>
        <v>1780964.8607354779</v>
      </c>
      <c r="D26" s="17">
        <f>Table1[[#This Row],[Adjusted % (W/Floors)]]*$D$70</f>
        <v>372001.78926322178</v>
      </c>
      <c r="E26" s="17">
        <f>Table1[[#This Row],[Adjusted % (W/Floors)]]*$E$70</f>
        <v>397828.79723845853</v>
      </c>
      <c r="F26" s="17">
        <f>Table1[[#This Row],[Adjusted % (W/Floors)]]*$F$70</f>
        <v>309304.65486733353</v>
      </c>
      <c r="G26" s="17">
        <f>Table1[[#This Row],[Adjusted % (W/Floors)]]*$G$70</f>
        <v>309304.65486733353</v>
      </c>
      <c r="H26" s="17">
        <f>Table1[[#This Row],[Adjusted % (W/Floors)]]*$H$70</f>
        <v>329752.64218997455</v>
      </c>
      <c r="I26" s="17">
        <f>Table1[[#This Row],[Adjusted % (W/Floors)]]*$I$70</f>
        <v>316584.81037271279</v>
      </c>
      <c r="J26" s="17">
        <f>Table1[[#This Row],[Adjusted % (W/Floors)]]*$J$70</f>
        <v>148326.4159816679</v>
      </c>
      <c r="K26" s="17">
        <f>Table1[[#This Row],[Adjusted % (W/Floors)]]*$K$70</f>
        <v>148326.4159816679</v>
      </c>
      <c r="L26" s="17">
        <f>Table1[[#This Row],[Adjusted % (W/Floors)]]*$L$70</f>
        <v>148326.4159816679</v>
      </c>
      <c r="M26" s="17">
        <f>Table1[[#This Row],[Adjusted % (W/Floors)]]*$M$70</f>
        <v>148326.41598166796</v>
      </c>
      <c r="N26" s="17">
        <f>Table1[[#This Row],[Adjusted % (W/Floors)]]*$N$70</f>
        <v>148326.41598166796</v>
      </c>
      <c r="O26" s="17">
        <f>Table1[[#This Row],[Adjusted % (W/Floors)]]*$O$70</f>
        <v>148326.41598166796</v>
      </c>
      <c r="P26" s="17">
        <f>SUM(Table1[[#This Row],[Payment 1]:[Payment 13]])</f>
        <v>4705700.7054245202</v>
      </c>
    </row>
    <row r="27" spans="1:16" x14ac:dyDescent="0.3">
      <c r="A27" t="s">
        <v>51</v>
      </c>
      <c r="B27">
        <v>1.3396101596298053E-2</v>
      </c>
      <c r="C27" s="17">
        <f>Table1[[#This Row],[Adjusted % (W/Floors)]]*$C$70</f>
        <v>1170522.0498629534</v>
      </c>
      <c r="D27" s="17">
        <f>Table1[[#This Row],[Adjusted % (W/Floors)]]*$D$70</f>
        <v>244494.60319012267</v>
      </c>
      <c r="E27" s="17">
        <f>Table1[[#This Row],[Adjusted % (W/Floors)]]*$E$70</f>
        <v>261469.15613246232</v>
      </c>
      <c r="F27" s="17">
        <f>Table1[[#This Row],[Adjusted % (W/Floors)]]*$F$70</f>
        <v>203287.51376821162</v>
      </c>
      <c r="G27" s="17">
        <f>Table1[[#This Row],[Adjusted % (W/Floors)]]*$G$70</f>
        <v>203287.51376821162</v>
      </c>
      <c r="H27" s="17">
        <f>Table1[[#This Row],[Adjusted % (W/Floors)]]*$H$70</f>
        <v>216726.75704816336</v>
      </c>
      <c r="I27" s="17">
        <f>Table1[[#This Row],[Adjusted % (W/Floors)]]*$I$70</f>
        <v>208072.32605359185</v>
      </c>
      <c r="J27" s="17">
        <f>Table1[[#This Row],[Adjusted % (W/Floors)]]*$J$70</f>
        <v>97486.112337998711</v>
      </c>
      <c r="K27" s="17">
        <f>Table1[[#This Row],[Adjusted % (W/Floors)]]*$K$70</f>
        <v>97486.112337998711</v>
      </c>
      <c r="L27" s="17">
        <f>Table1[[#This Row],[Adjusted % (W/Floors)]]*$L$70</f>
        <v>97486.112337998711</v>
      </c>
      <c r="M27" s="17">
        <f>Table1[[#This Row],[Adjusted % (W/Floors)]]*$M$70</f>
        <v>97486.11233799874</v>
      </c>
      <c r="N27" s="17">
        <f>Table1[[#This Row],[Adjusted % (W/Floors)]]*$N$70</f>
        <v>97486.11233799874</v>
      </c>
      <c r="O27" s="17">
        <f>Table1[[#This Row],[Adjusted % (W/Floors)]]*$O$70</f>
        <v>97486.11233799874</v>
      </c>
      <c r="P27" s="17">
        <f>SUM(Table1[[#This Row],[Payment 1]:[Payment 13]])</f>
        <v>3092776.5938517088</v>
      </c>
    </row>
    <row r="28" spans="1:16" x14ac:dyDescent="0.3">
      <c r="A28" t="s">
        <v>52</v>
      </c>
      <c r="B28">
        <v>1.4285891185863999E-3</v>
      </c>
      <c r="C28" s="17">
        <f>Table1[[#This Row],[Adjusted % (W/Floors)]]*$C$70</f>
        <v>124826.99175421044</v>
      </c>
      <c r="D28" s="17">
        <f>Table1[[#This Row],[Adjusted % (W/Floors)]]*$D$70</f>
        <v>26073.430927623853</v>
      </c>
      <c r="E28" s="17">
        <f>Table1[[#This Row],[Adjusted % (W/Floors)]]*$E$70</f>
        <v>27883.633802839169</v>
      </c>
      <c r="F28" s="17">
        <f>Table1[[#This Row],[Adjusted % (W/Floors)]]*$F$70</f>
        <v>21679.018184962453</v>
      </c>
      <c r="G28" s="17">
        <f>Table1[[#This Row],[Adjusted % (W/Floors)]]*$G$70</f>
        <v>21679.018184962453</v>
      </c>
      <c r="H28" s="17">
        <f>Table1[[#This Row],[Adjusted % (W/Floors)]]*$H$70</f>
        <v>23112.20802558594</v>
      </c>
      <c r="I28" s="17">
        <f>Table1[[#This Row],[Adjusted % (W/Floors)]]*$I$70</f>
        <v>22189.280869687216</v>
      </c>
      <c r="J28" s="17">
        <f>Table1[[#This Row],[Adjusted % (W/Floors)]]*$J$70</f>
        <v>10396.128925884099</v>
      </c>
      <c r="K28" s="17">
        <f>Table1[[#This Row],[Adjusted % (W/Floors)]]*$K$70</f>
        <v>10396.128925884099</v>
      </c>
      <c r="L28" s="17">
        <f>Table1[[#This Row],[Adjusted % (W/Floors)]]*$L$70</f>
        <v>10396.128925884099</v>
      </c>
      <c r="M28" s="17">
        <f>Table1[[#This Row],[Adjusted % (W/Floors)]]*$M$70</f>
        <v>10396.128925884103</v>
      </c>
      <c r="N28" s="17">
        <f>Table1[[#This Row],[Adjusted % (W/Floors)]]*$N$70</f>
        <v>10396.128925884103</v>
      </c>
      <c r="O28" s="17">
        <f>Table1[[#This Row],[Adjusted % (W/Floors)]]*$O$70</f>
        <v>10396.128925884103</v>
      </c>
      <c r="P28" s="17">
        <f>SUM(Table1[[#This Row],[Payment 1]:[Payment 13]])</f>
        <v>329820.35530517605</v>
      </c>
    </row>
    <row r="29" spans="1:16" x14ac:dyDescent="0.3">
      <c r="A29" t="s">
        <v>53</v>
      </c>
      <c r="B29">
        <v>5.108008966031025E-3</v>
      </c>
      <c r="C29" s="17">
        <f>Table1[[#This Row],[Adjusted % (W/Floors)]]*$C$70</f>
        <v>446326.64829066821</v>
      </c>
      <c r="D29" s="17">
        <f>Table1[[#This Row],[Adjusted % (W/Floors)]]*$D$70</f>
        <v>93227.168834436598</v>
      </c>
      <c r="E29" s="17">
        <f>Table1[[#This Row],[Adjusted % (W/Floors)]]*$E$70</f>
        <v>99699.661447347215</v>
      </c>
      <c r="F29" s="17">
        <f>Table1[[#This Row],[Adjusted % (W/Floors)]]*$F$70</f>
        <v>77514.673619460722</v>
      </c>
      <c r="G29" s="17">
        <f>Table1[[#This Row],[Adjusted % (W/Floors)]]*$G$70</f>
        <v>77514.673619460722</v>
      </c>
      <c r="H29" s="17">
        <f>Table1[[#This Row],[Adjusted % (W/Floors)]]*$H$70</f>
        <v>82639.132752380116</v>
      </c>
      <c r="I29" s="17">
        <f>Table1[[#This Row],[Adjusted % (W/Floors)]]*$I$70</f>
        <v>79339.14948498056</v>
      </c>
      <c r="J29" s="17">
        <f>Table1[[#This Row],[Adjusted % (W/Floors)]]*$J$70</f>
        <v>37172.003534491996</v>
      </c>
      <c r="K29" s="17">
        <f>Table1[[#This Row],[Adjusted % (W/Floors)]]*$K$70</f>
        <v>37172.003534491996</v>
      </c>
      <c r="L29" s="17">
        <f>Table1[[#This Row],[Adjusted % (W/Floors)]]*$L$70</f>
        <v>37172.003534491996</v>
      </c>
      <c r="M29" s="17">
        <f>Table1[[#This Row],[Adjusted % (W/Floors)]]*$M$70</f>
        <v>37172.003534492011</v>
      </c>
      <c r="N29" s="17">
        <f>Table1[[#This Row],[Adjusted % (W/Floors)]]*$N$70</f>
        <v>37172.003534492011</v>
      </c>
      <c r="O29" s="17">
        <f>Table1[[#This Row],[Adjusted % (W/Floors)]]*$O$70</f>
        <v>37172.003534492011</v>
      </c>
      <c r="P29" s="17">
        <f>SUM(Table1[[#This Row],[Payment 1]:[Payment 13]])</f>
        <v>1179293.1292556867</v>
      </c>
    </row>
    <row r="30" spans="1:16" x14ac:dyDescent="0.3">
      <c r="A30" t="s">
        <v>54</v>
      </c>
      <c r="B30">
        <v>1.4285891185863999E-3</v>
      </c>
      <c r="C30" s="17">
        <f>Table1[[#This Row],[Adjusted % (W/Floors)]]*$C$70</f>
        <v>124826.99175421044</v>
      </c>
      <c r="D30" s="17">
        <f>Table1[[#This Row],[Adjusted % (W/Floors)]]*$D$70</f>
        <v>26073.430927623853</v>
      </c>
      <c r="E30" s="17">
        <f>Table1[[#This Row],[Adjusted % (W/Floors)]]*$E$70</f>
        <v>27883.633802839169</v>
      </c>
      <c r="F30" s="17">
        <f>Table1[[#This Row],[Adjusted % (W/Floors)]]*$F$70</f>
        <v>21679.018184962453</v>
      </c>
      <c r="G30" s="17">
        <f>Table1[[#This Row],[Adjusted % (W/Floors)]]*$G$70</f>
        <v>21679.018184962453</v>
      </c>
      <c r="H30" s="17">
        <f>Table1[[#This Row],[Adjusted % (W/Floors)]]*$H$70</f>
        <v>23112.20802558594</v>
      </c>
      <c r="I30" s="17">
        <f>Table1[[#This Row],[Adjusted % (W/Floors)]]*$I$70</f>
        <v>22189.280869687216</v>
      </c>
      <c r="J30" s="17">
        <f>Table1[[#This Row],[Adjusted % (W/Floors)]]*$J$70</f>
        <v>10396.128925884099</v>
      </c>
      <c r="K30" s="17">
        <f>Table1[[#This Row],[Adjusted % (W/Floors)]]*$K$70</f>
        <v>10396.128925884099</v>
      </c>
      <c r="L30" s="17">
        <f>Table1[[#This Row],[Adjusted % (W/Floors)]]*$L$70</f>
        <v>10396.128925884099</v>
      </c>
      <c r="M30" s="17">
        <f>Table1[[#This Row],[Adjusted % (W/Floors)]]*$M$70</f>
        <v>10396.128925884103</v>
      </c>
      <c r="N30" s="17">
        <f>Table1[[#This Row],[Adjusted % (W/Floors)]]*$N$70</f>
        <v>10396.128925884103</v>
      </c>
      <c r="O30" s="17">
        <f>Table1[[#This Row],[Adjusted % (W/Floors)]]*$O$70</f>
        <v>10396.128925884103</v>
      </c>
      <c r="P30" s="17">
        <f>SUM(Table1[[#This Row],[Payment 1]:[Payment 13]])</f>
        <v>329820.35530517605</v>
      </c>
    </row>
    <row r="31" spans="1:16" x14ac:dyDescent="0.3">
      <c r="A31" t="s">
        <v>55</v>
      </c>
      <c r="B31">
        <v>2.0372409411492541E-3</v>
      </c>
      <c r="C31" s="17">
        <f>Table1[[#This Row],[Adjusted % (W/Floors)]]*$C$70</f>
        <v>178009.65641808356</v>
      </c>
      <c r="D31" s="17">
        <f>Table1[[#This Row],[Adjusted % (W/Floors)]]*$D$70</f>
        <v>37182.042247768921</v>
      </c>
      <c r="E31" s="17">
        <f>Table1[[#This Row],[Adjusted % (W/Floors)]]*$E$70</f>
        <v>39763.483868172596</v>
      </c>
      <c r="F31" s="17">
        <f>Table1[[#This Row],[Adjusted % (W/Floors)]]*$F$70</f>
        <v>30915.385561683892</v>
      </c>
      <c r="G31" s="17">
        <f>Table1[[#This Row],[Adjusted % (W/Floors)]]*$G$70</f>
        <v>30915.385561683892</v>
      </c>
      <c r="H31" s="17">
        <f>Table1[[#This Row],[Adjusted % (W/Floors)]]*$H$70</f>
        <v>32959.187367094855</v>
      </c>
      <c r="I31" s="17">
        <f>Table1[[#This Row],[Adjusted % (W/Floors)]]*$I$70</f>
        <v>31643.046173498326</v>
      </c>
      <c r="J31" s="17">
        <f>Table1[[#This Row],[Adjusted % (W/Floors)]]*$J$70</f>
        <v>14825.410050885945</v>
      </c>
      <c r="K31" s="17">
        <f>Table1[[#This Row],[Adjusted % (W/Floors)]]*$K$70</f>
        <v>14825.410050885945</v>
      </c>
      <c r="L31" s="17">
        <f>Table1[[#This Row],[Adjusted % (W/Floors)]]*$L$70</f>
        <v>14825.410050885945</v>
      </c>
      <c r="M31" s="17">
        <f>Table1[[#This Row],[Adjusted % (W/Floors)]]*$M$70</f>
        <v>14825.410050885948</v>
      </c>
      <c r="N31" s="17">
        <f>Table1[[#This Row],[Adjusted % (W/Floors)]]*$N$70</f>
        <v>14825.410050885948</v>
      </c>
      <c r="O31" s="17">
        <f>Table1[[#This Row],[Adjusted % (W/Floors)]]*$O$70</f>
        <v>14825.410050885948</v>
      </c>
      <c r="P31" s="17">
        <f>SUM(Table1[[#This Row],[Payment 1]:[Payment 13]])</f>
        <v>470340.64750330162</v>
      </c>
    </row>
    <row r="32" spans="1:16" x14ac:dyDescent="0.3">
      <c r="A32" t="s">
        <v>56</v>
      </c>
      <c r="B32">
        <v>1.7788591702161249E-3</v>
      </c>
      <c r="C32" s="17">
        <f>Table1[[#This Row],[Adjusted % (W/Floors)]]*$C$70</f>
        <v>155432.82255445828</v>
      </c>
      <c r="D32" s="17">
        <f>Table1[[#This Row],[Adjusted % (W/Floors)]]*$D$70</f>
        <v>32466.271163044235</v>
      </c>
      <c r="E32" s="17">
        <f>Table1[[#This Row],[Adjusted % (W/Floors)]]*$E$70</f>
        <v>34720.310440422094</v>
      </c>
      <c r="F32" s="17">
        <f>Table1[[#This Row],[Adjusted % (W/Floors)]]*$F$70</f>
        <v>26994.409937660657</v>
      </c>
      <c r="G32" s="17">
        <f>Table1[[#This Row],[Adjusted % (W/Floors)]]*$G$70</f>
        <v>26994.409937660657</v>
      </c>
      <c r="H32" s="17">
        <f>Table1[[#This Row],[Adjusted % (W/Floors)]]*$H$70</f>
        <v>28778.997862547254</v>
      </c>
      <c r="I32" s="17">
        <f>Table1[[#This Row],[Adjusted % (W/Floors)]]*$I$70</f>
        <v>27629.781889002345</v>
      </c>
      <c r="J32" s="17">
        <f>Table1[[#This Row],[Adjusted % (W/Floors)]]*$J$70</f>
        <v>12945.114192705918</v>
      </c>
      <c r="K32" s="17">
        <f>Table1[[#This Row],[Adjusted % (W/Floors)]]*$K$70</f>
        <v>12945.114192705918</v>
      </c>
      <c r="L32" s="17">
        <f>Table1[[#This Row],[Adjusted % (W/Floors)]]*$L$70</f>
        <v>12945.114192705918</v>
      </c>
      <c r="M32" s="17">
        <f>Table1[[#This Row],[Adjusted % (W/Floors)]]*$M$70</f>
        <v>12945.11419270592</v>
      </c>
      <c r="N32" s="17">
        <f>Table1[[#This Row],[Adjusted % (W/Floors)]]*$N$70</f>
        <v>12945.11419270592</v>
      </c>
      <c r="O32" s="17">
        <f>Table1[[#This Row],[Adjusted % (W/Floors)]]*$O$70</f>
        <v>12945.11419270592</v>
      </c>
      <c r="P32" s="17">
        <f>SUM(Table1[[#This Row],[Payment 1]:[Payment 13]])</f>
        <v>410687.68894103088</v>
      </c>
    </row>
    <row r="33" spans="1:16" x14ac:dyDescent="0.3">
      <c r="A33" t="s">
        <v>57</v>
      </c>
      <c r="B33">
        <v>6.7874911913909245E-3</v>
      </c>
      <c r="C33" s="17">
        <f>Table1[[#This Row],[Adjusted % (W/Floors)]]*$C$70</f>
        <v>593076.13081772835</v>
      </c>
      <c r="D33" s="17">
        <f>Table1[[#This Row],[Adjusted % (W/Floors)]]*$D$70</f>
        <v>123879.69392186255</v>
      </c>
      <c r="E33" s="17">
        <f>Table1[[#This Row],[Adjusted % (W/Floors)]]*$E$70</f>
        <v>132480.30266954241</v>
      </c>
      <c r="F33" s="17">
        <f>Table1[[#This Row],[Adjusted % (W/Floors)]]*$F$70</f>
        <v>103001.02601512085</v>
      </c>
      <c r="G33" s="17">
        <f>Table1[[#This Row],[Adjusted % (W/Floors)]]*$G$70</f>
        <v>103001.02601512085</v>
      </c>
      <c r="H33" s="17">
        <f>Table1[[#This Row],[Adjusted % (W/Floors)]]*$H$70</f>
        <v>109810.37608804354</v>
      </c>
      <c r="I33" s="17">
        <f>Table1[[#This Row],[Adjusted % (W/Floors)]]*$I$70</f>
        <v>105425.37842884487</v>
      </c>
      <c r="J33" s="17">
        <f>Table1[[#This Row],[Adjusted % (W/Floors)]]*$J$70</f>
        <v>49393.931810726644</v>
      </c>
      <c r="K33" s="17">
        <f>Table1[[#This Row],[Adjusted % (W/Floors)]]*$K$70</f>
        <v>49393.931810726644</v>
      </c>
      <c r="L33" s="17">
        <f>Table1[[#This Row],[Adjusted % (W/Floors)]]*$L$70</f>
        <v>49393.931810726644</v>
      </c>
      <c r="M33" s="17">
        <f>Table1[[#This Row],[Adjusted % (W/Floors)]]*$M$70</f>
        <v>49393.931810726659</v>
      </c>
      <c r="N33" s="17">
        <f>Table1[[#This Row],[Adjusted % (W/Floors)]]*$N$70</f>
        <v>49393.931810726659</v>
      </c>
      <c r="O33" s="17">
        <f>Table1[[#This Row],[Adjusted % (W/Floors)]]*$O$70</f>
        <v>49393.931810726659</v>
      </c>
      <c r="P33" s="17">
        <f>SUM(Table1[[#This Row],[Payment 1]:[Payment 13]])</f>
        <v>1567037.5248206232</v>
      </c>
    </row>
    <row r="34" spans="1:16" x14ac:dyDescent="0.3">
      <c r="A34" t="s">
        <v>58</v>
      </c>
      <c r="B34">
        <v>1.8782361150723507E-3</v>
      </c>
      <c r="C34" s="17">
        <f>Table1[[#This Row],[Adjusted % (W/Floors)]]*$C$70</f>
        <v>164116.16258185642</v>
      </c>
      <c r="D34" s="17">
        <f>Table1[[#This Row],[Adjusted % (W/Floors)]]*$D$70</f>
        <v>34280.017238662535</v>
      </c>
      <c r="E34" s="17">
        <f>Table1[[#This Row],[Adjusted % (W/Floors)]]*$E$70</f>
        <v>36659.97965864899</v>
      </c>
      <c r="F34" s="17">
        <f>Table1[[#This Row],[Adjusted % (W/Floors)]]*$F$70</f>
        <v>28502.467479661202</v>
      </c>
      <c r="G34" s="17">
        <f>Table1[[#This Row],[Adjusted % (W/Floors)]]*$G$70</f>
        <v>28502.467479661202</v>
      </c>
      <c r="H34" s="17">
        <f>Table1[[#This Row],[Adjusted % (W/Floors)]]*$H$70</f>
        <v>30386.752389431091</v>
      </c>
      <c r="I34" s="17">
        <f>Table1[[#This Row],[Adjusted % (W/Floors)]]*$I$70</f>
        <v>29173.334834140398</v>
      </c>
      <c r="J34" s="17">
        <f>Table1[[#This Row],[Adjusted % (W/Floors)]]*$J$70</f>
        <v>13668.300109177193</v>
      </c>
      <c r="K34" s="17">
        <f>Table1[[#This Row],[Adjusted % (W/Floors)]]*$K$70</f>
        <v>13668.300109177193</v>
      </c>
      <c r="L34" s="17">
        <f>Table1[[#This Row],[Adjusted % (W/Floors)]]*$L$70</f>
        <v>13668.300109177193</v>
      </c>
      <c r="M34" s="17">
        <f>Table1[[#This Row],[Adjusted % (W/Floors)]]*$M$70</f>
        <v>13668.300109177197</v>
      </c>
      <c r="N34" s="17">
        <f>Table1[[#This Row],[Adjusted % (W/Floors)]]*$N$70</f>
        <v>13668.300109177197</v>
      </c>
      <c r="O34" s="17">
        <f>Table1[[#This Row],[Adjusted % (W/Floors)]]*$O$70</f>
        <v>13668.300109177197</v>
      </c>
      <c r="P34" s="17">
        <f>SUM(Table1[[#This Row],[Payment 1]:[Payment 13]])</f>
        <v>433630.98231712496</v>
      </c>
    </row>
    <row r="35" spans="1:16" x14ac:dyDescent="0.3">
      <c r="A35" t="s">
        <v>59</v>
      </c>
      <c r="B35">
        <v>1.4285891185863999E-3</v>
      </c>
      <c r="C35" s="17">
        <f>Table1[[#This Row],[Adjusted % (W/Floors)]]*$C$70</f>
        <v>124826.99175421044</v>
      </c>
      <c r="D35" s="17">
        <f>Table1[[#This Row],[Adjusted % (W/Floors)]]*$D$70</f>
        <v>26073.430927623853</v>
      </c>
      <c r="E35" s="17">
        <f>Table1[[#This Row],[Adjusted % (W/Floors)]]*$E$70</f>
        <v>27883.633802839169</v>
      </c>
      <c r="F35" s="17">
        <f>Table1[[#This Row],[Adjusted % (W/Floors)]]*$F$70</f>
        <v>21679.018184962453</v>
      </c>
      <c r="G35" s="17">
        <f>Table1[[#This Row],[Adjusted % (W/Floors)]]*$G$70</f>
        <v>21679.018184962453</v>
      </c>
      <c r="H35" s="17">
        <f>Table1[[#This Row],[Adjusted % (W/Floors)]]*$H$70</f>
        <v>23112.20802558594</v>
      </c>
      <c r="I35" s="17">
        <f>Table1[[#This Row],[Adjusted % (W/Floors)]]*$I$70</f>
        <v>22189.280869687216</v>
      </c>
      <c r="J35" s="17">
        <f>Table1[[#This Row],[Adjusted % (W/Floors)]]*$J$70</f>
        <v>10396.128925884099</v>
      </c>
      <c r="K35" s="17">
        <f>Table1[[#This Row],[Adjusted % (W/Floors)]]*$K$70</f>
        <v>10396.128925884099</v>
      </c>
      <c r="L35" s="17">
        <f>Table1[[#This Row],[Adjusted % (W/Floors)]]*$L$70</f>
        <v>10396.128925884099</v>
      </c>
      <c r="M35" s="17">
        <f>Table1[[#This Row],[Adjusted % (W/Floors)]]*$M$70</f>
        <v>10396.128925884103</v>
      </c>
      <c r="N35" s="17">
        <f>Table1[[#This Row],[Adjusted % (W/Floors)]]*$N$70</f>
        <v>10396.128925884103</v>
      </c>
      <c r="O35" s="17">
        <f>Table1[[#This Row],[Adjusted % (W/Floors)]]*$O$70</f>
        <v>10396.128925884103</v>
      </c>
      <c r="P35" s="17">
        <f>SUM(Table1[[#This Row],[Payment 1]:[Payment 13]])</f>
        <v>329820.35530517605</v>
      </c>
    </row>
    <row r="36" spans="1:16" x14ac:dyDescent="0.3">
      <c r="A36" t="s">
        <v>60</v>
      </c>
      <c r="B36">
        <v>1.3843301419623864E-2</v>
      </c>
      <c r="C36" s="17">
        <f>Table1[[#This Row],[Adjusted % (W/Floors)]]*$C$70</f>
        <v>1209597.3920537243</v>
      </c>
      <c r="D36" s="17">
        <f>Table1[[#This Row],[Adjusted % (W/Floors)]]*$D$70</f>
        <v>252656.52571398229</v>
      </c>
      <c r="E36" s="17">
        <f>Table1[[#This Row],[Adjusted % (W/Floors)]]*$E$70</f>
        <v>270197.73732356785</v>
      </c>
      <c r="F36" s="17">
        <f>Table1[[#This Row],[Adjusted % (W/Floors)]]*$F$70</f>
        <v>210073.82690475951</v>
      </c>
      <c r="G36" s="17">
        <f>Table1[[#This Row],[Adjusted % (W/Floors)]]*$G$70</f>
        <v>210073.82690475951</v>
      </c>
      <c r="H36" s="17">
        <f>Table1[[#This Row],[Adjusted % (W/Floors)]]*$H$70</f>
        <v>223961.71019966065</v>
      </c>
      <c r="I36" s="17">
        <f>Table1[[#This Row],[Adjusted % (W/Floors)]]*$I$70</f>
        <v>215018.36977991523</v>
      </c>
      <c r="J36" s="17">
        <f>Table1[[#This Row],[Adjusted % (W/Floors)]]*$J$70</f>
        <v>100740.47495244176</v>
      </c>
      <c r="K36" s="17">
        <f>Table1[[#This Row],[Adjusted % (W/Floors)]]*$K$70</f>
        <v>100740.47495244176</v>
      </c>
      <c r="L36" s="17">
        <f>Table1[[#This Row],[Adjusted % (W/Floors)]]*$L$70</f>
        <v>100740.47495244176</v>
      </c>
      <c r="M36" s="17">
        <f>Table1[[#This Row],[Adjusted % (W/Floors)]]*$M$70</f>
        <v>100740.47495244179</v>
      </c>
      <c r="N36" s="17">
        <f>Table1[[#This Row],[Adjusted % (W/Floors)]]*$N$70</f>
        <v>100740.47495244179</v>
      </c>
      <c r="O36" s="17">
        <f>Table1[[#This Row],[Adjusted % (W/Floors)]]*$O$70</f>
        <v>100740.47495244179</v>
      </c>
      <c r="P36" s="17">
        <f>SUM(Table1[[#This Row],[Payment 1]:[Payment 13]])</f>
        <v>3196022.2385950191</v>
      </c>
    </row>
    <row r="37" spans="1:16" x14ac:dyDescent="0.3">
      <c r="A37" t="s">
        <v>61</v>
      </c>
      <c r="B37">
        <v>2.2518965991996025E-2</v>
      </c>
      <c r="C37" s="17">
        <f>Table1[[#This Row],[Adjusted % (W/Floors)]]*$C$70</f>
        <v>1967657.9820079512</v>
      </c>
      <c r="D37" s="17">
        <f>Table1[[#This Row],[Adjusted % (W/Floors)]]*$D$70</f>
        <v>410997.60366003989</v>
      </c>
      <c r="E37" s="17">
        <f>Table1[[#This Row],[Adjusted % (W/Floors)]]*$E$70</f>
        <v>439531.97820849181</v>
      </c>
      <c r="F37" s="17">
        <f>Table1[[#This Row],[Adjusted % (W/Floors)]]*$F$70</f>
        <v>341728.11965003615</v>
      </c>
      <c r="G37" s="17">
        <f>Table1[[#This Row],[Adjusted % (W/Floors)]]*$G$70</f>
        <v>341728.11965003615</v>
      </c>
      <c r="H37" s="17">
        <f>Table1[[#This Row],[Adjusted % (W/Floors)]]*$H$70</f>
        <v>364319.60719616123</v>
      </c>
      <c r="I37" s="17">
        <f>Table1[[#This Row],[Adjusted % (W/Floors)]]*$I$70</f>
        <v>349771.43168063002</v>
      </c>
      <c r="J37" s="17">
        <f>Table1[[#This Row],[Adjusted % (W/Floors)]]*$J$70</f>
        <v>163875.02234515405</v>
      </c>
      <c r="K37" s="17">
        <f>Table1[[#This Row],[Adjusted % (W/Floors)]]*$K$70</f>
        <v>163875.02234515405</v>
      </c>
      <c r="L37" s="17">
        <f>Table1[[#This Row],[Adjusted % (W/Floors)]]*$L$70</f>
        <v>163875.02234515405</v>
      </c>
      <c r="M37" s="17">
        <f>Table1[[#This Row],[Adjusted % (W/Floors)]]*$M$70</f>
        <v>163875.02234515408</v>
      </c>
      <c r="N37" s="17">
        <f>Table1[[#This Row],[Adjusted % (W/Floors)]]*$N$70</f>
        <v>163875.02234515408</v>
      </c>
      <c r="O37" s="17">
        <f>Table1[[#This Row],[Adjusted % (W/Floors)]]*$O$70</f>
        <v>163875.02234515408</v>
      </c>
      <c r="P37" s="17">
        <f>SUM(Table1[[#This Row],[Payment 1]:[Payment 13]])</f>
        <v>5198984.976124268</v>
      </c>
    </row>
    <row r="38" spans="1:16" x14ac:dyDescent="0.3">
      <c r="A38" t="s">
        <v>62</v>
      </c>
      <c r="B38">
        <v>9.8284459899569149E-3</v>
      </c>
      <c r="C38" s="17">
        <f>Table1[[#This Row],[Adjusted % (W/Floors)]]*$C$70</f>
        <v>858788.10819939431</v>
      </c>
      <c r="D38" s="17">
        <f>Table1[[#This Row],[Adjusted % (W/Floors)]]*$D$70</f>
        <v>179380.6940785016</v>
      </c>
      <c r="E38" s="17">
        <f>Table1[[#This Row],[Adjusted % (W/Floors)]]*$E$70</f>
        <v>191834.57669488556</v>
      </c>
      <c r="F38" s="17">
        <f>Table1[[#This Row],[Adjusted % (W/Floors)]]*$F$70</f>
        <v>149147.89464239567</v>
      </c>
      <c r="G38" s="17">
        <f>Table1[[#This Row],[Adjusted % (W/Floors)]]*$G$70</f>
        <v>149147.89464239567</v>
      </c>
      <c r="H38" s="17">
        <f>Table1[[#This Row],[Adjusted % (W/Floors)]]*$H$70</f>
        <v>159007.99280404285</v>
      </c>
      <c r="I38" s="17">
        <f>Table1[[#This Row],[Adjusted % (W/Floors)]]*$I$70</f>
        <v>152658.41363785759</v>
      </c>
      <c r="J38" s="17">
        <f>Table1[[#This Row],[Adjusted % (W/Floors)]]*$J$70</f>
        <v>71523.56847977842</v>
      </c>
      <c r="K38" s="17">
        <f>Table1[[#This Row],[Adjusted % (W/Floors)]]*$K$70</f>
        <v>71523.56847977842</v>
      </c>
      <c r="L38" s="17">
        <f>Table1[[#This Row],[Adjusted % (W/Floors)]]*$L$70</f>
        <v>71523.56847977842</v>
      </c>
      <c r="M38" s="17">
        <f>Table1[[#This Row],[Adjusted % (W/Floors)]]*$M$70</f>
        <v>71523.568479778434</v>
      </c>
      <c r="N38" s="17">
        <f>Table1[[#This Row],[Adjusted % (W/Floors)]]*$N$70</f>
        <v>71523.568479778434</v>
      </c>
      <c r="O38" s="17">
        <f>Table1[[#This Row],[Adjusted % (W/Floors)]]*$O$70</f>
        <v>71523.568479778434</v>
      </c>
      <c r="P38" s="17">
        <f>SUM(Table1[[#This Row],[Payment 1]:[Payment 13]])</f>
        <v>2269106.9855781435</v>
      </c>
    </row>
    <row r="39" spans="1:16" x14ac:dyDescent="0.3">
      <c r="A39" t="s">
        <v>63</v>
      </c>
      <c r="B39">
        <v>5.992469918184644E-3</v>
      </c>
      <c r="C39" s="17">
        <f>Table1[[#This Row],[Adjusted % (W/Floors)]]*$C$70</f>
        <v>523608.91129057616</v>
      </c>
      <c r="D39" s="17">
        <f>Table1[[#This Row],[Adjusted % (W/Floors)]]*$D$70</f>
        <v>109369.62102319245</v>
      </c>
      <c r="E39" s="17">
        <f>Table1[[#This Row],[Adjusted % (W/Floors)]]*$E$70</f>
        <v>116962.83738919199</v>
      </c>
      <c r="F39" s="17">
        <f>Table1[[#This Row],[Adjusted % (W/Floors)]]*$F$70</f>
        <v>90936.478963043759</v>
      </c>
      <c r="G39" s="17">
        <f>Table1[[#This Row],[Adjusted % (W/Floors)]]*$G$70</f>
        <v>90936.478963043759</v>
      </c>
      <c r="H39" s="17">
        <f>Table1[[#This Row],[Adjusted % (W/Floors)]]*$H$70</f>
        <v>96948.247424140762</v>
      </c>
      <c r="I39" s="17">
        <f>Table1[[#This Row],[Adjusted % (W/Floors)]]*$I$70</f>
        <v>93076.86611061696</v>
      </c>
      <c r="J39" s="17">
        <f>Table1[[#This Row],[Adjusted % (W/Floors)]]*$J$70</f>
        <v>43608.402894440733</v>
      </c>
      <c r="K39" s="17">
        <f>Table1[[#This Row],[Adjusted % (W/Floors)]]*$K$70</f>
        <v>43608.402894440733</v>
      </c>
      <c r="L39" s="17">
        <f>Table1[[#This Row],[Adjusted % (W/Floors)]]*$L$70</f>
        <v>43608.402894440733</v>
      </c>
      <c r="M39" s="17">
        <f>Table1[[#This Row],[Adjusted % (W/Floors)]]*$M$70</f>
        <v>43608.402894440747</v>
      </c>
      <c r="N39" s="17">
        <f>Table1[[#This Row],[Adjusted % (W/Floors)]]*$N$70</f>
        <v>43608.402894440747</v>
      </c>
      <c r="O39" s="17">
        <f>Table1[[#This Row],[Adjusted % (W/Floors)]]*$O$70</f>
        <v>43608.402894440747</v>
      </c>
      <c r="P39" s="17">
        <f>SUM(Table1[[#This Row],[Payment 1]:[Payment 13]])</f>
        <v>1383489.8585304508</v>
      </c>
    </row>
    <row r="40" spans="1:16" x14ac:dyDescent="0.3">
      <c r="A40" t="s">
        <v>64</v>
      </c>
      <c r="B40">
        <v>2.0938862140081473E-2</v>
      </c>
      <c r="C40" s="17">
        <f>Table1[[#This Row],[Adjusted % (W/Floors)]]*$C$70</f>
        <v>1829591.9643352812</v>
      </c>
      <c r="D40" s="17">
        <f>Table1[[#This Row],[Adjusted % (W/Floors)]]*$D$70</f>
        <v>382158.85072166327</v>
      </c>
      <c r="E40" s="17">
        <f>Table1[[#This Row],[Adjusted % (W/Floors)]]*$E$70</f>
        <v>408691.03408815735</v>
      </c>
      <c r="F40" s="17">
        <f>Table1[[#This Row],[Adjusted % (W/Floors)]]*$F$70</f>
        <v>317749.84647539479</v>
      </c>
      <c r="G40" s="17">
        <f>Table1[[#This Row],[Adjusted % (W/Floors)]]*$G$70</f>
        <v>317749.84647539479</v>
      </c>
      <c r="H40" s="17">
        <f>Table1[[#This Row],[Adjusted % (W/Floors)]]*$H$70</f>
        <v>338756.14149958972</v>
      </c>
      <c r="I40" s="17">
        <f>Table1[[#This Row],[Adjusted % (W/Floors)]]*$I$70</f>
        <v>325228.77787118469</v>
      </c>
      <c r="J40" s="17">
        <f>Table1[[#This Row],[Adjusted % (W/Floors)]]*$J$70</f>
        <v>152376.29038151962</v>
      </c>
      <c r="K40" s="17">
        <f>Table1[[#This Row],[Adjusted % (W/Floors)]]*$K$70</f>
        <v>152376.29038151962</v>
      </c>
      <c r="L40" s="17">
        <f>Table1[[#This Row],[Adjusted % (W/Floors)]]*$L$70</f>
        <v>152376.29038151962</v>
      </c>
      <c r="M40" s="17">
        <f>Table1[[#This Row],[Adjusted % (W/Floors)]]*$M$70</f>
        <v>152376.29038151965</v>
      </c>
      <c r="N40" s="17">
        <f>Table1[[#This Row],[Adjusted % (W/Floors)]]*$N$70</f>
        <v>152376.29038151965</v>
      </c>
      <c r="O40" s="17">
        <f>Table1[[#This Row],[Adjusted % (W/Floors)]]*$O$70</f>
        <v>152376.29038151965</v>
      </c>
      <c r="P40" s="17">
        <f>SUM(Table1[[#This Row],[Payment 1]:[Payment 13]])</f>
        <v>4834184.2037557848</v>
      </c>
    </row>
    <row r="41" spans="1:16" x14ac:dyDescent="0.3">
      <c r="A41" t="s">
        <v>65</v>
      </c>
      <c r="B41">
        <v>3.2615731018794961E-2</v>
      </c>
      <c r="C41" s="17">
        <f>Table1[[#This Row],[Adjusted % (W/Floors)]]*$C$70</f>
        <v>2849891.2206256134</v>
      </c>
      <c r="D41" s="17">
        <f>Table1[[#This Row],[Adjusted % (W/Floors)]]*$D$70</f>
        <v>595275.43560879887</v>
      </c>
      <c r="E41" s="17">
        <f>Table1[[#This Row],[Adjusted % (W/Floors)]]*$E$70</f>
        <v>636603.68688786053</v>
      </c>
      <c r="F41" s="17">
        <f>Table1[[#This Row],[Adjusted % (W/Floors)]]*$F$70</f>
        <v>494947.78916694969</v>
      </c>
      <c r="G41" s="17">
        <f>Table1[[#This Row],[Adjusted % (W/Floors)]]*$G$70</f>
        <v>494947.78916694969</v>
      </c>
      <c r="H41" s="17">
        <f>Table1[[#This Row],[Adjusted % (W/Floors)]]*$H$70</f>
        <v>527668.55802377767</v>
      </c>
      <c r="I41" s="17">
        <f>Table1[[#This Row],[Adjusted % (W/Floors)]]*$I$70</f>
        <v>506597.45824071317</v>
      </c>
      <c r="J41" s="17">
        <f>Table1[[#This Row],[Adjusted % (W/Floors)]]*$J$70</f>
        <v>237351.20215592097</v>
      </c>
      <c r="K41" s="17">
        <f>Table1[[#This Row],[Adjusted % (W/Floors)]]*$K$70</f>
        <v>237351.20215592097</v>
      </c>
      <c r="L41" s="17">
        <f>Table1[[#This Row],[Adjusted % (W/Floors)]]*$L$70</f>
        <v>237351.20215592097</v>
      </c>
      <c r="M41" s="17">
        <f>Table1[[#This Row],[Adjusted % (W/Floors)]]*$M$70</f>
        <v>237351.20215592103</v>
      </c>
      <c r="N41" s="17">
        <f>Table1[[#This Row],[Adjusted % (W/Floors)]]*$N$70</f>
        <v>237351.20215592103</v>
      </c>
      <c r="O41" s="17">
        <f>Table1[[#This Row],[Adjusted % (W/Floors)]]*$O$70</f>
        <v>237351.20215592103</v>
      </c>
      <c r="P41" s="17">
        <f>SUM(Table1[[#This Row],[Payment 1]:[Payment 13]])</f>
        <v>7530039.150656187</v>
      </c>
    </row>
    <row r="42" spans="1:16" x14ac:dyDescent="0.3">
      <c r="A42" t="s">
        <v>66</v>
      </c>
      <c r="B42">
        <v>6.3800418602897781E-3</v>
      </c>
      <c r="C42" s="17">
        <f>Table1[[#This Row],[Adjusted % (W/Floors)]]*$C$70</f>
        <v>557474.0996725182</v>
      </c>
      <c r="D42" s="17">
        <f>Table1[[#This Row],[Adjusted % (W/Floors)]]*$D$70</f>
        <v>116443.26461356401</v>
      </c>
      <c r="E42" s="17">
        <f>Table1[[#This Row],[Adjusted % (W/Floors)]]*$E$70</f>
        <v>124527.58358900085</v>
      </c>
      <c r="F42" s="17">
        <f>Table1[[#This Row],[Adjusted % (W/Floors)]]*$F$70</f>
        <v>96817.931559569508</v>
      </c>
      <c r="G42" s="17">
        <f>Table1[[#This Row],[Adjusted % (W/Floors)]]*$G$70</f>
        <v>96817.931559569508</v>
      </c>
      <c r="H42" s="17">
        <f>Table1[[#This Row],[Adjusted % (W/Floors)]]*$H$70</f>
        <v>103218.52012485814</v>
      </c>
      <c r="I42" s="17">
        <f>Table1[[#This Row],[Adjusted % (W/Floors)]]*$I$70</f>
        <v>99096.751442720488</v>
      </c>
      <c r="J42" s="17">
        <f>Table1[[#This Row],[Adjusted % (W/Floors)]]*$J$70</f>
        <v>46428.841483646313</v>
      </c>
      <c r="K42" s="17">
        <f>Table1[[#This Row],[Adjusted % (W/Floors)]]*$K$70</f>
        <v>46428.841483646313</v>
      </c>
      <c r="L42" s="17">
        <f>Table1[[#This Row],[Adjusted % (W/Floors)]]*$L$70</f>
        <v>46428.841483646313</v>
      </c>
      <c r="M42" s="17">
        <f>Table1[[#This Row],[Adjusted % (W/Floors)]]*$M$70</f>
        <v>46428.84148364632</v>
      </c>
      <c r="N42" s="17">
        <f>Table1[[#This Row],[Adjusted % (W/Floors)]]*$N$70</f>
        <v>46428.84148364632</v>
      </c>
      <c r="O42" s="17">
        <f>Table1[[#This Row],[Adjusted % (W/Floors)]]*$O$70</f>
        <v>46428.84148364632</v>
      </c>
      <c r="P42" s="17">
        <f>SUM(Table1[[#This Row],[Payment 1]:[Payment 13]])</f>
        <v>1472969.1314636786</v>
      </c>
    </row>
    <row r="43" spans="1:16" x14ac:dyDescent="0.3">
      <c r="A43" t="s">
        <v>67</v>
      </c>
      <c r="B43">
        <v>1.7887964361250118E-3</v>
      </c>
      <c r="C43" s="17">
        <f>Table1[[#This Row],[Adjusted % (W/Floors)]]*$C$70</f>
        <v>156301.11910910055</v>
      </c>
      <c r="D43" s="17">
        <f>Table1[[#This Row],[Adjusted % (W/Floors)]]*$D$70</f>
        <v>32647.637948576787</v>
      </c>
      <c r="E43" s="17">
        <f>Table1[[#This Row],[Adjusted % (W/Floors)]]*$E$70</f>
        <v>34914.268997154642</v>
      </c>
      <c r="F43" s="17">
        <f>Table1[[#This Row],[Adjusted % (W/Floors)]]*$F$70</f>
        <v>27145.209188155255</v>
      </c>
      <c r="G43" s="17">
        <f>Table1[[#This Row],[Adjusted % (W/Floors)]]*$G$70</f>
        <v>27145.209188155255</v>
      </c>
      <c r="H43" s="17">
        <f>Table1[[#This Row],[Adjusted % (W/Floors)]]*$H$70</f>
        <v>28939.76638157323</v>
      </c>
      <c r="I43" s="17">
        <f>Table1[[#This Row],[Adjusted % (W/Floors)]]*$I$70</f>
        <v>27784.130526731889</v>
      </c>
      <c r="J43" s="17">
        <f>Table1[[#This Row],[Adjusted % (W/Floors)]]*$J$70</f>
        <v>13017.429665514366</v>
      </c>
      <c r="K43" s="17">
        <f>Table1[[#This Row],[Adjusted % (W/Floors)]]*$K$70</f>
        <v>13017.429665514366</v>
      </c>
      <c r="L43" s="17">
        <f>Table1[[#This Row],[Adjusted % (W/Floors)]]*$L$70</f>
        <v>13017.429665514366</v>
      </c>
      <c r="M43" s="17">
        <f>Table1[[#This Row],[Adjusted % (W/Floors)]]*$M$70</f>
        <v>13017.42966551437</v>
      </c>
      <c r="N43" s="17">
        <f>Table1[[#This Row],[Adjusted % (W/Floors)]]*$N$70</f>
        <v>13017.42966551437</v>
      </c>
      <c r="O43" s="17">
        <f>Table1[[#This Row],[Adjusted % (W/Floors)]]*$O$70</f>
        <v>13017.42966551437</v>
      </c>
      <c r="P43" s="17">
        <f>SUM(Table1[[#This Row],[Payment 1]:[Payment 13]])</f>
        <v>412981.9193325339</v>
      </c>
    </row>
    <row r="44" spans="1:16" x14ac:dyDescent="0.3">
      <c r="A44" t="s">
        <v>68</v>
      </c>
      <c r="B44">
        <v>9.2520559954590974E-3</v>
      </c>
      <c r="C44" s="17">
        <f>Table1[[#This Row],[Adjusted % (W/Floors)]]*$C$70</f>
        <v>808424.41149030649</v>
      </c>
      <c r="D44" s="17">
        <f>Table1[[#This Row],[Adjusted % (W/Floors)]]*$D$70</f>
        <v>168860.89904899508</v>
      </c>
      <c r="E44" s="17">
        <f>Table1[[#This Row],[Adjusted % (W/Floors)]]*$E$70</f>
        <v>180584.42273172166</v>
      </c>
      <c r="F44" s="17">
        <f>Table1[[#This Row],[Adjusted % (W/Floors)]]*$F$70</f>
        <v>140401.10453334523</v>
      </c>
      <c r="G44" s="17">
        <f>Table1[[#This Row],[Adjusted % (W/Floors)]]*$G$70</f>
        <v>140401.10453334523</v>
      </c>
      <c r="H44" s="17">
        <f>Table1[[#This Row],[Adjusted % (W/Floors)]]*$H$70</f>
        <v>149682.95645637574</v>
      </c>
      <c r="I44" s="17">
        <f>Table1[[#This Row],[Adjusted % (W/Floors)]]*$I$70</f>
        <v>143705.74886392662</v>
      </c>
      <c r="J44" s="17">
        <f>Table1[[#This Row],[Adjusted % (W/Floors)]]*$J$70</f>
        <v>67329.063134309807</v>
      </c>
      <c r="K44" s="17">
        <f>Table1[[#This Row],[Adjusted % (W/Floors)]]*$K$70</f>
        <v>67329.063134309807</v>
      </c>
      <c r="L44" s="17">
        <f>Table1[[#This Row],[Adjusted % (W/Floors)]]*$L$70</f>
        <v>67329.063134309807</v>
      </c>
      <c r="M44" s="17">
        <f>Table1[[#This Row],[Adjusted % (W/Floors)]]*$M$70</f>
        <v>67329.063134309836</v>
      </c>
      <c r="N44" s="17">
        <f>Table1[[#This Row],[Adjusted % (W/Floors)]]*$N$70</f>
        <v>67329.063134309836</v>
      </c>
      <c r="O44" s="17">
        <f>Table1[[#This Row],[Adjusted % (W/Floors)]]*$O$70</f>
        <v>67329.063134309836</v>
      </c>
      <c r="P44" s="17">
        <f>SUM(Table1[[#This Row],[Payment 1]:[Payment 13]])</f>
        <v>2136035.0264638751</v>
      </c>
    </row>
    <row r="45" spans="1:16" x14ac:dyDescent="0.3">
      <c r="A45" t="s">
        <v>69</v>
      </c>
      <c r="B45">
        <v>1.7192327175845658E-3</v>
      </c>
      <c r="C45" s="17">
        <f>Table1[[#This Row],[Adjusted % (W/Floors)]]*$C$70</f>
        <v>150222.79357262104</v>
      </c>
      <c r="D45" s="17">
        <f>Table1[[#This Row],[Adjusted % (W/Floors)]]*$D$70</f>
        <v>31378.018302987071</v>
      </c>
      <c r="E45" s="17">
        <f>Table1[[#This Row],[Adjusted % (W/Floors)]]*$E$70</f>
        <v>33556.503332759188</v>
      </c>
      <c r="F45" s="17">
        <f>Table1[[#This Row],[Adjusted % (W/Floors)]]*$F$70</f>
        <v>26089.571076656695</v>
      </c>
      <c r="G45" s="17">
        <f>Table1[[#This Row],[Adjusted % (W/Floors)]]*$G$70</f>
        <v>26089.571076656695</v>
      </c>
      <c r="H45" s="17">
        <f>Table1[[#This Row],[Adjusted % (W/Floors)]]*$H$70</f>
        <v>27814.340523975352</v>
      </c>
      <c r="I45" s="17">
        <f>Table1[[#This Row],[Adjusted % (W/Floors)]]*$I$70</f>
        <v>26703.645684063344</v>
      </c>
      <c r="J45" s="17">
        <f>Table1[[#This Row],[Adjusted % (W/Floors)]]*$J$70</f>
        <v>12511.200563597367</v>
      </c>
      <c r="K45" s="17">
        <f>Table1[[#This Row],[Adjusted % (W/Floors)]]*$K$70</f>
        <v>12511.200563597367</v>
      </c>
      <c r="L45" s="17">
        <f>Table1[[#This Row],[Adjusted % (W/Floors)]]*$L$70</f>
        <v>12511.200563597367</v>
      </c>
      <c r="M45" s="17">
        <f>Table1[[#This Row],[Adjusted % (W/Floors)]]*$M$70</f>
        <v>12511.200563597371</v>
      </c>
      <c r="N45" s="17">
        <f>Table1[[#This Row],[Adjusted % (W/Floors)]]*$N$70</f>
        <v>12511.200563597371</v>
      </c>
      <c r="O45" s="17">
        <f>Table1[[#This Row],[Adjusted % (W/Floors)]]*$O$70</f>
        <v>12511.200563597371</v>
      </c>
      <c r="P45" s="17">
        <f>SUM(Table1[[#This Row],[Payment 1]:[Payment 13]])</f>
        <v>396921.64695130364</v>
      </c>
    </row>
    <row r="46" spans="1:16" x14ac:dyDescent="0.3">
      <c r="A46" t="s">
        <v>70</v>
      </c>
      <c r="B46">
        <v>8.2185274831374621E-3</v>
      </c>
      <c r="C46" s="17">
        <f>Table1[[#This Row],[Adjusted % (W/Floors)]]*$C$70</f>
        <v>718116.9512088137</v>
      </c>
      <c r="D46" s="17">
        <f>Table1[[#This Row],[Adjusted % (W/Floors)]]*$D$70</f>
        <v>149997.78863666541</v>
      </c>
      <c r="E46" s="17">
        <f>Table1[[#This Row],[Adjusted % (W/Floors)]]*$E$70</f>
        <v>160411.70113708582</v>
      </c>
      <c r="F46" s="17">
        <f>Table1[[#This Row],[Adjusted % (W/Floors)]]*$F$70</f>
        <v>124717.18035823412</v>
      </c>
      <c r="G46" s="17">
        <f>Table1[[#This Row],[Adjusted % (W/Floors)]]*$G$70</f>
        <v>124717.18035823412</v>
      </c>
      <c r="H46" s="17">
        <f>Table1[[#This Row],[Adjusted % (W/Floors)]]*$H$70</f>
        <v>132962.1753259773</v>
      </c>
      <c r="I46" s="17">
        <f>Table1[[#This Row],[Adjusted % (W/Floors)]]*$I$70</f>
        <v>127652.66953666184</v>
      </c>
      <c r="J46" s="17">
        <f>Table1[[#This Row],[Adjusted % (W/Floors)]]*$J$70</f>
        <v>59807.869305460779</v>
      </c>
      <c r="K46" s="17">
        <f>Table1[[#This Row],[Adjusted % (W/Floors)]]*$K$70</f>
        <v>59807.869305460779</v>
      </c>
      <c r="L46" s="17">
        <f>Table1[[#This Row],[Adjusted % (W/Floors)]]*$L$70</f>
        <v>59807.869305460779</v>
      </c>
      <c r="M46" s="17">
        <f>Table1[[#This Row],[Adjusted % (W/Floors)]]*$M$70</f>
        <v>59807.869305460794</v>
      </c>
      <c r="N46" s="17">
        <f>Table1[[#This Row],[Adjusted % (W/Floors)]]*$N$70</f>
        <v>59807.869305460794</v>
      </c>
      <c r="O46" s="17">
        <f>Table1[[#This Row],[Adjusted % (W/Floors)]]*$O$70</f>
        <v>59807.869305460794</v>
      </c>
      <c r="P46" s="17">
        <f>SUM(Table1[[#This Row],[Payment 1]:[Payment 13]])</f>
        <v>1897422.8623944367</v>
      </c>
    </row>
    <row r="47" spans="1:16" x14ac:dyDescent="0.3">
      <c r="A47" t="s">
        <v>71</v>
      </c>
      <c r="B47">
        <v>5.0155878215931968E-2</v>
      </c>
      <c r="C47" s="17">
        <f>Table1[[#This Row],[Adjusted % (W/Floors)]]*$C$70</f>
        <v>4382510.9088612134</v>
      </c>
      <c r="D47" s="17">
        <f>Table1[[#This Row],[Adjusted % (W/Floors)]]*$D$70</f>
        <v>915403.74294004904</v>
      </c>
      <c r="E47" s="17">
        <f>Table1[[#This Row],[Adjusted % (W/Floors)]]*$E$70</f>
        <v>978957.57642106351</v>
      </c>
      <c r="F47" s="17">
        <f>Table1[[#This Row],[Adjusted % (W/Floors)]]*$F$70</f>
        <v>761121.71217002766</v>
      </c>
      <c r="G47" s="17">
        <f>Table1[[#This Row],[Adjusted % (W/Floors)]]*$G$70</f>
        <v>761121.71217002766</v>
      </c>
      <c r="H47" s="17">
        <f>Table1[[#This Row],[Adjusted % (W/Floors)]]*$H$70</f>
        <v>811439.11566372868</v>
      </c>
      <c r="I47" s="17">
        <f>Table1[[#This Row],[Adjusted % (W/Floors)]]*$I$70</f>
        <v>779036.36148397019</v>
      </c>
      <c r="J47" s="17">
        <f>Table1[[#This Row],[Adjusted % (W/Floors)]]*$J$70</f>
        <v>364994.36369760858</v>
      </c>
      <c r="K47" s="17">
        <f>Table1[[#This Row],[Adjusted % (W/Floors)]]*$K$70</f>
        <v>364994.36369760858</v>
      </c>
      <c r="L47" s="17">
        <f>Table1[[#This Row],[Adjusted % (W/Floors)]]*$L$70</f>
        <v>364994.36369760858</v>
      </c>
      <c r="M47" s="17">
        <f>Table1[[#This Row],[Adjusted % (W/Floors)]]*$M$70</f>
        <v>364994.36369760864</v>
      </c>
      <c r="N47" s="17">
        <f>Table1[[#This Row],[Adjusted % (W/Floors)]]*$N$70</f>
        <v>364994.36369760864</v>
      </c>
      <c r="O47" s="17">
        <f>Table1[[#This Row],[Adjusted % (W/Floors)]]*$O$70</f>
        <v>364994.36369760864</v>
      </c>
      <c r="P47" s="17">
        <f>SUM(Table1[[#This Row],[Payment 1]:[Payment 13]])</f>
        <v>11579557.311895734</v>
      </c>
    </row>
    <row r="48" spans="1:16" x14ac:dyDescent="0.3">
      <c r="A48" t="s">
        <v>72</v>
      </c>
      <c r="B48">
        <v>1.4285891185863999E-3</v>
      </c>
      <c r="C48" s="17">
        <f>Table1[[#This Row],[Adjusted % (W/Floors)]]*$C$70</f>
        <v>124826.99175421044</v>
      </c>
      <c r="D48" s="17">
        <f>Table1[[#This Row],[Adjusted % (W/Floors)]]*$D$70</f>
        <v>26073.430927623853</v>
      </c>
      <c r="E48" s="17">
        <f>Table1[[#This Row],[Adjusted % (W/Floors)]]*$E$70</f>
        <v>27883.633802839169</v>
      </c>
      <c r="F48" s="17">
        <f>Table1[[#This Row],[Adjusted % (W/Floors)]]*$F$70</f>
        <v>21679.018184962453</v>
      </c>
      <c r="G48" s="17">
        <f>Table1[[#This Row],[Adjusted % (W/Floors)]]*$G$70</f>
        <v>21679.018184962453</v>
      </c>
      <c r="H48" s="17">
        <f>Table1[[#This Row],[Adjusted % (W/Floors)]]*$H$70</f>
        <v>23112.20802558594</v>
      </c>
      <c r="I48" s="17">
        <f>Table1[[#This Row],[Adjusted % (W/Floors)]]*$I$70</f>
        <v>22189.280869687216</v>
      </c>
      <c r="J48" s="17">
        <f>Table1[[#This Row],[Adjusted % (W/Floors)]]*$J$70</f>
        <v>10396.128925884099</v>
      </c>
      <c r="K48" s="17">
        <f>Table1[[#This Row],[Adjusted % (W/Floors)]]*$K$70</f>
        <v>10396.128925884099</v>
      </c>
      <c r="L48" s="17">
        <f>Table1[[#This Row],[Adjusted % (W/Floors)]]*$L$70</f>
        <v>10396.128925884099</v>
      </c>
      <c r="M48" s="17">
        <f>Table1[[#This Row],[Adjusted % (W/Floors)]]*$M$70</f>
        <v>10396.128925884103</v>
      </c>
      <c r="N48" s="17">
        <f>Table1[[#This Row],[Adjusted % (W/Floors)]]*$N$70</f>
        <v>10396.128925884103</v>
      </c>
      <c r="O48" s="17">
        <f>Table1[[#This Row],[Adjusted % (W/Floors)]]*$O$70</f>
        <v>10396.128925884103</v>
      </c>
      <c r="P48" s="17">
        <f>SUM(Table1[[#This Row],[Payment 1]:[Payment 13]])</f>
        <v>329820.35530517605</v>
      </c>
    </row>
    <row r="49" spans="1:16" x14ac:dyDescent="0.3">
      <c r="A49" t="s">
        <v>73</v>
      </c>
      <c r="B49">
        <v>1.6755064618428732E-2</v>
      </c>
      <c r="C49" s="17">
        <f>Table1[[#This Row],[Adjusted % (W/Floors)]]*$C$70</f>
        <v>1464020.8900900816</v>
      </c>
      <c r="D49" s="17">
        <f>Table1[[#This Row],[Adjusted % (W/Floors)]]*$D$70</f>
        <v>305799.62729154358</v>
      </c>
      <c r="E49" s="17">
        <f>Table1[[#This Row],[Adjusted % (W/Floors)]]*$E$70</f>
        <v>327030.41069321887</v>
      </c>
      <c r="F49" s="17">
        <f>Table1[[#This Row],[Adjusted % (W/Floors)]]*$F$70</f>
        <v>254260.19688051366</v>
      </c>
      <c r="G49" s="17">
        <f>Table1[[#This Row],[Adjusted % (W/Floors)]]*$G$70</f>
        <v>254260.19688051366</v>
      </c>
      <c r="H49" s="17">
        <f>Table1[[#This Row],[Adjusted % (W/Floors)]]*$H$70</f>
        <v>271069.22060728213</v>
      </c>
      <c r="I49" s="17">
        <f>Table1[[#This Row],[Adjusted % (W/Floors)]]*$I$70</f>
        <v>260244.76175203954</v>
      </c>
      <c r="J49" s="17">
        <f>Table1[[#This Row],[Adjusted % (W/Floors)]]*$J$70</f>
        <v>121929.95849433907</v>
      </c>
      <c r="K49" s="17">
        <f>Table1[[#This Row],[Adjusted % (W/Floors)]]*$K$70</f>
        <v>121929.95849433907</v>
      </c>
      <c r="L49" s="17">
        <f>Table1[[#This Row],[Adjusted % (W/Floors)]]*$L$70</f>
        <v>121929.95849433907</v>
      </c>
      <c r="M49" s="17">
        <f>Table1[[#This Row],[Adjusted % (W/Floors)]]*$M$70</f>
        <v>121929.95849433909</v>
      </c>
      <c r="N49" s="17">
        <f>Table1[[#This Row],[Adjusted % (W/Floors)]]*$N$70</f>
        <v>121929.95849433909</v>
      </c>
      <c r="O49" s="17">
        <f>Table1[[#This Row],[Adjusted % (W/Floors)]]*$O$70</f>
        <v>121929.95849433909</v>
      </c>
      <c r="P49" s="17">
        <f>SUM(Table1[[#This Row],[Payment 1]:[Payment 13]])</f>
        <v>3868265.0551612284</v>
      </c>
    </row>
    <row r="50" spans="1:16" x14ac:dyDescent="0.3">
      <c r="A50" t="s">
        <v>74</v>
      </c>
      <c r="B50">
        <v>5.7440254131604015E-3</v>
      </c>
      <c r="C50" s="17">
        <f>Table1[[#This Row],[Adjusted % (W/Floors)]]*$C$70</f>
        <v>501900.37398159318</v>
      </c>
      <c r="D50" s="17">
        <f>Table1[[#This Row],[Adjusted % (W/Floors)]]*$D$70</f>
        <v>104835.2167240003</v>
      </c>
      <c r="E50" s="17">
        <f>Table1[[#This Row],[Adjusted % (W/Floors)]]*$E$70</f>
        <v>112113.62251817403</v>
      </c>
      <c r="F50" s="17">
        <f>Table1[[#This Row],[Adjusted % (W/Floors)]]*$F$70</f>
        <v>87166.302589515108</v>
      </c>
      <c r="G50" s="17">
        <f>Table1[[#This Row],[Adjusted % (W/Floors)]]*$G$70</f>
        <v>87166.302589515108</v>
      </c>
      <c r="H50" s="17">
        <f>Table1[[#This Row],[Adjusted % (W/Floors)]]*$H$70</f>
        <v>92928.826438619129</v>
      </c>
      <c r="I50" s="17">
        <f>Table1[[#This Row],[Adjusted % (W/Floors)]]*$I$70</f>
        <v>89217.950463850531</v>
      </c>
      <c r="J50" s="17">
        <f>Table1[[#This Row],[Adjusted % (W/Floors)]]*$J$70</f>
        <v>41800.422509069154</v>
      </c>
      <c r="K50" s="17">
        <f>Table1[[#This Row],[Adjusted % (W/Floors)]]*$K$70</f>
        <v>41800.422509069154</v>
      </c>
      <c r="L50" s="17">
        <f>Table1[[#This Row],[Adjusted % (W/Floors)]]*$L$70</f>
        <v>41800.422509069154</v>
      </c>
      <c r="M50" s="17">
        <f>Table1[[#This Row],[Adjusted % (W/Floors)]]*$M$70</f>
        <v>41800.422509069162</v>
      </c>
      <c r="N50" s="17">
        <f>Table1[[#This Row],[Adjusted % (W/Floors)]]*$N$70</f>
        <v>41800.422509069162</v>
      </c>
      <c r="O50" s="17">
        <f>Table1[[#This Row],[Adjusted % (W/Floors)]]*$O$70</f>
        <v>41800.422509069162</v>
      </c>
      <c r="P50" s="17">
        <f>SUM(Table1[[#This Row],[Payment 1]:[Payment 13]])</f>
        <v>1326131.130359682</v>
      </c>
    </row>
    <row r="51" spans="1:16" x14ac:dyDescent="0.3">
      <c r="A51" t="s">
        <v>75</v>
      </c>
      <c r="B51">
        <v>2.2956227120823833E-3</v>
      </c>
      <c r="C51" s="17">
        <f>Table1[[#This Row],[Adjusted % (W/Floors)]]*$C$70</f>
        <v>200586.49028170883</v>
      </c>
      <c r="D51" s="17">
        <f>Table1[[#This Row],[Adjusted % (W/Floors)]]*$D$70</f>
        <v>41897.813332493613</v>
      </c>
      <c r="E51" s="17">
        <f>Table1[[#This Row],[Adjusted % (W/Floors)]]*$E$70</f>
        <v>44806.657295923105</v>
      </c>
      <c r="F51" s="17">
        <f>Table1[[#This Row],[Adjusted % (W/Floors)]]*$F$70</f>
        <v>34836.36118570713</v>
      </c>
      <c r="G51" s="17">
        <f>Table1[[#This Row],[Adjusted % (W/Floors)]]*$G$70</f>
        <v>34836.36118570713</v>
      </c>
      <c r="H51" s="17">
        <f>Table1[[#This Row],[Adjusted % (W/Floors)]]*$H$70</f>
        <v>37139.37687164246</v>
      </c>
      <c r="I51" s="17">
        <f>Table1[[#This Row],[Adjusted % (W/Floors)]]*$I$70</f>
        <v>35656.310457994303</v>
      </c>
      <c r="J51" s="17">
        <f>Table1[[#This Row],[Adjusted % (W/Floors)]]*$J$70</f>
        <v>16705.705909065971</v>
      </c>
      <c r="K51" s="17">
        <f>Table1[[#This Row],[Adjusted % (W/Floors)]]*$K$70</f>
        <v>16705.705909065971</v>
      </c>
      <c r="L51" s="17">
        <f>Table1[[#This Row],[Adjusted % (W/Floors)]]*$L$70</f>
        <v>16705.705909065971</v>
      </c>
      <c r="M51" s="17">
        <f>Table1[[#This Row],[Adjusted % (W/Floors)]]*$M$70</f>
        <v>16705.705909065975</v>
      </c>
      <c r="N51" s="17">
        <f>Table1[[#This Row],[Adjusted % (W/Floors)]]*$N$70</f>
        <v>16705.705909065975</v>
      </c>
      <c r="O51" s="17">
        <f>Table1[[#This Row],[Adjusted % (W/Floors)]]*$O$70</f>
        <v>16705.705909065975</v>
      </c>
      <c r="P51" s="17">
        <f>SUM(Table1[[#This Row],[Payment 1]:[Payment 13]])</f>
        <v>529993.60606557247</v>
      </c>
    </row>
    <row r="52" spans="1:16" x14ac:dyDescent="0.3">
      <c r="A52" t="s">
        <v>76</v>
      </c>
      <c r="B52">
        <v>0.23001941115465127</v>
      </c>
      <c r="C52" s="17">
        <f>Table1[[#This Row],[Adjusted % (W/Floors)]]*$C$70</f>
        <v>20098592.91657028</v>
      </c>
      <c r="D52" s="17">
        <f>Table1[[#This Row],[Adjusted % (W/Floors)]]*$D$70</f>
        <v>4198124.6747056153</v>
      </c>
      <c r="E52" s="17">
        <f>Table1[[#This Row],[Adjusted % (W/Floors)]]*$E$70</f>
        <v>4489588.3251074161</v>
      </c>
      <c r="F52" s="17">
        <f>Table1[[#This Row],[Adjusted % (W/Floors)]]*$F$70</f>
        <v>3490573.2743157917</v>
      </c>
      <c r="G52" s="17">
        <f>Table1[[#This Row],[Adjusted % (W/Floors)]]*$G$70</f>
        <v>3490573.2743157917</v>
      </c>
      <c r="H52" s="17">
        <f>Table1[[#This Row],[Adjusted % (W/Floors)]]*$H$70</f>
        <v>3721333.4550591852</v>
      </c>
      <c r="I52" s="17">
        <f>Table1[[#This Row],[Adjusted % (W/Floors)]]*$I$70</f>
        <v>3572731.4825420449</v>
      </c>
      <c r="J52" s="17">
        <f>Table1[[#This Row],[Adjusted % (W/Floors)]]*$J$70</f>
        <v>1673897.2897861067</v>
      </c>
      <c r="K52" s="17">
        <f>Table1[[#This Row],[Adjusted % (W/Floors)]]*$K$70</f>
        <v>1673897.2897861067</v>
      </c>
      <c r="L52" s="17">
        <f>Table1[[#This Row],[Adjusted % (W/Floors)]]*$L$70</f>
        <v>1673897.2897861067</v>
      </c>
      <c r="M52" s="17">
        <f>Table1[[#This Row],[Adjusted % (W/Floors)]]*$M$70</f>
        <v>1673897.2897861071</v>
      </c>
      <c r="N52" s="17">
        <f>Table1[[#This Row],[Adjusted % (W/Floors)]]*$N$70</f>
        <v>1673897.2897861071</v>
      </c>
      <c r="O52" s="17">
        <f>Table1[[#This Row],[Adjusted % (W/Floors)]]*$O$70</f>
        <v>1673897.2897861071</v>
      </c>
      <c r="P52" s="17">
        <f>SUM(Table1[[#This Row],[Payment 1]:[Payment 13]])</f>
        <v>53104901.141332775</v>
      </c>
    </row>
    <row r="53" spans="1:16" x14ac:dyDescent="0.3">
      <c r="A53" t="s">
        <v>77</v>
      </c>
      <c r="B53">
        <v>2.8123862539486417E-3</v>
      </c>
      <c r="C53" s="17">
        <f>Table1[[#This Row],[Adjusted % (W/Floors)]]*$C$70</f>
        <v>245740.15800895935</v>
      </c>
      <c r="D53" s="17">
        <f>Table1[[#This Row],[Adjusted % (W/Floors)]]*$D$70</f>
        <v>51329.355501942984</v>
      </c>
      <c r="E53" s="17">
        <f>Table1[[#This Row],[Adjusted % (W/Floors)]]*$E$70</f>
        <v>54893.004151424117</v>
      </c>
      <c r="F53" s="17">
        <f>Table1[[#This Row],[Adjusted % (W/Floors)]]*$F$70</f>
        <v>42678.312433753592</v>
      </c>
      <c r="G53" s="17">
        <f>Table1[[#This Row],[Adjusted % (W/Floors)]]*$G$70</f>
        <v>42678.312433753592</v>
      </c>
      <c r="H53" s="17">
        <f>Table1[[#This Row],[Adjusted % (W/Floors)]]*$H$70</f>
        <v>45499.755880737663</v>
      </c>
      <c r="I53" s="17">
        <f>Table1[[#This Row],[Adjusted % (W/Floors)]]*$I$70</f>
        <v>43682.839026986258</v>
      </c>
      <c r="J53" s="17">
        <f>Table1[[#This Row],[Adjusted % (W/Floors)]]*$J$70</f>
        <v>20466.297625426028</v>
      </c>
      <c r="K53" s="17">
        <f>Table1[[#This Row],[Adjusted % (W/Floors)]]*$K$70</f>
        <v>20466.297625426028</v>
      </c>
      <c r="L53" s="17">
        <f>Table1[[#This Row],[Adjusted % (W/Floors)]]*$L$70</f>
        <v>20466.297625426028</v>
      </c>
      <c r="M53" s="17">
        <f>Table1[[#This Row],[Adjusted % (W/Floors)]]*$M$70</f>
        <v>20466.297625426032</v>
      </c>
      <c r="N53" s="17">
        <f>Table1[[#This Row],[Adjusted % (W/Floors)]]*$N$70</f>
        <v>20466.297625426032</v>
      </c>
      <c r="O53" s="17">
        <f>Table1[[#This Row],[Adjusted % (W/Floors)]]*$O$70</f>
        <v>20466.297625426032</v>
      </c>
      <c r="P53" s="17">
        <f>SUM(Table1[[#This Row],[Payment 1]:[Payment 13]])</f>
        <v>649299.52319011383</v>
      </c>
    </row>
    <row r="54" spans="1:16" x14ac:dyDescent="0.3">
      <c r="A54" t="s">
        <v>78</v>
      </c>
      <c r="B54">
        <v>1.4285891185863999E-3</v>
      </c>
      <c r="C54" s="17">
        <f>Table1[[#This Row],[Adjusted % (W/Floors)]]*$C$70</f>
        <v>124826.99175421044</v>
      </c>
      <c r="D54" s="17">
        <f>Table1[[#This Row],[Adjusted % (W/Floors)]]*$D$70</f>
        <v>26073.430927623853</v>
      </c>
      <c r="E54" s="17">
        <f>Table1[[#This Row],[Adjusted % (W/Floors)]]*$E$70</f>
        <v>27883.633802839169</v>
      </c>
      <c r="F54" s="17">
        <f>Table1[[#This Row],[Adjusted % (W/Floors)]]*$F$70</f>
        <v>21679.018184962453</v>
      </c>
      <c r="G54" s="17">
        <f>Table1[[#This Row],[Adjusted % (W/Floors)]]*$G$70</f>
        <v>21679.018184962453</v>
      </c>
      <c r="H54" s="17">
        <f>Table1[[#This Row],[Adjusted % (W/Floors)]]*$H$70</f>
        <v>23112.20802558594</v>
      </c>
      <c r="I54" s="17">
        <f>Table1[[#This Row],[Adjusted % (W/Floors)]]*$I$70</f>
        <v>22189.280869687216</v>
      </c>
      <c r="J54" s="17">
        <f>Table1[[#This Row],[Adjusted % (W/Floors)]]*$J$70</f>
        <v>10396.128925884099</v>
      </c>
      <c r="K54" s="17">
        <f>Table1[[#This Row],[Adjusted % (W/Floors)]]*$K$70</f>
        <v>10396.128925884099</v>
      </c>
      <c r="L54" s="17">
        <f>Table1[[#This Row],[Adjusted % (W/Floors)]]*$L$70</f>
        <v>10396.128925884099</v>
      </c>
      <c r="M54" s="17">
        <f>Table1[[#This Row],[Adjusted % (W/Floors)]]*$M$70</f>
        <v>10396.128925884103</v>
      </c>
      <c r="N54" s="17">
        <f>Table1[[#This Row],[Adjusted % (W/Floors)]]*$N$70</f>
        <v>10396.128925884103</v>
      </c>
      <c r="O54" s="17">
        <f>Table1[[#This Row],[Adjusted % (W/Floors)]]*$O$70</f>
        <v>10396.128925884103</v>
      </c>
      <c r="P54" s="17">
        <f>SUM(Table1[[#This Row],[Payment 1]:[Payment 13]])</f>
        <v>329820.35530517605</v>
      </c>
    </row>
    <row r="55" spans="1:16" x14ac:dyDescent="0.3">
      <c r="A55" t="s">
        <v>79</v>
      </c>
      <c r="B55">
        <v>9.7986327636411363E-3</v>
      </c>
      <c r="C55" s="17">
        <f>Table1[[#This Row],[Adjusted % (W/Floors)]]*$C$70</f>
        <v>856183.0937084757</v>
      </c>
      <c r="D55" s="17">
        <f>Table1[[#This Row],[Adjusted % (W/Floors)]]*$D$70</f>
        <v>178836.56764847305</v>
      </c>
      <c r="E55" s="17">
        <f>Table1[[#This Row],[Adjusted % (W/Floors)]]*$E$70</f>
        <v>191252.67314105414</v>
      </c>
      <c r="F55" s="17">
        <f>Table1[[#This Row],[Adjusted % (W/Floors)]]*$F$70</f>
        <v>148695.4752118937</v>
      </c>
      <c r="G55" s="17">
        <f>Table1[[#This Row],[Adjusted % (W/Floors)]]*$G$70</f>
        <v>148695.4752118937</v>
      </c>
      <c r="H55" s="17">
        <f>Table1[[#This Row],[Adjusted % (W/Floors)]]*$H$70</f>
        <v>158525.66413475689</v>
      </c>
      <c r="I55" s="17">
        <f>Table1[[#This Row],[Adjusted % (W/Floors)]]*$I$70</f>
        <v>152195.3455353881</v>
      </c>
      <c r="J55" s="17">
        <f>Table1[[#This Row],[Adjusted % (W/Floors)]]*$J$70</f>
        <v>71306.611665224147</v>
      </c>
      <c r="K55" s="17">
        <f>Table1[[#This Row],[Adjusted % (W/Floors)]]*$K$70</f>
        <v>71306.611665224147</v>
      </c>
      <c r="L55" s="17">
        <f>Table1[[#This Row],[Adjusted % (W/Floors)]]*$L$70</f>
        <v>71306.611665224147</v>
      </c>
      <c r="M55" s="17">
        <f>Table1[[#This Row],[Adjusted % (W/Floors)]]*$M$70</f>
        <v>71306.611665224162</v>
      </c>
      <c r="N55" s="17">
        <f>Table1[[#This Row],[Adjusted % (W/Floors)]]*$N$70</f>
        <v>71306.611665224162</v>
      </c>
      <c r="O55" s="17">
        <f>Table1[[#This Row],[Adjusted % (W/Floors)]]*$O$70</f>
        <v>71306.611665224162</v>
      </c>
      <c r="P55" s="17">
        <f>SUM(Table1[[#This Row],[Payment 1]:[Payment 13]])</f>
        <v>2262223.9645832805</v>
      </c>
    </row>
    <row r="56" spans="1:16" x14ac:dyDescent="0.3">
      <c r="A56" t="s">
        <v>80</v>
      </c>
      <c r="B56">
        <v>1.4285891185863999E-3</v>
      </c>
      <c r="C56" s="17">
        <f>Table1[[#This Row],[Adjusted % (W/Floors)]]*$C$70</f>
        <v>124826.99175421044</v>
      </c>
      <c r="D56" s="17">
        <f>Table1[[#This Row],[Adjusted % (W/Floors)]]*$D$70</f>
        <v>26073.430927623853</v>
      </c>
      <c r="E56" s="17">
        <f>Table1[[#This Row],[Adjusted % (W/Floors)]]*$E$70</f>
        <v>27883.633802839169</v>
      </c>
      <c r="F56" s="17">
        <f>Table1[[#This Row],[Adjusted % (W/Floors)]]*$F$70</f>
        <v>21679.018184962453</v>
      </c>
      <c r="G56" s="17">
        <f>Table1[[#This Row],[Adjusted % (W/Floors)]]*$G$70</f>
        <v>21679.018184962453</v>
      </c>
      <c r="H56" s="17">
        <f>Table1[[#This Row],[Adjusted % (W/Floors)]]*$H$70</f>
        <v>23112.20802558594</v>
      </c>
      <c r="I56" s="17">
        <f>Table1[[#This Row],[Adjusted % (W/Floors)]]*$I$70</f>
        <v>22189.280869687216</v>
      </c>
      <c r="J56" s="17">
        <f>Table1[[#This Row],[Adjusted % (W/Floors)]]*$J$70</f>
        <v>10396.128925884099</v>
      </c>
      <c r="K56" s="17">
        <f>Table1[[#This Row],[Adjusted % (W/Floors)]]*$K$70</f>
        <v>10396.128925884099</v>
      </c>
      <c r="L56" s="17">
        <f>Table1[[#This Row],[Adjusted % (W/Floors)]]*$L$70</f>
        <v>10396.128925884099</v>
      </c>
      <c r="M56" s="17">
        <f>Table1[[#This Row],[Adjusted % (W/Floors)]]*$M$70</f>
        <v>10396.128925884103</v>
      </c>
      <c r="N56" s="17">
        <f>Table1[[#This Row],[Adjusted % (W/Floors)]]*$N$70</f>
        <v>10396.128925884103</v>
      </c>
      <c r="O56" s="17">
        <f>Table1[[#This Row],[Adjusted % (W/Floors)]]*$O$70</f>
        <v>10396.128925884103</v>
      </c>
      <c r="P56" s="17">
        <f>SUM(Table1[[#This Row],[Payment 1]:[Payment 13]])</f>
        <v>329820.35530517605</v>
      </c>
    </row>
    <row r="57" spans="1:16" x14ac:dyDescent="0.3">
      <c r="A57" t="s">
        <v>81</v>
      </c>
      <c r="B57">
        <v>4.2235480138774059E-3</v>
      </c>
      <c r="C57" s="17">
        <f>Table1[[#This Row],[Adjusted % (W/Floors)]]*$C$70</f>
        <v>369044.3852907602</v>
      </c>
      <c r="D57" s="17">
        <f>Table1[[#This Row],[Adjusted % (W/Floors)]]*$D$70</f>
        <v>77084.716645680761</v>
      </c>
      <c r="E57" s="17">
        <f>Table1[[#This Row],[Adjusted % (W/Floors)]]*$E$70</f>
        <v>82436.485505502438</v>
      </c>
      <c r="F57" s="17">
        <f>Table1[[#This Row],[Adjusted % (W/Floors)]]*$F$70</f>
        <v>64092.868275877692</v>
      </c>
      <c r="G57" s="17">
        <f>Table1[[#This Row],[Adjusted % (W/Floors)]]*$G$70</f>
        <v>64092.868275877692</v>
      </c>
      <c r="H57" s="17">
        <f>Table1[[#This Row],[Adjusted % (W/Floors)]]*$H$70</f>
        <v>68330.018080619469</v>
      </c>
      <c r="I57" s="17">
        <f>Table1[[#This Row],[Adjusted % (W/Floors)]]*$I$70</f>
        <v>65601.432859344161</v>
      </c>
      <c r="J57" s="17">
        <f>Table1[[#This Row],[Adjusted % (W/Floors)]]*$J$70</f>
        <v>30735.604174543263</v>
      </c>
      <c r="K57" s="17">
        <f>Table1[[#This Row],[Adjusted % (W/Floors)]]*$K$70</f>
        <v>30735.604174543263</v>
      </c>
      <c r="L57" s="17">
        <f>Table1[[#This Row],[Adjusted % (W/Floors)]]*$L$70</f>
        <v>30735.604174543263</v>
      </c>
      <c r="M57" s="17">
        <f>Table1[[#This Row],[Adjusted % (W/Floors)]]*$M$70</f>
        <v>30735.604174543274</v>
      </c>
      <c r="N57" s="17">
        <f>Table1[[#This Row],[Adjusted % (W/Floors)]]*$N$70</f>
        <v>30735.604174543274</v>
      </c>
      <c r="O57" s="17">
        <f>Table1[[#This Row],[Adjusted % (W/Floors)]]*$O$70</f>
        <v>30735.604174543274</v>
      </c>
      <c r="P57" s="17">
        <f>SUM(Table1[[#This Row],[Payment 1]:[Payment 13]])</f>
        <v>975096.39998092211</v>
      </c>
    </row>
    <row r="58" spans="1:16" x14ac:dyDescent="0.3">
      <c r="A58" t="s">
        <v>82</v>
      </c>
      <c r="B58">
        <v>1.4285891185863999E-3</v>
      </c>
      <c r="C58" s="17">
        <f>Table1[[#This Row],[Adjusted % (W/Floors)]]*$C$70</f>
        <v>124826.99175421044</v>
      </c>
      <c r="D58" s="17">
        <f>Table1[[#This Row],[Adjusted % (W/Floors)]]*$D$70</f>
        <v>26073.430927623853</v>
      </c>
      <c r="E58" s="17">
        <f>Table1[[#This Row],[Adjusted % (W/Floors)]]*$E$70</f>
        <v>27883.633802839169</v>
      </c>
      <c r="F58" s="17">
        <f>Table1[[#This Row],[Adjusted % (W/Floors)]]*$F$70</f>
        <v>21679.018184962453</v>
      </c>
      <c r="G58" s="17">
        <f>Table1[[#This Row],[Adjusted % (W/Floors)]]*$G$70</f>
        <v>21679.018184962453</v>
      </c>
      <c r="H58" s="17">
        <f>Table1[[#This Row],[Adjusted % (W/Floors)]]*$H$70</f>
        <v>23112.20802558594</v>
      </c>
      <c r="I58" s="17">
        <f>Table1[[#This Row],[Adjusted % (W/Floors)]]*$I$70</f>
        <v>22189.280869687216</v>
      </c>
      <c r="J58" s="17">
        <f>Table1[[#This Row],[Adjusted % (W/Floors)]]*$J$70</f>
        <v>10396.128925884099</v>
      </c>
      <c r="K58" s="17">
        <f>Table1[[#This Row],[Adjusted % (W/Floors)]]*$K$70</f>
        <v>10396.128925884099</v>
      </c>
      <c r="L58" s="17">
        <f>Table1[[#This Row],[Adjusted % (W/Floors)]]*$L$70</f>
        <v>10396.128925884099</v>
      </c>
      <c r="M58" s="17">
        <f>Table1[[#This Row],[Adjusted % (W/Floors)]]*$M$70</f>
        <v>10396.128925884103</v>
      </c>
      <c r="N58" s="17">
        <f>Table1[[#This Row],[Adjusted % (W/Floors)]]*$N$70</f>
        <v>10396.128925884103</v>
      </c>
      <c r="O58" s="17">
        <f>Table1[[#This Row],[Adjusted % (W/Floors)]]*$O$70</f>
        <v>10396.128925884103</v>
      </c>
      <c r="P58" s="17">
        <f>SUM(Table1[[#This Row],[Payment 1]:[Payment 13]])</f>
        <v>329820.35530517605</v>
      </c>
    </row>
    <row r="59" spans="1:16" x14ac:dyDescent="0.3">
      <c r="A59" t="s">
        <v>83</v>
      </c>
      <c r="B59">
        <v>1.6496689990441195E-3</v>
      </c>
      <c r="C59" s="17">
        <f>Table1[[#This Row],[Adjusted % (W/Floors)]]*$C$70</f>
        <v>144144.46803614151</v>
      </c>
      <c r="D59" s="17">
        <f>Table1[[#This Row],[Adjusted % (W/Floors)]]*$D$70</f>
        <v>30108.398657397353</v>
      </c>
      <c r="E59" s="17">
        <f>Table1[[#This Row],[Adjusted % (W/Floors)]]*$E$70</f>
        <v>32198.737668363738</v>
      </c>
      <c r="F59" s="17">
        <f>Table1[[#This Row],[Adjusted % (W/Floors)]]*$F$70</f>
        <v>25033.932965158132</v>
      </c>
      <c r="G59" s="17">
        <f>Table1[[#This Row],[Adjusted % (W/Floors)]]*$G$70</f>
        <v>25033.932965158132</v>
      </c>
      <c r="H59" s="17">
        <f>Table1[[#This Row],[Adjusted % (W/Floors)]]*$H$70</f>
        <v>26688.914666377466</v>
      </c>
      <c r="I59" s="17">
        <f>Table1[[#This Row],[Adjusted % (W/Floors)]]*$I$70</f>
        <v>25623.160841394791</v>
      </c>
      <c r="J59" s="17">
        <f>Table1[[#This Row],[Adjusted % (W/Floors)]]*$J$70</f>
        <v>12004.971461680367</v>
      </c>
      <c r="K59" s="17">
        <f>Table1[[#This Row],[Adjusted % (W/Floors)]]*$K$70</f>
        <v>12004.971461680367</v>
      </c>
      <c r="L59" s="17">
        <f>Table1[[#This Row],[Adjusted % (W/Floors)]]*$L$70</f>
        <v>12004.971461680367</v>
      </c>
      <c r="M59" s="17">
        <f>Table1[[#This Row],[Adjusted % (W/Floors)]]*$M$70</f>
        <v>12004.971461680369</v>
      </c>
      <c r="N59" s="17">
        <f>Table1[[#This Row],[Adjusted % (W/Floors)]]*$N$70</f>
        <v>12004.971461680369</v>
      </c>
      <c r="O59" s="17">
        <f>Table1[[#This Row],[Adjusted % (W/Floors)]]*$O$70</f>
        <v>12004.971461680369</v>
      </c>
      <c r="P59" s="17">
        <f>SUM(Table1[[#This Row],[Payment 1]:[Payment 13]])</f>
        <v>380861.37457007333</v>
      </c>
    </row>
    <row r="60" spans="1:16" x14ac:dyDescent="0.3">
      <c r="A60" t="s">
        <v>84</v>
      </c>
      <c r="B60">
        <v>1.4807269070583292E-3</v>
      </c>
      <c r="C60" s="17">
        <f>Table1[[#This Row],[Adjusted % (W/Floors)]]*$C$70</f>
        <v>129382.67764527211</v>
      </c>
      <c r="D60" s="17">
        <f>Table1[[#This Row],[Adjusted % (W/Floors)]]*$D$70</f>
        <v>27025.006862758415</v>
      </c>
      <c r="E60" s="17">
        <f>Table1[[#This Row],[Adjusted % (W/Floors)]]*$E$70</f>
        <v>28901.274902107587</v>
      </c>
      <c r="F60" s="17">
        <f>Table1[[#This Row],[Adjusted % (W/Floors)]]*$F$70</f>
        <v>22470.215632640844</v>
      </c>
      <c r="G60" s="17">
        <f>Table1[[#This Row],[Adjusted % (W/Floors)]]*$G$70</f>
        <v>22470.215632640844</v>
      </c>
      <c r="H60" s="17">
        <f>Table1[[#This Row],[Adjusted % (W/Floors)]]*$H$70</f>
        <v>23955.711169687725</v>
      </c>
      <c r="I60" s="17">
        <f>Table1[[#This Row],[Adjusted % (W/Floors)]]*$I$70</f>
        <v>22999.100864307322</v>
      </c>
      <c r="J60" s="17">
        <f>Table1[[#This Row],[Adjusted % (W/Floors)]]*$J$70</f>
        <v>10775.546047163165</v>
      </c>
      <c r="K60" s="17">
        <f>Table1[[#This Row],[Adjusted % (W/Floors)]]*$K$70</f>
        <v>10775.546047163165</v>
      </c>
      <c r="L60" s="17">
        <f>Table1[[#This Row],[Adjusted % (W/Floors)]]*$L$70</f>
        <v>10775.546047163165</v>
      </c>
      <c r="M60" s="17">
        <f>Table1[[#This Row],[Adjusted % (W/Floors)]]*$M$70</f>
        <v>10775.546047163169</v>
      </c>
      <c r="N60" s="17">
        <f>Table1[[#This Row],[Adjusted % (W/Floors)]]*$N$70</f>
        <v>10775.546047163169</v>
      </c>
      <c r="O60" s="17">
        <f>Table1[[#This Row],[Adjusted % (W/Floors)]]*$O$70</f>
        <v>10775.546047163169</v>
      </c>
      <c r="P60" s="17">
        <f>SUM(Table1[[#This Row],[Payment 1]:[Payment 13]])</f>
        <v>341857.47899239388</v>
      </c>
    </row>
    <row r="61" spans="1:16" x14ac:dyDescent="0.3">
      <c r="A61" t="s">
        <v>85</v>
      </c>
      <c r="B61">
        <v>1.4285891185863999E-3</v>
      </c>
      <c r="C61" s="17">
        <f>Table1[[#This Row],[Adjusted % (W/Floors)]]*$C$70</f>
        <v>124826.99175421044</v>
      </c>
      <c r="D61" s="17">
        <f>Table1[[#This Row],[Adjusted % (W/Floors)]]*$D$70</f>
        <v>26073.430927623853</v>
      </c>
      <c r="E61" s="17">
        <f>Table1[[#This Row],[Adjusted % (W/Floors)]]*$E$70</f>
        <v>27883.633802839169</v>
      </c>
      <c r="F61" s="17">
        <f>Table1[[#This Row],[Adjusted % (W/Floors)]]*$F$70</f>
        <v>21679.018184962453</v>
      </c>
      <c r="G61" s="17">
        <f>Table1[[#This Row],[Adjusted % (W/Floors)]]*$G$70</f>
        <v>21679.018184962453</v>
      </c>
      <c r="H61" s="17">
        <f>Table1[[#This Row],[Adjusted % (W/Floors)]]*$H$70</f>
        <v>23112.20802558594</v>
      </c>
      <c r="I61" s="17">
        <f>Table1[[#This Row],[Adjusted % (W/Floors)]]*$I$70</f>
        <v>22189.280869687216</v>
      </c>
      <c r="J61" s="17">
        <f>Table1[[#This Row],[Adjusted % (W/Floors)]]*$J$70</f>
        <v>10396.128925884099</v>
      </c>
      <c r="K61" s="17">
        <f>Table1[[#This Row],[Adjusted % (W/Floors)]]*$K$70</f>
        <v>10396.128925884099</v>
      </c>
      <c r="L61" s="17">
        <f>Table1[[#This Row],[Adjusted % (W/Floors)]]*$L$70</f>
        <v>10396.128925884099</v>
      </c>
      <c r="M61" s="17">
        <f>Table1[[#This Row],[Adjusted % (W/Floors)]]*$M$70</f>
        <v>10396.128925884103</v>
      </c>
      <c r="N61" s="17">
        <f>Table1[[#This Row],[Adjusted % (W/Floors)]]*$N$70</f>
        <v>10396.128925884103</v>
      </c>
      <c r="O61" s="17">
        <f>Table1[[#This Row],[Adjusted % (W/Floors)]]*$O$70</f>
        <v>10396.128925884103</v>
      </c>
      <c r="P61" s="17">
        <f>SUM(Table1[[#This Row],[Payment 1]:[Payment 13]])</f>
        <v>329820.35530517605</v>
      </c>
    </row>
    <row r="62" spans="1:16" x14ac:dyDescent="0.3">
      <c r="A62" t="s">
        <v>86</v>
      </c>
      <c r="B62">
        <v>3.3390870617237872E-3</v>
      </c>
      <c r="C62" s="17">
        <f>Table1[[#This Row],[Adjusted % (W/Floors)]]*$C$70</f>
        <v>291762.12229085219</v>
      </c>
      <c r="D62" s="17">
        <f>Table1[[#This Row],[Adjusted % (W/Floors)]]*$D$70</f>
        <v>60942.264456924917</v>
      </c>
      <c r="E62" s="17">
        <f>Table1[[#This Row],[Adjusted % (W/Floors)]]*$E$70</f>
        <v>65173.309563657676</v>
      </c>
      <c r="F62" s="17">
        <f>Table1[[#This Row],[Adjusted % (W/Floors)]]*$F$70</f>
        <v>50671.062932294662</v>
      </c>
      <c r="G62" s="17">
        <f>Table1[[#This Row],[Adjusted % (W/Floors)]]*$G$70</f>
        <v>50671.062932294662</v>
      </c>
      <c r="H62" s="17">
        <f>Table1[[#This Row],[Adjusted % (W/Floors)]]*$H$70</f>
        <v>54020.903408858838</v>
      </c>
      <c r="I62" s="17">
        <f>Table1[[#This Row],[Adjusted % (W/Floors)]]*$I$70</f>
        <v>51863.716233707761</v>
      </c>
      <c r="J62" s="17">
        <f>Table1[[#This Row],[Adjusted % (W/Floors)]]*$J$70</f>
        <v>24299.204814594534</v>
      </c>
      <c r="K62" s="17">
        <f>Table1[[#This Row],[Adjusted % (W/Floors)]]*$K$70</f>
        <v>24299.204814594534</v>
      </c>
      <c r="L62" s="17">
        <f>Table1[[#This Row],[Adjusted % (W/Floors)]]*$L$70</f>
        <v>24299.204814594534</v>
      </c>
      <c r="M62" s="17">
        <f>Table1[[#This Row],[Adjusted % (W/Floors)]]*$M$70</f>
        <v>24299.204814594541</v>
      </c>
      <c r="N62" s="17">
        <f>Table1[[#This Row],[Adjusted % (W/Floors)]]*$N$70</f>
        <v>24299.204814594541</v>
      </c>
      <c r="O62" s="17">
        <f>Table1[[#This Row],[Adjusted % (W/Floors)]]*$O$70</f>
        <v>24299.204814594541</v>
      </c>
      <c r="P62" s="17">
        <f>SUM(Table1[[#This Row],[Payment 1]:[Payment 13]])</f>
        <v>770899.67070615827</v>
      </c>
    </row>
    <row r="63" spans="1:16" x14ac:dyDescent="0.3">
      <c r="A63" t="s">
        <v>87</v>
      </c>
      <c r="B63">
        <v>1.4285891185863999E-3</v>
      </c>
      <c r="C63" s="17">
        <f>Table1[[#This Row],[Adjusted % (W/Floors)]]*$C$70</f>
        <v>124826.99175421044</v>
      </c>
      <c r="D63" s="17">
        <f>Table1[[#This Row],[Adjusted % (W/Floors)]]*$D$70</f>
        <v>26073.430927623853</v>
      </c>
      <c r="E63" s="17">
        <f>Table1[[#This Row],[Adjusted % (W/Floors)]]*$E$70</f>
        <v>27883.633802839169</v>
      </c>
      <c r="F63" s="17">
        <f>Table1[[#This Row],[Adjusted % (W/Floors)]]*$F$70</f>
        <v>21679.018184962453</v>
      </c>
      <c r="G63" s="17">
        <f>Table1[[#This Row],[Adjusted % (W/Floors)]]*$G$70</f>
        <v>21679.018184962453</v>
      </c>
      <c r="H63" s="17">
        <f>Table1[[#This Row],[Adjusted % (W/Floors)]]*$H$70</f>
        <v>23112.20802558594</v>
      </c>
      <c r="I63" s="17">
        <f>Table1[[#This Row],[Adjusted % (W/Floors)]]*$I$70</f>
        <v>22189.280869687216</v>
      </c>
      <c r="J63" s="17">
        <f>Table1[[#This Row],[Adjusted % (W/Floors)]]*$J$70</f>
        <v>10396.128925884099</v>
      </c>
      <c r="K63" s="17">
        <f>Table1[[#This Row],[Adjusted % (W/Floors)]]*$K$70</f>
        <v>10396.128925884099</v>
      </c>
      <c r="L63" s="17">
        <f>Table1[[#This Row],[Adjusted % (W/Floors)]]*$L$70</f>
        <v>10396.128925884099</v>
      </c>
      <c r="M63" s="17">
        <f>Table1[[#This Row],[Adjusted % (W/Floors)]]*$M$70</f>
        <v>10396.128925884103</v>
      </c>
      <c r="N63" s="17">
        <f>Table1[[#This Row],[Adjusted % (W/Floors)]]*$N$70</f>
        <v>10396.128925884103</v>
      </c>
      <c r="O63" s="17">
        <f>Table1[[#This Row],[Adjusted % (W/Floors)]]*$O$70</f>
        <v>10396.128925884103</v>
      </c>
      <c r="P63" s="17">
        <f>SUM(Table1[[#This Row],[Payment 1]:[Payment 13]])</f>
        <v>329820.35530517605</v>
      </c>
    </row>
    <row r="64" spans="1:16" x14ac:dyDescent="0.3">
      <c r="A64" t="s">
        <v>88</v>
      </c>
      <c r="B64">
        <v>1.6367492676323599E-2</v>
      </c>
      <c r="C64" s="17">
        <f>Table1[[#This Row],[Adjusted % (W/Floors)]]*$C$70</f>
        <v>1430155.7017081399</v>
      </c>
      <c r="D64" s="17">
        <f>Table1[[#This Row],[Adjusted % (W/Floors)]]*$D$70</f>
        <v>298725.98370117205</v>
      </c>
      <c r="E64" s="17">
        <f>Table1[[#This Row],[Adjusted % (W/Floors)]]*$E$70</f>
        <v>319465.66449341003</v>
      </c>
      <c r="F64" s="17">
        <f>Table1[[#This Row],[Adjusted % (W/Floors)]]*$F$70</f>
        <v>248378.74428398791</v>
      </c>
      <c r="G64" s="17">
        <f>Table1[[#This Row],[Adjusted % (W/Floors)]]*$G$70</f>
        <v>248378.74428398791</v>
      </c>
      <c r="H64" s="17">
        <f>Table1[[#This Row],[Adjusted % (W/Floors)]]*$H$70</f>
        <v>264798.9479065648</v>
      </c>
      <c r="I64" s="17">
        <f>Table1[[#This Row],[Adjusted % (W/Floors)]]*$I$70</f>
        <v>254224.87641993604</v>
      </c>
      <c r="J64" s="17">
        <f>Table1[[#This Row],[Adjusted % (W/Floors)]]*$J$70</f>
        <v>119109.51990513349</v>
      </c>
      <c r="K64" s="17">
        <f>Table1[[#This Row],[Adjusted % (W/Floors)]]*$K$70</f>
        <v>119109.51990513349</v>
      </c>
      <c r="L64" s="17">
        <f>Table1[[#This Row],[Adjusted % (W/Floors)]]*$L$70</f>
        <v>119109.51990513349</v>
      </c>
      <c r="M64" s="17">
        <f>Table1[[#This Row],[Adjusted % (W/Floors)]]*$M$70</f>
        <v>119109.51990513352</v>
      </c>
      <c r="N64" s="17">
        <f>Table1[[#This Row],[Adjusted % (W/Floors)]]*$N$70</f>
        <v>119109.51990513352</v>
      </c>
      <c r="O64" s="17">
        <f>Table1[[#This Row],[Adjusted % (W/Floors)]]*$O$70</f>
        <v>119109.51990513352</v>
      </c>
      <c r="P64" s="17">
        <f>SUM(Table1[[#This Row],[Payment 1]:[Payment 13]])</f>
        <v>3778785.7822280009</v>
      </c>
    </row>
    <row r="65" spans="1:16" x14ac:dyDescent="0.3">
      <c r="A65" t="s">
        <v>89</v>
      </c>
      <c r="B65">
        <v>3.13039447751333E-3</v>
      </c>
      <c r="C65" s="17">
        <f>Table1[[#This Row],[Adjusted % (W/Floors)]]*$C$70</f>
        <v>273527.02085442183</v>
      </c>
      <c r="D65" s="17">
        <f>Table1[[#This Row],[Adjusted % (W/Floors)]]*$D$70</f>
        <v>57133.379446724837</v>
      </c>
      <c r="E65" s="17">
        <f>Table1[[#This Row],[Adjusted % (W/Floors)]]*$E$70</f>
        <v>61099.984686837517</v>
      </c>
      <c r="F65" s="17">
        <f>Table1[[#This Row],[Adjusted % (W/Floors)]]*$F$70</f>
        <v>47504.126918780792</v>
      </c>
      <c r="G65" s="17">
        <f>Table1[[#This Row],[Adjusted % (W/Floors)]]*$G$70</f>
        <v>47504.126918780792</v>
      </c>
      <c r="H65" s="17">
        <f>Table1[[#This Row],[Adjusted % (W/Floors)]]*$H$70</f>
        <v>50644.602723857162</v>
      </c>
      <c r="I65" s="17">
        <f>Table1[[#This Row],[Adjusted % (W/Floors)]]*$I$70</f>
        <v>48622.239516421243</v>
      </c>
      <c r="J65" s="17">
        <f>Table1[[#This Row],[Adjusted % (W/Floors)]]*$J$70</f>
        <v>22780.507112714604</v>
      </c>
      <c r="K65" s="17">
        <f>Table1[[#This Row],[Adjusted % (W/Floors)]]*$K$70</f>
        <v>22780.507112714604</v>
      </c>
      <c r="L65" s="17">
        <f>Table1[[#This Row],[Adjusted % (W/Floors)]]*$L$70</f>
        <v>22780.507112714604</v>
      </c>
      <c r="M65" s="17">
        <f>Table1[[#This Row],[Adjusted % (W/Floors)]]*$M$70</f>
        <v>22780.507112714611</v>
      </c>
      <c r="N65" s="17">
        <f>Table1[[#This Row],[Adjusted % (W/Floors)]]*$N$70</f>
        <v>22780.507112714611</v>
      </c>
      <c r="O65" s="17">
        <f>Table1[[#This Row],[Adjusted % (W/Floors)]]*$O$70</f>
        <v>22780.507112714611</v>
      </c>
      <c r="P65" s="17">
        <f>SUM(Table1[[#This Row],[Payment 1]:[Payment 13]])</f>
        <v>722718.52374211163</v>
      </c>
    </row>
    <row r="66" spans="1:16" x14ac:dyDescent="0.3">
      <c r="A66" t="s">
        <v>90</v>
      </c>
      <c r="B66">
        <v>3.2069154250612922E-2</v>
      </c>
      <c r="C66" s="17">
        <f>Table1[[#This Row],[Adjusted % (W/Floors)]]*$C$70</f>
        <v>2802132.538407444</v>
      </c>
      <c r="D66" s="17">
        <f>Table1[[#This Row],[Adjusted % (W/Floors)]]*$D$70</f>
        <v>585299.7670093209</v>
      </c>
      <c r="E66" s="17">
        <f>Table1[[#This Row],[Adjusted % (W/Floors)]]*$E$70</f>
        <v>625935.43647852808</v>
      </c>
      <c r="F66" s="17">
        <f>Table1[[#This Row],[Adjusted % (W/Floors)]]*$F$70</f>
        <v>486653.41848840122</v>
      </c>
      <c r="G66" s="17">
        <f>Table1[[#This Row],[Adjusted % (W/Floors)]]*$G$70</f>
        <v>486653.41848840122</v>
      </c>
      <c r="H66" s="17">
        <f>Table1[[#This Row],[Adjusted % (W/Floors)]]*$H$70</f>
        <v>518825.85034539655</v>
      </c>
      <c r="I66" s="17">
        <f>Table1[[#This Row],[Adjusted % (W/Floors)]]*$I$70</f>
        <v>498107.86156925175</v>
      </c>
      <c r="J66" s="17">
        <f>Table1[[#This Row],[Adjusted % (W/Floors)]]*$J$70</f>
        <v>233373.65362500661</v>
      </c>
      <c r="K66" s="17">
        <f>Table1[[#This Row],[Adjusted % (W/Floors)]]*$K$70</f>
        <v>233373.65362500661</v>
      </c>
      <c r="L66" s="17">
        <f>Table1[[#This Row],[Adjusted % (W/Floors)]]*$L$70</f>
        <v>233373.65362500661</v>
      </c>
      <c r="M66" s="17">
        <f>Table1[[#This Row],[Adjusted % (W/Floors)]]*$M$70</f>
        <v>233373.6536250067</v>
      </c>
      <c r="N66" s="17">
        <f>Table1[[#This Row],[Adjusted % (W/Floors)]]*$N$70</f>
        <v>233373.6536250067</v>
      </c>
      <c r="O66" s="17">
        <f>Table1[[#This Row],[Adjusted % (W/Floors)]]*$O$70</f>
        <v>233373.6536250067</v>
      </c>
      <c r="P66" s="17">
        <f>SUM(Table1[[#This Row],[Payment 1]:[Payment 13]])</f>
        <v>7403850.2125367839</v>
      </c>
    </row>
    <row r="67" spans="1:16" x14ac:dyDescent="0.3">
      <c r="A67" t="s">
        <v>91</v>
      </c>
      <c r="B67">
        <v>2.0273036752403669E-3</v>
      </c>
      <c r="C67" s="17">
        <f>Table1[[#This Row],[Adjusted % (W/Floors)]]*$C$70</f>
        <v>177141.35986344123</v>
      </c>
      <c r="D67" s="17">
        <f>Table1[[#This Row],[Adjusted % (W/Floors)]]*$D$70</f>
        <v>37000.675462236366</v>
      </c>
      <c r="E67" s="17">
        <f>Table1[[#This Row],[Adjusted % (W/Floors)]]*$E$70</f>
        <v>39569.525311440048</v>
      </c>
      <c r="F67" s="17">
        <f>Table1[[#This Row],[Adjusted % (W/Floors)]]*$F$70</f>
        <v>30764.58631118929</v>
      </c>
      <c r="G67" s="17">
        <f>Table1[[#This Row],[Adjusted % (W/Floors)]]*$G$70</f>
        <v>30764.58631118929</v>
      </c>
      <c r="H67" s="17">
        <f>Table1[[#This Row],[Adjusted % (W/Floors)]]*$H$70</f>
        <v>32798.418848068875</v>
      </c>
      <c r="I67" s="17">
        <f>Table1[[#This Row],[Adjusted % (W/Floors)]]*$I$70</f>
        <v>31488.697535768777</v>
      </c>
      <c r="J67" s="17">
        <f>Table1[[#This Row],[Adjusted % (W/Floors)]]*$J$70</f>
        <v>14753.094578077495</v>
      </c>
      <c r="K67" s="17">
        <f>Table1[[#This Row],[Adjusted % (W/Floors)]]*$K$70</f>
        <v>14753.094578077495</v>
      </c>
      <c r="L67" s="17">
        <f>Table1[[#This Row],[Adjusted % (W/Floors)]]*$L$70</f>
        <v>14753.094578077495</v>
      </c>
      <c r="M67" s="17">
        <f>Table1[[#This Row],[Adjusted % (W/Floors)]]*$M$70</f>
        <v>14753.094578077498</v>
      </c>
      <c r="N67" s="17">
        <f>Table1[[#This Row],[Adjusted % (W/Floors)]]*$N$70</f>
        <v>14753.094578077498</v>
      </c>
      <c r="O67" s="17">
        <f>Table1[[#This Row],[Adjusted % (W/Floors)]]*$O$70</f>
        <v>14753.094578077498</v>
      </c>
      <c r="P67" s="17">
        <f>SUM(Table1[[#This Row],[Payment 1]:[Payment 13]])</f>
        <v>468046.41711179883</v>
      </c>
    </row>
    <row r="68" spans="1:16" x14ac:dyDescent="0.3">
      <c r="A68" t="s">
        <v>92</v>
      </c>
      <c r="B68">
        <v>2.5549983524653132E-2</v>
      </c>
      <c r="C68" s="17">
        <f>Table1[[#This Row],[Adjusted % (W/Floors)]]*$C$70</f>
        <v>2232501.6628349749</v>
      </c>
      <c r="D68" s="17">
        <f>Table1[[#This Row],[Adjusted % (W/Floors)]]*$D$70</f>
        <v>466317.23703114648</v>
      </c>
      <c r="E68" s="17">
        <f>Table1[[#This Row],[Adjusted % (W/Floors)]]*$E$70</f>
        <v>498692.29367710248</v>
      </c>
      <c r="F68" s="17">
        <f>Table1[[#This Row],[Adjusted % (W/Floors)]]*$F$70</f>
        <v>387724.1890268164</v>
      </c>
      <c r="G68" s="17">
        <f>Table1[[#This Row],[Adjusted % (W/Floors)]]*$G$70</f>
        <v>387724.1890268164</v>
      </c>
      <c r="H68" s="17">
        <f>Table1[[#This Row],[Adjusted % (W/Floors)]]*$H$70</f>
        <v>413356.45539313462</v>
      </c>
      <c r="I68" s="17">
        <f>Table1[[#This Row],[Adjusted % (W/Floors)]]*$I$70</f>
        <v>396850.11825191323</v>
      </c>
      <c r="J68" s="17">
        <f>Table1[[#This Row],[Adjusted % (W/Floors)]]*$J$70</f>
        <v>185932.34354139739</v>
      </c>
      <c r="K68" s="17">
        <f>Table1[[#This Row],[Adjusted % (W/Floors)]]*$K$70</f>
        <v>185932.34354139739</v>
      </c>
      <c r="L68" s="17">
        <f>Table1[[#This Row],[Adjusted % (W/Floors)]]*$L$70</f>
        <v>185932.34354139739</v>
      </c>
      <c r="M68" s="17">
        <f>Table1[[#This Row],[Adjusted % (W/Floors)]]*$M$70</f>
        <v>185932.34354139742</v>
      </c>
      <c r="N68" s="17">
        <f>Table1[[#This Row],[Adjusted % (W/Floors)]]*$N$70</f>
        <v>185932.34354139742</v>
      </c>
      <c r="O68" s="17">
        <f>Table1[[#This Row],[Adjusted % (W/Floors)]]*$O$70</f>
        <v>185932.34354139742</v>
      </c>
      <c r="P68" s="17">
        <f>SUM(Table1[[#This Row],[Payment 1]:[Payment 13]])</f>
        <v>5898760.2064902904</v>
      </c>
    </row>
    <row r="70" spans="1:16" s="15" customFormat="1" x14ac:dyDescent="0.3">
      <c r="A70" s="15" t="s">
        <v>25</v>
      </c>
      <c r="C70" s="16">
        <f>'County Breakdown'!J2</f>
        <v>87377812.227582783</v>
      </c>
      <c r="D70" s="16">
        <f>'County Breakdown'!J3</f>
        <v>18251175.644837417</v>
      </c>
      <c r="E70" s="16">
        <f>'County Breakdown'!J4</f>
        <v>19518301.966649614</v>
      </c>
      <c r="F70" s="16">
        <f>'County Breakdown'!J5</f>
        <v>15175124.815744091</v>
      </c>
      <c r="G70" s="16">
        <f>'County Breakdown'!J6</f>
        <v>15175124.815744091</v>
      </c>
      <c r="H70" s="16">
        <f>'County Breakdown'!J7</f>
        <v>16178345.281290993</v>
      </c>
      <c r="I70" s="16">
        <f>'County Breakdown'!J8</f>
        <v>15532304.272094473</v>
      </c>
      <c r="J70" s="16">
        <f>'County Breakdown'!J9</f>
        <v>7277200.1344733397</v>
      </c>
      <c r="K70" s="16">
        <f>'County Breakdown'!J10</f>
        <v>7277200.1344733397</v>
      </c>
      <c r="L70" s="16">
        <f>'County Breakdown'!J11</f>
        <v>7277200.1344733397</v>
      </c>
      <c r="M70" s="16">
        <f>'County Breakdown'!J12</f>
        <v>7277200.1344733415</v>
      </c>
      <c r="N70" s="16">
        <f>'County Breakdown'!J13</f>
        <v>7277200.1344733415</v>
      </c>
      <c r="O70" s="16">
        <f>'County Breakdown'!J14</f>
        <v>7277200.1344733415</v>
      </c>
      <c r="P70" s="16">
        <f>SUM(C70:O70)</f>
        <v>230871389.83078361</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R72"/>
  <sheetViews>
    <sheetView workbookViewId="0"/>
  </sheetViews>
  <sheetFormatPr defaultRowHeight="14.4" x14ac:dyDescent="0.3"/>
  <cols>
    <col min="1" max="1" width="20" customWidth="1"/>
    <col min="2" max="18" width="17.6640625" customWidth="1"/>
  </cols>
  <sheetData>
    <row r="1" spans="1:18" x14ac:dyDescent="0.3">
      <c r="A1" t="s">
        <v>4</v>
      </c>
      <c r="B1" t="s">
        <v>114</v>
      </c>
      <c r="C1" t="s">
        <v>93</v>
      </c>
      <c r="D1" t="s">
        <v>94</v>
      </c>
      <c r="E1" t="s">
        <v>95</v>
      </c>
      <c r="F1" t="s">
        <v>96</v>
      </c>
      <c r="G1" t="s">
        <v>97</v>
      </c>
      <c r="H1" t="s">
        <v>98</v>
      </c>
      <c r="I1" t="s">
        <v>99</v>
      </c>
      <c r="J1" t="s">
        <v>100</v>
      </c>
      <c r="K1" t="s">
        <v>101</v>
      </c>
      <c r="L1" t="s">
        <v>102</v>
      </c>
      <c r="M1" t="s">
        <v>103</v>
      </c>
      <c r="N1" t="s">
        <v>104</v>
      </c>
      <c r="O1" t="s">
        <v>105</v>
      </c>
      <c r="P1" t="s">
        <v>115</v>
      </c>
      <c r="Q1" t="s">
        <v>116</v>
      </c>
      <c r="R1" t="s">
        <v>6</v>
      </c>
    </row>
    <row r="2" spans="1:18" x14ac:dyDescent="0.3">
      <c r="A2" t="s">
        <v>26</v>
      </c>
      <c r="B2">
        <v>9.1563811681927808E-3</v>
      </c>
      <c r="C2" s="7">
        <f>Table5[[#This Row],[Floor % w/ No Philadelphia]]*$C$70</f>
        <v>46449.258959375657</v>
      </c>
      <c r="D2" s="7">
        <f>Table5[[#This Row],[Floor % w/ No Philadelphia]]*$D$70</f>
        <v>140066.0350043854</v>
      </c>
      <c r="E2" s="7">
        <f>Table5[[#This Row],[Floor % w/ No Philadelphia]]*$E$70</f>
        <v>95755.736225430039</v>
      </c>
      <c r="F2" s="7">
        <f>Table5[[#This Row],[Floor % w/ No Philadelphia]]*$F$70</f>
        <v>103910.41129117267</v>
      </c>
      <c r="G2" s="7">
        <f>Table5[[#This Row],[Floor % w/ No Philadelphia]]*$G$70</f>
        <v>103910.41129117267</v>
      </c>
      <c r="H2" s="7">
        <f>Table5[[#This Row],[Floor % w/ No Philadelphia]]*$H$70</f>
        <v>131873.5364656852</v>
      </c>
      <c r="I2" s="7">
        <f>Table5[[#This Row],[Floor % w/ No Philadelphia]]*$I$70</f>
        <v>128536.84393502181</v>
      </c>
      <c r="J2" s="7">
        <f>Table5[[#This Row],[Floor % w/ No Philadelphia]]*$J$70</f>
        <v>139780.64579396849</v>
      </c>
      <c r="K2" s="7">
        <f>Table5[[#This Row],[Floor % w/ No Philadelphia]]*$K$70</f>
        <v>139727.69047550776</v>
      </c>
      <c r="L2" s="7">
        <f>Table5[[#This Row],[Floor % w/ No Philadelphia]]*$L$70</f>
        <v>139727.69059314052</v>
      </c>
      <c r="M2" s="7">
        <f>Table5[[#This Row],[Floor % w/ No Philadelphia]]*$M$70</f>
        <v>67586.355820567172</v>
      </c>
      <c r="N2" s="7">
        <f>Table5[[#This Row],[Floor % w/ No Philadelphia]]*$N$70</f>
        <v>67586.355820567172</v>
      </c>
      <c r="O2" s="7">
        <f>Table5[[#This Row],[Floor % w/ No Philadelphia]]*$O$70</f>
        <v>67586.355820567172</v>
      </c>
      <c r="P2" s="7">
        <f>Table5[[#This Row],[Floor % w/ No Philadelphia]]*$P$70</f>
        <v>67586.355820567172</v>
      </c>
      <c r="Q2" s="7">
        <f>Table5[[#This Row],[Floor % w/ No Philadelphia]]*$Q$70</f>
        <v>67586.355820567172</v>
      </c>
      <c r="R2" s="7">
        <f>SUM(Table5[[#This Row],[Payment 1]:[Payment 15]])</f>
        <v>1507670.0391376957</v>
      </c>
    </row>
    <row r="3" spans="1:18" x14ac:dyDescent="0.3">
      <c r="A3" t="s">
        <v>27</v>
      </c>
      <c r="B3">
        <v>0.10809319125197787</v>
      </c>
      <c r="C3" s="7">
        <f>Table5[[#This Row],[Floor % w/ No Philadelphia]]*$C$70</f>
        <v>548344.21372165508</v>
      </c>
      <c r="D3" s="7">
        <f>Table5[[#This Row],[Floor % w/ No Philadelphia]]*$D$70</f>
        <v>1653511.8439836113</v>
      </c>
      <c r="E3" s="7">
        <f>Table5[[#This Row],[Floor % w/ No Philadelphia]]*$E$70</f>
        <v>1130418.5484593876</v>
      </c>
      <c r="F3" s="7">
        <f>Table5[[#This Row],[Floor % w/ No Philadelphia]]*$F$70</f>
        <v>1226686.3681675782</v>
      </c>
      <c r="G3" s="7">
        <f>Table5[[#This Row],[Floor % w/ No Philadelphia]]*$G$70</f>
        <v>1226686.3681675782</v>
      </c>
      <c r="H3" s="7">
        <f>Table5[[#This Row],[Floor % w/ No Philadelphia]]*$H$70</f>
        <v>1556797.509454651</v>
      </c>
      <c r="I3" s="7">
        <f>Table5[[#This Row],[Floor % w/ No Philadelphia]]*$I$70</f>
        <v>1517407.0846524439</v>
      </c>
      <c r="J3" s="7">
        <f>Table5[[#This Row],[Floor % w/ No Philadelphia]]*$J$70</f>
        <v>1650142.7585407721</v>
      </c>
      <c r="K3" s="7">
        <f>Table5[[#This Row],[Floor % w/ No Philadelphia]]*$K$70</f>
        <v>1649517.6087942687</v>
      </c>
      <c r="L3" s="7">
        <f>Table5[[#This Row],[Floor % w/ No Philadelphia]]*$L$70</f>
        <v>1649517.6101829505</v>
      </c>
      <c r="M3" s="7">
        <f>Table5[[#This Row],[Floor % w/ No Philadelphia]]*$M$70</f>
        <v>797872.51661332115</v>
      </c>
      <c r="N3" s="7">
        <f>Table5[[#This Row],[Floor % w/ No Philadelphia]]*$N$70</f>
        <v>797872.51661332115</v>
      </c>
      <c r="O3" s="7">
        <f>Table5[[#This Row],[Floor % w/ No Philadelphia]]*$O$70</f>
        <v>797872.51661332115</v>
      </c>
      <c r="P3" s="7">
        <f>Table5[[#This Row],[Floor % w/ No Philadelphia]]*$P$70</f>
        <v>797872.51661332115</v>
      </c>
      <c r="Q3" s="7">
        <f>Table5[[#This Row],[Floor % w/ No Philadelphia]]*$Q$70</f>
        <v>797872.51661332115</v>
      </c>
      <c r="R3" s="7">
        <f>SUM(Table5[[#This Row],[Payment 1]:[Payment 15]])</f>
        <v>17798392.4971915</v>
      </c>
    </row>
    <row r="4" spans="1:18" x14ac:dyDescent="0.3">
      <c r="A4" t="s">
        <v>28</v>
      </c>
      <c r="B4">
        <v>5.7542383182339367E-3</v>
      </c>
      <c r="C4" s="7">
        <f>Table5[[#This Row],[Floor % w/ No Philadelphia]]*$C$70</f>
        <v>29190.583140649676</v>
      </c>
      <c r="D4" s="7">
        <f>Table5[[#This Row],[Floor % w/ No Philadelphia]]*$D$70</f>
        <v>88023.131726440275</v>
      </c>
      <c r="E4" s="7">
        <f>Table5[[#This Row],[Floor % w/ No Philadelphia]]*$E$70</f>
        <v>60176.757220759479</v>
      </c>
      <c r="F4" s="7">
        <f>Table5[[#This Row],[Floor % w/ No Philadelphia]]*$F$70</f>
        <v>65301.483122193808</v>
      </c>
      <c r="G4" s="7">
        <f>Table5[[#This Row],[Floor % w/ No Philadelphia]]*$G$70</f>
        <v>65301.483122193808</v>
      </c>
      <c r="H4" s="7">
        <f>Table5[[#This Row],[Floor % w/ No Philadelphia]]*$H$70</f>
        <v>82874.636032833339</v>
      </c>
      <c r="I4" s="7">
        <f>Table5[[#This Row],[Floor % w/ No Philadelphia]]*$I$70</f>
        <v>80777.724200153738</v>
      </c>
      <c r="J4" s="7">
        <f>Table5[[#This Row],[Floor % w/ No Philadelphia]]*$J$70</f>
        <v>87843.781664442417</v>
      </c>
      <c r="K4" s="7">
        <f>Table5[[#This Row],[Floor % w/ No Philadelphia]]*$K$70</f>
        <v>87810.502411750364</v>
      </c>
      <c r="L4" s="7">
        <f>Table5[[#This Row],[Floor % w/ No Philadelphia]]*$L$70</f>
        <v>87810.502485675519</v>
      </c>
      <c r="M4" s="7">
        <f>Table5[[#This Row],[Floor % w/ No Philadelphia]]*$M$70</f>
        <v>42473.985225023207</v>
      </c>
      <c r="N4" s="7">
        <f>Table5[[#This Row],[Floor % w/ No Philadelphia]]*$N$70</f>
        <v>42473.985225023207</v>
      </c>
      <c r="O4" s="7">
        <f>Table5[[#This Row],[Floor % w/ No Philadelphia]]*$O$70</f>
        <v>42473.985225023207</v>
      </c>
      <c r="P4" s="7">
        <f>Table5[[#This Row],[Floor % w/ No Philadelphia]]*$P$70</f>
        <v>42473.985225023207</v>
      </c>
      <c r="Q4" s="7">
        <f>Table5[[#This Row],[Floor % w/ No Philadelphia]]*$Q$70</f>
        <v>42473.985225023207</v>
      </c>
      <c r="R4" s="7">
        <f>SUM(Table5[[#This Row],[Payment 1]:[Payment 15]])</f>
        <v>947480.51125220861</v>
      </c>
    </row>
    <row r="5" spans="1:18" x14ac:dyDescent="0.3">
      <c r="A5" t="s">
        <v>29</v>
      </c>
      <c r="B5">
        <v>1.4571507426736248E-2</v>
      </c>
      <c r="C5" s="7">
        <f>Table5[[#This Row],[Floor % w/ No Philadelphia]]*$C$70</f>
        <v>73919.56597920075</v>
      </c>
      <c r="D5" s="7">
        <f>Table5[[#This Row],[Floor % w/ No Philadelphia]]*$D$70</f>
        <v>222901.73724853061</v>
      </c>
      <c r="E5" s="7">
        <f>Table5[[#This Row],[Floor % w/ No Philadelphia]]*$E$70</f>
        <v>152386.12241356116</v>
      </c>
      <c r="F5" s="7">
        <f>Table5[[#This Row],[Floor % w/ No Philadelphia]]*$F$70</f>
        <v>165363.51010640472</v>
      </c>
      <c r="G5" s="7">
        <f>Table5[[#This Row],[Floor % w/ No Philadelphia]]*$G$70</f>
        <v>165363.51010640472</v>
      </c>
      <c r="H5" s="7">
        <f>Table5[[#This Row],[Floor % w/ No Philadelphia]]*$H$70</f>
        <v>209864.15710552773</v>
      </c>
      <c r="I5" s="7">
        <f>Table5[[#This Row],[Floor % w/ No Philadelphia]]*$I$70</f>
        <v>204554.12914817335</v>
      </c>
      <c r="J5" s="7">
        <f>Table5[[#This Row],[Floor % w/ No Philadelphia]]*$J$70</f>
        <v>222447.56753642359</v>
      </c>
      <c r="K5" s="7">
        <f>Table5[[#This Row],[Floor % w/ No Philadelphia]]*$K$70</f>
        <v>222363.29419720129</v>
      </c>
      <c r="L5" s="7">
        <f>Table5[[#This Row],[Floor % w/ No Philadelphia]]*$L$70</f>
        <v>222363.2943844026</v>
      </c>
      <c r="M5" s="7">
        <f>Table5[[#This Row],[Floor % w/ No Philadelphia]]*$M$70</f>
        <v>107557.23988495913</v>
      </c>
      <c r="N5" s="7">
        <f>Table5[[#This Row],[Floor % w/ No Philadelphia]]*$N$70</f>
        <v>107557.23988495913</v>
      </c>
      <c r="O5" s="7">
        <f>Table5[[#This Row],[Floor % w/ No Philadelphia]]*$O$70</f>
        <v>107557.23988495913</v>
      </c>
      <c r="P5" s="7">
        <f>Table5[[#This Row],[Floor % w/ No Philadelphia]]*$P$70</f>
        <v>107557.23988495913</v>
      </c>
      <c r="Q5" s="7">
        <f>Table5[[#This Row],[Floor % w/ No Philadelphia]]*$Q$70</f>
        <v>107557.23988495913</v>
      </c>
      <c r="R5" s="7">
        <f>SUM(Table5[[#This Row],[Payment 1]:[Payment 15]])</f>
        <v>2399313.087650626</v>
      </c>
    </row>
    <row r="6" spans="1:18" x14ac:dyDescent="0.3">
      <c r="A6" t="s">
        <v>30</v>
      </c>
      <c r="B6">
        <v>4.2567230182063301E-3</v>
      </c>
      <c r="C6" s="7">
        <f>Table5[[#This Row],[Floor % w/ No Philadelphia]]*$C$70</f>
        <v>21593.861828059504</v>
      </c>
      <c r="D6" s="7">
        <f>Table5[[#This Row],[Floor % w/ No Philadelphia]]*$D$70</f>
        <v>65115.497522449565</v>
      </c>
      <c r="E6" s="7">
        <f>Table5[[#This Row],[Floor % w/ No Philadelphia]]*$E$70</f>
        <v>44516.019924117252</v>
      </c>
      <c r="F6" s="7">
        <f>Table5[[#This Row],[Floor % w/ No Philadelphia]]*$F$70</f>
        <v>48307.058372682746</v>
      </c>
      <c r="G6" s="7">
        <f>Table5[[#This Row],[Floor % w/ No Philadelphia]]*$G$70</f>
        <v>48307.058372682746</v>
      </c>
      <c r="H6" s="7">
        <f>Table5[[#This Row],[Floor % w/ No Philadelphia]]*$H$70</f>
        <v>61306.875265935327</v>
      </c>
      <c r="I6" s="7">
        <f>Table5[[#This Row],[Floor % w/ No Philadelphia]]*$I$70</f>
        <v>59755.675546411716</v>
      </c>
      <c r="J6" s="7">
        <f>Table5[[#This Row],[Floor % w/ No Philadelphia]]*$J$70</f>
        <v>64982.822527949626</v>
      </c>
      <c r="K6" s="7">
        <f>Table5[[#This Row],[Floor % w/ No Philadelphia]]*$K$70</f>
        <v>64958.204054899237</v>
      </c>
      <c r="L6" s="7">
        <f>Table5[[#This Row],[Floor % w/ No Philadelphia]]*$L$70</f>
        <v>64958.204109585691</v>
      </c>
      <c r="M6" s="7">
        <f>Table5[[#This Row],[Floor % w/ No Philadelphia]]*$M$70</f>
        <v>31420.316744510874</v>
      </c>
      <c r="N6" s="7">
        <f>Table5[[#This Row],[Floor % w/ No Philadelphia]]*$N$70</f>
        <v>31420.316744510874</v>
      </c>
      <c r="O6" s="7">
        <f>Table5[[#This Row],[Floor % w/ No Philadelphia]]*$O$70</f>
        <v>31420.316744510874</v>
      </c>
      <c r="P6" s="7">
        <f>Table5[[#This Row],[Floor % w/ No Philadelphia]]*$P$70</f>
        <v>31420.316744510874</v>
      </c>
      <c r="Q6" s="7">
        <f>Table5[[#This Row],[Floor % w/ No Philadelphia]]*$Q$70</f>
        <v>31420.316744510874</v>
      </c>
      <c r="R6" s="7">
        <f>SUM(Table5[[#This Row],[Payment 1]:[Payment 15]])</f>
        <v>700902.86124732788</v>
      </c>
    </row>
    <row r="7" spans="1:18" x14ac:dyDescent="0.3">
      <c r="A7" t="s">
        <v>31</v>
      </c>
      <c r="B7">
        <v>3.7436904720177307E-2</v>
      </c>
      <c r="C7" s="7">
        <f>Table5[[#This Row],[Floor % w/ No Philadelphia]]*$C$70</f>
        <v>189913.07264769572</v>
      </c>
      <c r="D7" s="7">
        <f>Table5[[#This Row],[Floor % w/ No Philadelphia]]*$D$70</f>
        <v>572675.89789811533</v>
      </c>
      <c r="E7" s="7">
        <f>Table5[[#This Row],[Floor % w/ No Philadelphia]]*$E$70</f>
        <v>391508.20696877962</v>
      </c>
      <c r="F7" s="7">
        <f>Table5[[#This Row],[Floor % w/ No Philadelphia]]*$F$70</f>
        <v>424849.52247896249</v>
      </c>
      <c r="G7" s="7">
        <f>Table5[[#This Row],[Floor % w/ No Philadelphia]]*$G$70</f>
        <v>424849.52247896249</v>
      </c>
      <c r="H7" s="7">
        <f>Table5[[#This Row],[Floor % w/ No Philadelphia]]*$H$70</f>
        <v>539179.93682138296</v>
      </c>
      <c r="I7" s="7">
        <f>Table5[[#This Row],[Floor % w/ No Philadelphia]]*$I$70</f>
        <v>525537.49030715309</v>
      </c>
      <c r="J7" s="7">
        <f>Table5[[#This Row],[Floor % w/ No Philadelphia]]*$J$70</f>
        <v>571509.05168646376</v>
      </c>
      <c r="K7" s="7">
        <f>Table5[[#This Row],[Floor % w/ No Philadelphia]]*$K$70</f>
        <v>571292.53785035049</v>
      </c>
      <c r="L7" s="7">
        <f>Table5[[#This Row],[Floor % w/ No Philadelphia]]*$L$70</f>
        <v>571292.53833130538</v>
      </c>
      <c r="M7" s="7">
        <f>Table5[[#This Row],[Floor % w/ No Philadelphia]]*$M$70</f>
        <v>276334.49468311848</v>
      </c>
      <c r="N7" s="7">
        <f>Table5[[#This Row],[Floor % w/ No Philadelphia]]*$N$70</f>
        <v>276334.49468311848</v>
      </c>
      <c r="O7" s="7">
        <f>Table5[[#This Row],[Floor % w/ No Philadelphia]]*$O$70</f>
        <v>276334.49468311848</v>
      </c>
      <c r="P7" s="7">
        <f>Table5[[#This Row],[Floor % w/ No Philadelphia]]*$P$70</f>
        <v>276334.49468311848</v>
      </c>
      <c r="Q7" s="7">
        <f>Table5[[#This Row],[Floor % w/ No Philadelphia]]*$Q$70</f>
        <v>276334.49468311848</v>
      </c>
      <c r="R7" s="7">
        <f>SUM(Table5[[#This Row],[Payment 1]:[Payment 15]])</f>
        <v>6164280.2508847648</v>
      </c>
    </row>
    <row r="8" spans="1:18" x14ac:dyDescent="0.3">
      <c r="A8" t="s">
        <v>32</v>
      </c>
      <c r="B8">
        <v>1.0829274736574069E-2</v>
      </c>
      <c r="C8" s="7">
        <f>Table5[[#This Row],[Floor % w/ No Philadelphia]]*$C$70</f>
        <v>54935.653872591487</v>
      </c>
      <c r="D8" s="7">
        <f>Table5[[#This Row],[Floor % w/ No Philadelphia]]*$D$70</f>
        <v>165656.44728663773</v>
      </c>
      <c r="E8" s="7">
        <f>Table5[[#This Row],[Floor % w/ No Philadelphia]]*$E$70</f>
        <v>113250.54692898598</v>
      </c>
      <c r="F8" s="7">
        <f>Table5[[#This Row],[Floor % w/ No Philadelphia]]*$F$70</f>
        <v>122895.10137164981</v>
      </c>
      <c r="G8" s="7">
        <f>Table5[[#This Row],[Floor % w/ No Philadelphia]]*$G$70</f>
        <v>122895.10137164981</v>
      </c>
      <c r="H8" s="7">
        <f>Table5[[#This Row],[Floor % w/ No Philadelphia]]*$H$70</f>
        <v>155967.15892861751</v>
      </c>
      <c r="I8" s="7">
        <f>Table5[[#This Row],[Floor % w/ No Philadelphia]]*$I$70</f>
        <v>152020.84438990548</v>
      </c>
      <c r="J8" s="7">
        <f>Table5[[#This Row],[Floor % w/ No Philadelphia]]*$J$70</f>
        <v>165318.91675905394</v>
      </c>
      <c r="K8" s="7">
        <f>Table5[[#This Row],[Floor % w/ No Philadelphia]]*$K$70</f>
        <v>165256.28637245906</v>
      </c>
      <c r="L8" s="7">
        <f>Table5[[#This Row],[Floor % w/ No Philadelphia]]*$L$70</f>
        <v>165256.2865115836</v>
      </c>
      <c r="M8" s="7">
        <f>Table5[[#This Row],[Floor % w/ No Philadelphia]]*$M$70</f>
        <v>79934.550799094039</v>
      </c>
      <c r="N8" s="7">
        <f>Table5[[#This Row],[Floor % w/ No Philadelphia]]*$N$70</f>
        <v>79934.550799094039</v>
      </c>
      <c r="O8" s="7">
        <f>Table5[[#This Row],[Floor % w/ No Philadelphia]]*$O$70</f>
        <v>79934.550799094039</v>
      </c>
      <c r="P8" s="7">
        <f>Table5[[#This Row],[Floor % w/ No Philadelphia]]*$P$70</f>
        <v>79934.550799094039</v>
      </c>
      <c r="Q8" s="7">
        <f>Table5[[#This Row],[Floor % w/ No Philadelphia]]*$Q$70</f>
        <v>79934.550799094039</v>
      </c>
      <c r="R8" s="7">
        <f>SUM(Table5[[#This Row],[Payment 1]:[Payment 15]])</f>
        <v>1783125.0977886049</v>
      </c>
    </row>
    <row r="9" spans="1:18" x14ac:dyDescent="0.3">
      <c r="A9" t="s">
        <v>33</v>
      </c>
      <c r="B9">
        <v>5.3620594434359431E-3</v>
      </c>
      <c r="C9" s="7">
        <f>Table5[[#This Row],[Floor % w/ No Philadelphia]]*$C$70</f>
        <v>27201.105225819272</v>
      </c>
      <c r="D9" s="7">
        <f>Table5[[#This Row],[Floor % w/ No Philadelphia]]*$D$70</f>
        <v>82023.934118082296</v>
      </c>
      <c r="E9" s="7">
        <f>Table5[[#This Row],[Floor % w/ No Philadelphia]]*$E$70</f>
        <v>56075.42327686528</v>
      </c>
      <c r="F9" s="7">
        <f>Table5[[#This Row],[Floor % w/ No Philadelphia]]*$F$70</f>
        <v>60850.8745868556</v>
      </c>
      <c r="G9" s="7">
        <f>Table5[[#This Row],[Floor % w/ No Philadelphia]]*$G$70</f>
        <v>60850.8745868556</v>
      </c>
      <c r="H9" s="7">
        <f>Table5[[#This Row],[Floor % w/ No Philadelphia]]*$H$70</f>
        <v>77226.333040991827</v>
      </c>
      <c r="I9" s="7">
        <f>Table5[[#This Row],[Floor % w/ No Philadelphia]]*$I$70</f>
        <v>75272.335783206523</v>
      </c>
      <c r="J9" s="7">
        <f>Table5[[#This Row],[Floor % w/ No Philadelphia]]*$J$70</f>
        <v>81856.807620980311</v>
      </c>
      <c r="K9" s="7">
        <f>Table5[[#This Row],[Floor % w/ No Philadelphia]]*$K$70</f>
        <v>81825.796508596861</v>
      </c>
      <c r="L9" s="7">
        <f>Table5[[#This Row],[Floor % w/ No Philadelphia]]*$L$70</f>
        <v>81825.796577483663</v>
      </c>
      <c r="M9" s="7">
        <f>Table5[[#This Row],[Floor % w/ No Philadelphia]]*$M$70</f>
        <v>39579.179898495015</v>
      </c>
      <c r="N9" s="7">
        <f>Table5[[#This Row],[Floor % w/ No Philadelphia]]*$N$70</f>
        <v>39579.179898495015</v>
      </c>
      <c r="O9" s="7">
        <f>Table5[[#This Row],[Floor % w/ No Philadelphia]]*$O$70</f>
        <v>39579.179898495015</v>
      </c>
      <c r="P9" s="7">
        <f>Table5[[#This Row],[Floor % w/ No Philadelphia]]*$P$70</f>
        <v>39579.179898495015</v>
      </c>
      <c r="Q9" s="7">
        <f>Table5[[#This Row],[Floor % w/ No Philadelphia]]*$Q$70</f>
        <v>39579.179898495015</v>
      </c>
      <c r="R9" s="7">
        <f>SUM(Table5[[#This Row],[Payment 1]:[Payment 15]])</f>
        <v>882905.18081821199</v>
      </c>
    </row>
    <row r="10" spans="1:18" x14ac:dyDescent="0.3">
      <c r="A10" t="s">
        <v>34</v>
      </c>
      <c r="B10">
        <v>5.5846378438199361E-2</v>
      </c>
      <c r="C10" s="7">
        <f>Table5[[#This Row],[Floor % w/ No Philadelphia]]*$C$70</f>
        <v>283302.19618098362</v>
      </c>
      <c r="D10" s="7">
        <f>Table5[[#This Row],[Floor % w/ No Philadelphia]]*$D$70</f>
        <v>854287.37112490367</v>
      </c>
      <c r="E10" s="7">
        <f>Table5[[#This Row],[Floor % w/ No Philadelphia]]*$E$70</f>
        <v>584031.06911387283</v>
      </c>
      <c r="F10" s="7">
        <f>Table5[[#This Row],[Floor % w/ No Philadelphia]]*$F$70</f>
        <v>633767.86593312281</v>
      </c>
      <c r="G10" s="7">
        <f>Table5[[#This Row],[Floor % w/ No Philadelphia]]*$G$70</f>
        <v>633767.86593312281</v>
      </c>
      <c r="H10" s="7">
        <f>Table5[[#This Row],[Floor % w/ No Philadelphia]]*$H$70</f>
        <v>804319.88229471247</v>
      </c>
      <c r="I10" s="7">
        <f>Table5[[#This Row],[Floor % w/ No Philadelphia]]*$I$70</f>
        <v>783968.80795907299</v>
      </c>
      <c r="J10" s="7">
        <f>Table5[[#This Row],[Floor % w/ No Philadelphia]]*$J$70</f>
        <v>852546.73215909849</v>
      </c>
      <c r="K10" s="7">
        <f>Table5[[#This Row],[Floor % w/ No Philadelphia]]*$K$70</f>
        <v>852223.74836225237</v>
      </c>
      <c r="L10" s="7">
        <f>Table5[[#This Row],[Floor % w/ No Philadelphia]]*$L$70</f>
        <v>852223.74907971523</v>
      </c>
      <c r="M10" s="7">
        <f>Table5[[#This Row],[Floor % w/ No Philadelphia]]*$M$70</f>
        <v>412221.06584267138</v>
      </c>
      <c r="N10" s="7">
        <f>Table5[[#This Row],[Floor % w/ No Philadelphia]]*$N$70</f>
        <v>412221.06584267138</v>
      </c>
      <c r="O10" s="7">
        <f>Table5[[#This Row],[Floor % w/ No Philadelphia]]*$O$70</f>
        <v>412221.06584267138</v>
      </c>
      <c r="P10" s="7">
        <f>Table5[[#This Row],[Floor % w/ No Philadelphia]]*$P$70</f>
        <v>412221.06584267138</v>
      </c>
      <c r="Q10" s="7">
        <f>Table5[[#This Row],[Floor % w/ No Philadelphia]]*$Q$70</f>
        <v>412221.06584267138</v>
      </c>
      <c r="R10" s="7">
        <f>SUM(Table5[[#This Row],[Payment 1]:[Payment 15]])</f>
        <v>9195544.6173542161</v>
      </c>
    </row>
    <row r="11" spans="1:18" x14ac:dyDescent="0.3">
      <c r="A11" t="s">
        <v>35</v>
      </c>
      <c r="B11">
        <v>1.6698091153088745E-2</v>
      </c>
      <c r="C11" s="7">
        <f>Table5[[#This Row],[Floor % w/ No Philadelphia]]*$C$70</f>
        <v>84707.478407669187</v>
      </c>
      <c r="D11" s="7">
        <f>Table5[[#This Row],[Floor % w/ No Philadelphia]]*$D$70</f>
        <v>255432.29109765953</v>
      </c>
      <c r="E11" s="7">
        <f>Table5[[#This Row],[Floor % w/ No Philadelphia]]*$E$70</f>
        <v>174625.54065329934</v>
      </c>
      <c r="F11" s="7">
        <f>Table5[[#This Row],[Floor % w/ No Philadelphia]]*$F$70</f>
        <v>189496.86427672009</v>
      </c>
      <c r="G11" s="7">
        <f>Table5[[#This Row],[Floor % w/ No Philadelphia]]*$G$70</f>
        <v>189496.86427672009</v>
      </c>
      <c r="H11" s="7">
        <f>Table5[[#This Row],[Floor % w/ No Philadelphia]]*$H$70</f>
        <v>240491.99046382707</v>
      </c>
      <c r="I11" s="7">
        <f>Table5[[#This Row],[Floor % w/ No Philadelphia]]*$I$70</f>
        <v>234407.01049156534</v>
      </c>
      <c r="J11" s="7">
        <f>Table5[[#This Row],[Floor % w/ No Philadelphia]]*$J$70</f>
        <v>254911.83929884149</v>
      </c>
      <c r="K11" s="7">
        <f>Table5[[#This Row],[Floor % w/ No Philadelphia]]*$K$70</f>
        <v>254815.26700478172</v>
      </c>
      <c r="L11" s="7">
        <f>Table5[[#This Row],[Floor % w/ No Philadelphia]]*$L$70</f>
        <v>254815.26721930344</v>
      </c>
      <c r="M11" s="7">
        <f>Table5[[#This Row],[Floor % w/ No Philadelphia]]*$M$70</f>
        <v>123254.27583959659</v>
      </c>
      <c r="N11" s="7">
        <f>Table5[[#This Row],[Floor % w/ No Philadelphia]]*$N$70</f>
        <v>123254.27583959659</v>
      </c>
      <c r="O11" s="7">
        <f>Table5[[#This Row],[Floor % w/ No Philadelphia]]*$O$70</f>
        <v>123254.27583959659</v>
      </c>
      <c r="P11" s="7">
        <f>Table5[[#This Row],[Floor % w/ No Philadelphia]]*$P$70</f>
        <v>123254.27583959659</v>
      </c>
      <c r="Q11" s="7">
        <f>Table5[[#This Row],[Floor % w/ No Philadelphia]]*$Q$70</f>
        <v>123254.27583959659</v>
      </c>
      <c r="R11" s="7">
        <f>SUM(Table5[[#This Row],[Payment 1]:[Payment 15]])</f>
        <v>2749471.7923883698</v>
      </c>
    </row>
    <row r="12" spans="1:18" x14ac:dyDescent="0.3">
      <c r="A12" t="s">
        <v>36</v>
      </c>
      <c r="B12">
        <v>1.1572654593767093E-2</v>
      </c>
      <c r="C12" s="7">
        <f>Table5[[#This Row],[Floor % w/ No Philadelphia]]*$C$70</f>
        <v>58706.733610063537</v>
      </c>
      <c r="D12" s="7">
        <f>Table5[[#This Row],[Floor % w/ No Philadelphia]]*$D$70</f>
        <v>177027.99977954297</v>
      </c>
      <c r="E12" s="7">
        <f>Table5[[#This Row],[Floor % w/ No Philadelphia]]*$E$70</f>
        <v>121024.67561728769</v>
      </c>
      <c r="F12" s="7">
        <f>Table5[[#This Row],[Floor % w/ No Philadelphia]]*$F$70</f>
        <v>131331.28432292666</v>
      </c>
      <c r="G12" s="7">
        <f>Table5[[#This Row],[Floor % w/ No Philadelphia]]*$G$70</f>
        <v>131331.28432292666</v>
      </c>
      <c r="H12" s="7">
        <f>Table5[[#This Row],[Floor % w/ No Philadelphia]]*$H$70</f>
        <v>166673.58638119471</v>
      </c>
      <c r="I12" s="7">
        <f>Table5[[#This Row],[Floor % w/ No Philadelphia]]*$I$70</f>
        <v>162456.37551658941</v>
      </c>
      <c r="J12" s="7">
        <f>Table5[[#This Row],[Floor % w/ No Philadelphia]]*$J$70</f>
        <v>176667.29933509056</v>
      </c>
      <c r="K12" s="7">
        <f>Table5[[#This Row],[Floor % w/ No Philadelphia]]*$K$70</f>
        <v>176600.36966078018</v>
      </c>
      <c r="L12" s="7">
        <f>Table5[[#This Row],[Floor % w/ No Philadelphia]]*$L$70</f>
        <v>176600.36980945501</v>
      </c>
      <c r="M12" s="7">
        <f>Table5[[#This Row],[Floor % w/ No Philadelphia]]*$M$70</f>
        <v>85421.689726055789</v>
      </c>
      <c r="N12" s="7">
        <f>Table5[[#This Row],[Floor % w/ No Philadelphia]]*$N$70</f>
        <v>85421.689726055789</v>
      </c>
      <c r="O12" s="7">
        <f>Table5[[#This Row],[Floor % w/ No Philadelphia]]*$O$70</f>
        <v>85421.689726055789</v>
      </c>
      <c r="P12" s="7">
        <f>Table5[[#This Row],[Floor % w/ No Philadelphia]]*$P$70</f>
        <v>85421.689726055789</v>
      </c>
      <c r="Q12" s="7">
        <f>Table5[[#This Row],[Floor % w/ No Philadelphia]]*$Q$70</f>
        <v>85421.689726055789</v>
      </c>
      <c r="R12" s="7">
        <f>SUM(Table5[[#This Row],[Payment 1]:[Payment 15]])</f>
        <v>1905528.4269861365</v>
      </c>
    </row>
    <row r="13" spans="1:18" x14ac:dyDescent="0.3">
      <c r="A13" t="s">
        <v>37</v>
      </c>
      <c r="B13">
        <v>1.4285890000000001E-3</v>
      </c>
      <c r="C13" s="7">
        <f>Table5[[#This Row],[Floor % w/ No Philadelphia]]*$C$70</f>
        <v>7247.0661922664967</v>
      </c>
      <c r="D13" s="7">
        <f>Table5[[#This Row],[Floor % w/ No Philadelphia]]*$D$70</f>
        <v>21853.262026265511</v>
      </c>
      <c r="E13" s="7">
        <f>Table5[[#This Row],[Floor % w/ No Philadelphia]]*$E$70</f>
        <v>14939.918833190142</v>
      </c>
      <c r="F13" s="7">
        <f>Table5[[#This Row],[Floor % w/ No Philadelphia]]*$F$70</f>
        <v>16212.220508218983</v>
      </c>
      <c r="G13" s="7">
        <f>Table5[[#This Row],[Floor % w/ No Philadelphia]]*$G$70</f>
        <v>16212.220508218983</v>
      </c>
      <c r="H13" s="7">
        <f>Table5[[#This Row],[Floor % w/ No Philadelphia]]*$H$70</f>
        <v>20575.059089983297</v>
      </c>
      <c r="I13" s="7">
        <f>Table5[[#This Row],[Floor % w/ No Philadelphia]]*$I$70</f>
        <v>20054.46452777279</v>
      </c>
      <c r="J13" s="7">
        <f>Table5[[#This Row],[Floor % w/ No Philadelphia]]*$J$70</f>
        <v>21808.735277189517</v>
      </c>
      <c r="K13" s="7">
        <f>Table5[[#This Row],[Floor % w/ No Philadelphia]]*$K$70</f>
        <v>21800.473128196936</v>
      </c>
      <c r="L13" s="7">
        <f>Table5[[#This Row],[Floor % w/ No Philadelphia]]*$L$70</f>
        <v>21800.473146550132</v>
      </c>
      <c r="M13" s="7">
        <f>Table5[[#This Row],[Floor % w/ No Philadelphia]]*$M$70</f>
        <v>10544.900075889391</v>
      </c>
      <c r="N13" s="7">
        <f>Table5[[#This Row],[Floor % w/ No Philadelphia]]*$N$70</f>
        <v>10544.900075889391</v>
      </c>
      <c r="O13" s="7">
        <f>Table5[[#This Row],[Floor % w/ No Philadelphia]]*$O$70</f>
        <v>10544.900075889391</v>
      </c>
      <c r="P13" s="7">
        <f>Table5[[#This Row],[Floor % w/ No Philadelphia]]*$P$70</f>
        <v>10544.900075889391</v>
      </c>
      <c r="Q13" s="7">
        <f>Table5[[#This Row],[Floor % w/ No Philadelphia]]*$Q$70</f>
        <v>10544.900075889391</v>
      </c>
      <c r="R13" s="7">
        <f>SUM(Table5[[#This Row],[Payment 1]:[Payment 15]])</f>
        <v>235228.39361729976</v>
      </c>
    </row>
    <row r="14" spans="1:18" x14ac:dyDescent="0.3">
      <c r="A14" t="s">
        <v>38</v>
      </c>
      <c r="B14">
        <v>5.7050826251778871E-3</v>
      </c>
      <c r="C14" s="7">
        <f>Table5[[#This Row],[Floor % w/ No Philadelphia]]*$C$70</f>
        <v>28941.222014878775</v>
      </c>
      <c r="D14" s="7">
        <f>Table5[[#This Row],[Floor % w/ No Philadelphia]]*$D$70</f>
        <v>87271.192406988339</v>
      </c>
      <c r="E14" s="7">
        <f>Table5[[#This Row],[Floor % w/ No Philadelphia]]*$E$70</f>
        <v>59662.696098598666</v>
      </c>
      <c r="F14" s="7">
        <f>Table5[[#This Row],[Floor % w/ No Philadelphia]]*$F$70</f>
        <v>64743.643929074584</v>
      </c>
      <c r="G14" s="7">
        <f>Table5[[#This Row],[Floor % w/ No Philadelphia]]*$G$70</f>
        <v>64743.643929074584</v>
      </c>
      <c r="H14" s="7">
        <f>Table5[[#This Row],[Floor % w/ No Philadelphia]]*$H$70</f>
        <v>82166.677838253032</v>
      </c>
      <c r="I14" s="7">
        <f>Table5[[#This Row],[Floor % w/ No Philadelphia]]*$I$70</f>
        <v>80087.67891579929</v>
      </c>
      <c r="J14" s="7">
        <f>Table5[[#This Row],[Floor % w/ No Philadelphia]]*$J$70</f>
        <v>87093.374446392889</v>
      </c>
      <c r="K14" s="7">
        <f>Table5[[#This Row],[Floor % w/ No Philadelphia]]*$K$70</f>
        <v>87060.379482365985</v>
      </c>
      <c r="L14" s="7">
        <f>Table5[[#This Row],[Floor % w/ No Philadelphia]]*$L$70</f>
        <v>87060.379555659631</v>
      </c>
      <c r="M14" s="7">
        <f>Table5[[#This Row],[Floor % w/ No Philadelphia]]*$M$70</f>
        <v>42111.150377885831</v>
      </c>
      <c r="N14" s="7">
        <f>Table5[[#This Row],[Floor % w/ No Philadelphia]]*$N$70</f>
        <v>42111.150377885831</v>
      </c>
      <c r="O14" s="7">
        <f>Table5[[#This Row],[Floor % w/ No Philadelphia]]*$O$70</f>
        <v>42111.150377885831</v>
      </c>
      <c r="P14" s="7">
        <f>Table5[[#This Row],[Floor % w/ No Philadelphia]]*$P$70</f>
        <v>42111.150377885831</v>
      </c>
      <c r="Q14" s="7">
        <f>Table5[[#This Row],[Floor % w/ No Philadelphia]]*$Q$70</f>
        <v>42111.150377885831</v>
      </c>
      <c r="R14" s="7">
        <f>SUM(Table5[[#This Row],[Payment 1]:[Payment 15]])</f>
        <v>939386.6405065147</v>
      </c>
    </row>
    <row r="15" spans="1:18" x14ac:dyDescent="0.3">
      <c r="A15" t="s">
        <v>39</v>
      </c>
      <c r="B15">
        <v>1.4434262598384456E-2</v>
      </c>
      <c r="C15" s="7">
        <f>Table5[[#This Row],[Floor % w/ No Philadelphia]]*$C$70</f>
        <v>73223.33889386573</v>
      </c>
      <c r="D15" s="7">
        <f>Table5[[#This Row],[Floor % w/ No Philadelphia]]*$D$70</f>
        <v>220802.29003472626</v>
      </c>
      <c r="E15" s="7">
        <f>Table5[[#This Row],[Floor % w/ No Philadelphia]]*$E$70</f>
        <v>150950.84145042137</v>
      </c>
      <c r="F15" s="7">
        <f>Table5[[#This Row],[Floor % w/ No Philadelphia]]*$F$70</f>
        <v>163805.9988691966</v>
      </c>
      <c r="G15" s="7">
        <f>Table5[[#This Row],[Floor % w/ No Philadelphia]]*$G$70</f>
        <v>163805.9988691966</v>
      </c>
      <c r="H15" s="7">
        <f>Table5[[#This Row],[Floor % w/ No Philadelphia]]*$H$70</f>
        <v>207887.50710112989</v>
      </c>
      <c r="I15" s="7">
        <f>Table5[[#This Row],[Floor % w/ No Philadelphia]]*$I$70</f>
        <v>202627.49276653994</v>
      </c>
      <c r="J15" s="7">
        <f>Table5[[#This Row],[Floor % w/ No Philadelphia]]*$J$70</f>
        <v>220352.39801622741</v>
      </c>
      <c r="K15" s="7">
        <f>Table5[[#This Row],[Floor % w/ No Philadelphia]]*$K$70</f>
        <v>220268.91842329627</v>
      </c>
      <c r="L15" s="7">
        <f>Table5[[#This Row],[Floor % w/ No Philadelphia]]*$L$70</f>
        <v>220268.91860873438</v>
      </c>
      <c r="M15" s="7">
        <f>Table5[[#This Row],[Floor % w/ No Philadelphia]]*$M$70</f>
        <v>106544.18924485044</v>
      </c>
      <c r="N15" s="7">
        <f>Table5[[#This Row],[Floor % w/ No Philadelphia]]*$N$70</f>
        <v>106544.18924485044</v>
      </c>
      <c r="O15" s="7">
        <f>Table5[[#This Row],[Floor % w/ No Philadelphia]]*$O$70</f>
        <v>106544.18924485044</v>
      </c>
      <c r="P15" s="7">
        <f>Table5[[#This Row],[Floor % w/ No Philadelphia]]*$P$70</f>
        <v>106544.18924485044</v>
      </c>
      <c r="Q15" s="7">
        <f>Table5[[#This Row],[Floor % w/ No Philadelphia]]*$Q$70</f>
        <v>106544.18924485044</v>
      </c>
      <c r="R15" s="7">
        <f>SUM(Table5[[#This Row],[Payment 1]:[Payment 15]])</f>
        <v>2376714.6492575868</v>
      </c>
    </row>
    <row r="16" spans="1:18" x14ac:dyDescent="0.3">
      <c r="A16" t="s">
        <v>40</v>
      </c>
      <c r="B16">
        <v>4.6665819424597452E-2</v>
      </c>
      <c r="C16" s="7">
        <f>Table5[[#This Row],[Floor % w/ No Philadelphia]]*$C$70</f>
        <v>236730.28581797378</v>
      </c>
      <c r="D16" s="7">
        <f>Table5[[#This Row],[Floor % w/ No Philadelphia]]*$D$70</f>
        <v>713851.4853160138</v>
      </c>
      <c r="E16" s="7">
        <f>Table5[[#This Row],[Floor % w/ No Philadelphia]]*$E$70</f>
        <v>488022.48546488449</v>
      </c>
      <c r="F16" s="7">
        <f>Table5[[#This Row],[Floor % w/ No Philadelphia]]*$F$70</f>
        <v>529583.07442399638</v>
      </c>
      <c r="G16" s="7">
        <f>Table5[[#This Row],[Floor % w/ No Philadelphia]]*$G$70</f>
        <v>529583.07442399638</v>
      </c>
      <c r="H16" s="7">
        <f>Table5[[#This Row],[Floor % w/ No Philadelphia]]*$H$70</f>
        <v>672098.12769353739</v>
      </c>
      <c r="I16" s="7">
        <f>Table5[[#This Row],[Floor % w/ No Philadelphia]]*$I$70</f>
        <v>655092.55657858204</v>
      </c>
      <c r="J16" s="7">
        <f>Table5[[#This Row],[Floor % w/ No Philadelphia]]*$J$70</f>
        <v>712396.98914395552</v>
      </c>
      <c r="K16" s="7">
        <f>Table5[[#This Row],[Floor % w/ No Philadelphia]]*$K$70</f>
        <v>712127.10049652297</v>
      </c>
      <c r="L16" s="7">
        <f>Table5[[#This Row],[Floor % w/ No Philadelphia]]*$L$70</f>
        <v>712127.10109604243</v>
      </c>
      <c r="M16" s="7">
        <f>Table5[[#This Row],[Floor % w/ No Philadelphia]]*$M$70</f>
        <v>344456.24514249951</v>
      </c>
      <c r="N16" s="7">
        <f>Table5[[#This Row],[Floor % w/ No Philadelphia]]*$N$70</f>
        <v>344456.24514249951</v>
      </c>
      <c r="O16" s="7">
        <f>Table5[[#This Row],[Floor % w/ No Philadelphia]]*$O$70</f>
        <v>344456.24514249951</v>
      </c>
      <c r="P16" s="7">
        <f>Table5[[#This Row],[Floor % w/ No Philadelphia]]*$P$70</f>
        <v>344456.24514249951</v>
      </c>
      <c r="Q16" s="7">
        <f>Table5[[#This Row],[Floor % w/ No Philadelphia]]*$Q$70</f>
        <v>344456.24514249951</v>
      </c>
      <c r="R16" s="7">
        <f>SUM(Table5[[#This Row],[Payment 1]:[Payment 15]])</f>
        <v>7683893.5061680051</v>
      </c>
    </row>
    <row r="17" spans="1:18" x14ac:dyDescent="0.3">
      <c r="A17" t="s">
        <v>41</v>
      </c>
      <c r="B17">
        <v>3.416720668514344E-3</v>
      </c>
      <c r="C17" s="7">
        <f>Table5[[#This Row],[Floor % w/ No Philadelphia]]*$C$70</f>
        <v>17332.627400328915</v>
      </c>
      <c r="D17" s="7">
        <f>Table5[[#This Row],[Floor % w/ No Philadelphia]]*$D$70</f>
        <v>52265.901557131561</v>
      </c>
      <c r="E17" s="7">
        <f>Table5[[#This Row],[Floor % w/ No Philadelphia]]*$E$70</f>
        <v>35731.43112769835</v>
      </c>
      <c r="F17" s="7">
        <f>Table5[[#This Row],[Floor % w/ No Philadelphia]]*$F$70</f>
        <v>38774.36330039215</v>
      </c>
      <c r="G17" s="7">
        <f>Table5[[#This Row],[Floor % w/ No Philadelphia]]*$G$70</f>
        <v>38774.36330039215</v>
      </c>
      <c r="H17" s="7">
        <f>Table5[[#This Row],[Floor % w/ No Philadelphia]]*$H$70</f>
        <v>49208.855485132437</v>
      </c>
      <c r="I17" s="7">
        <f>Table5[[#This Row],[Floor % w/ No Philadelphia]]*$I$70</f>
        <v>47963.762459342077</v>
      </c>
      <c r="J17" s="7">
        <f>Table5[[#This Row],[Floor % w/ No Philadelphia]]*$J$70</f>
        <v>52159.408042293006</v>
      </c>
      <c r="K17" s="7">
        <f>Table5[[#This Row],[Floor % w/ No Philadelphia]]*$K$70</f>
        <v>52139.647666685109</v>
      </c>
      <c r="L17" s="7">
        <f>Table5[[#This Row],[Floor % w/ No Philadelphia]]*$L$70</f>
        <v>52139.647710579993</v>
      </c>
      <c r="M17" s="7">
        <f>Table5[[#This Row],[Floor % w/ No Philadelphia]]*$M$70</f>
        <v>25219.974420011462</v>
      </c>
      <c r="N17" s="7">
        <f>Table5[[#This Row],[Floor % w/ No Philadelphia]]*$N$70</f>
        <v>25219.974420011462</v>
      </c>
      <c r="O17" s="7">
        <f>Table5[[#This Row],[Floor % w/ No Philadelphia]]*$O$70</f>
        <v>25219.974420011462</v>
      </c>
      <c r="P17" s="7">
        <f>Table5[[#This Row],[Floor % w/ No Philadelphia]]*$P$70</f>
        <v>25219.974420011462</v>
      </c>
      <c r="Q17" s="7">
        <f>Table5[[#This Row],[Floor % w/ No Philadelphia]]*$Q$70</f>
        <v>25219.974420011462</v>
      </c>
      <c r="R17" s="7">
        <f>SUM(Table5[[#This Row],[Payment 1]:[Payment 15]])</f>
        <v>562589.88015003304</v>
      </c>
    </row>
    <row r="18" spans="1:18" x14ac:dyDescent="0.3">
      <c r="A18" t="s">
        <v>42</v>
      </c>
      <c r="B18">
        <v>7.0449085952209878E-3</v>
      </c>
      <c r="C18" s="7">
        <f>Table5[[#This Row],[Floor % w/ No Philadelphia]]*$C$70</f>
        <v>35738.003658178575</v>
      </c>
      <c r="D18" s="7">
        <f>Table5[[#This Row],[Floor % w/ No Philadelphia]]*$D$70</f>
        <v>107766.63790807175</v>
      </c>
      <c r="E18" s="7">
        <f>Table5[[#This Row],[Floor % w/ No Philadelphia]]*$E$70</f>
        <v>73674.347625415816</v>
      </c>
      <c r="F18" s="7">
        <f>Table5[[#This Row],[Floor % w/ No Philadelphia]]*$F$70</f>
        <v>79948.544757078402</v>
      </c>
      <c r="G18" s="7">
        <f>Table5[[#This Row],[Floor % w/ No Philadelphia]]*$G$70</f>
        <v>79948.544757078402</v>
      </c>
      <c r="H18" s="7">
        <f>Table5[[#This Row],[Floor % w/ No Philadelphia]]*$H$70</f>
        <v>101463.33944206699</v>
      </c>
      <c r="I18" s="7">
        <f>Table5[[#This Row],[Floor % w/ No Philadelphia]]*$I$70</f>
        <v>98896.092245048028</v>
      </c>
      <c r="J18" s="7">
        <f>Table5[[#This Row],[Floor % w/ No Philadelphia]]*$J$70</f>
        <v>107547.05979478464</v>
      </c>
      <c r="K18" s="7">
        <f>Table5[[#This Row],[Floor % w/ No Philadelphia]]*$K$70</f>
        <v>107506.31603681587</v>
      </c>
      <c r="L18" s="7">
        <f>Table5[[#This Row],[Floor % w/ No Philadelphia]]*$L$70</f>
        <v>107506.31612732237</v>
      </c>
      <c r="M18" s="7">
        <f>Table5[[#This Row],[Floor % w/ No Philadelphia]]*$M$70</f>
        <v>52000.860415682611</v>
      </c>
      <c r="N18" s="7">
        <f>Table5[[#This Row],[Floor % w/ No Philadelphia]]*$N$70</f>
        <v>52000.860415682611</v>
      </c>
      <c r="O18" s="7">
        <f>Table5[[#This Row],[Floor % w/ No Philadelphia]]*$O$70</f>
        <v>52000.860415682611</v>
      </c>
      <c r="P18" s="7">
        <f>Table5[[#This Row],[Floor % w/ No Philadelphia]]*$P$70</f>
        <v>52000.860415682611</v>
      </c>
      <c r="Q18" s="7">
        <f>Table5[[#This Row],[Floor % w/ No Philadelphia]]*$Q$70</f>
        <v>52000.860415682611</v>
      </c>
      <c r="R18" s="7">
        <f>SUM(Table5[[#This Row],[Payment 1]:[Payment 15]])</f>
        <v>1159999.504430274</v>
      </c>
    </row>
    <row r="19" spans="1:18" x14ac:dyDescent="0.3">
      <c r="A19" t="s">
        <v>43</v>
      </c>
      <c r="B19">
        <v>3.4339651611958516E-3</v>
      </c>
      <c r="C19" s="7">
        <f>Table5[[#This Row],[Floor % w/ No Philadelphia]]*$C$70</f>
        <v>17420.10671027386</v>
      </c>
      <c r="D19" s="7">
        <f>Table5[[#This Row],[Floor % w/ No Philadelphia]]*$D$70</f>
        <v>52529.692204461899</v>
      </c>
      <c r="E19" s="7">
        <f>Table5[[#This Row],[Floor % w/ No Philadelphia]]*$E$70</f>
        <v>35911.770834206844</v>
      </c>
      <c r="F19" s="7">
        <f>Table5[[#This Row],[Floor % w/ No Philadelphia]]*$F$70</f>
        <v>38970.060955844463</v>
      </c>
      <c r="G19" s="7">
        <f>Table5[[#This Row],[Floor % w/ No Philadelphia]]*$G$70</f>
        <v>38970.060955844463</v>
      </c>
      <c r="H19" s="7">
        <f>Table5[[#This Row],[Floor % w/ No Philadelphia]]*$H$70</f>
        <v>49457.21694941559</v>
      </c>
      <c r="I19" s="7">
        <f>Table5[[#This Row],[Floor % w/ No Philadelphia]]*$I$70</f>
        <v>48205.839828536948</v>
      </c>
      <c r="J19" s="7">
        <f>Table5[[#This Row],[Floor % w/ No Philadelphia]]*$J$70</f>
        <v>52422.661207395373</v>
      </c>
      <c r="K19" s="7">
        <f>Table5[[#This Row],[Floor % w/ No Philadelphia]]*$K$70</f>
        <v>52402.801099416705</v>
      </c>
      <c r="L19" s="7">
        <f>Table5[[#This Row],[Floor % w/ No Philadelphia]]*$L$70</f>
        <v>52402.801143533128</v>
      </c>
      <c r="M19" s="7">
        <f>Table5[[#This Row],[Floor % w/ No Philadelphia]]*$M$70</f>
        <v>25347.261870905946</v>
      </c>
      <c r="N19" s="7">
        <f>Table5[[#This Row],[Floor % w/ No Philadelphia]]*$N$70</f>
        <v>25347.261870905946</v>
      </c>
      <c r="O19" s="7">
        <f>Table5[[#This Row],[Floor % w/ No Philadelphia]]*$O$70</f>
        <v>25347.261870905946</v>
      </c>
      <c r="P19" s="7">
        <f>Table5[[#This Row],[Floor % w/ No Philadelphia]]*$P$70</f>
        <v>25347.261870905946</v>
      </c>
      <c r="Q19" s="7">
        <f>Table5[[#This Row],[Floor % w/ No Philadelphia]]*$Q$70</f>
        <v>25347.261870905946</v>
      </c>
      <c r="R19" s="7">
        <f>SUM(Table5[[#This Row],[Payment 1]:[Payment 15]])</f>
        <v>565429.32124345901</v>
      </c>
    </row>
    <row r="20" spans="1:18" x14ac:dyDescent="0.3">
      <c r="A20" t="s">
        <v>44</v>
      </c>
      <c r="B20">
        <v>5.7745939307291185E-3</v>
      </c>
      <c r="C20" s="7">
        <f>Table5[[#This Row],[Floor % w/ No Philadelphia]]*$C$70</f>
        <v>29293.844800326959</v>
      </c>
      <c r="D20" s="7">
        <f>Table5[[#This Row],[Floor % w/ No Philadelphia]]*$D$70</f>
        <v>88334.513469938465</v>
      </c>
      <c r="E20" s="7">
        <f>Table5[[#This Row],[Floor % w/ No Philadelphia]]*$E$70</f>
        <v>60389.632441328788</v>
      </c>
      <c r="F20" s="7">
        <f>Table5[[#This Row],[Floor % w/ No Philadelphia]]*$F$70</f>
        <v>65532.48705569165</v>
      </c>
      <c r="G20" s="7">
        <f>Table5[[#This Row],[Floor % w/ No Philadelphia]]*$G$70</f>
        <v>65532.48705569165</v>
      </c>
      <c r="H20" s="7">
        <f>Table5[[#This Row],[Floor % w/ No Philadelphia]]*$H$70</f>
        <v>83167.804977786145</v>
      </c>
      <c r="I20" s="7">
        <f>Table5[[#This Row],[Floor % w/ No Philadelphia]]*$I$70</f>
        <v>81063.475321522943</v>
      </c>
      <c r="J20" s="7">
        <f>Table5[[#This Row],[Floor % w/ No Philadelphia]]*$J$70</f>
        <v>88154.528957269446</v>
      </c>
      <c r="K20" s="7">
        <f>Table5[[#This Row],[Floor % w/ No Philadelphia]]*$K$70</f>
        <v>88121.131979253129</v>
      </c>
      <c r="L20" s="7">
        <f>Table5[[#This Row],[Floor % w/ No Philadelphia]]*$L$70</f>
        <v>88121.132053439796</v>
      </c>
      <c r="M20" s="7">
        <f>Table5[[#This Row],[Floor % w/ No Philadelphia]]*$M$70</f>
        <v>42624.236906749175</v>
      </c>
      <c r="N20" s="7">
        <f>Table5[[#This Row],[Floor % w/ No Philadelphia]]*$N$70</f>
        <v>42624.236906749175</v>
      </c>
      <c r="O20" s="7">
        <f>Table5[[#This Row],[Floor % w/ No Philadelphia]]*$O$70</f>
        <v>42624.236906749175</v>
      </c>
      <c r="P20" s="7">
        <f>Table5[[#This Row],[Floor % w/ No Philadelphia]]*$P$70</f>
        <v>42624.236906749175</v>
      </c>
      <c r="Q20" s="7">
        <f>Table5[[#This Row],[Floor % w/ No Philadelphia]]*$Q$70</f>
        <v>42624.236906749175</v>
      </c>
      <c r="R20" s="7">
        <f>SUM(Table5[[#This Row],[Payment 1]:[Payment 15]])</f>
        <v>950832.22264599497</v>
      </c>
    </row>
    <row r="21" spans="1:18" x14ac:dyDescent="0.3">
      <c r="A21" t="s">
        <v>45</v>
      </c>
      <c r="B21">
        <v>7.5225988203262506E-3</v>
      </c>
      <c r="C21" s="7">
        <f>Table5[[#This Row],[Floor % w/ No Philadelphia]]*$C$70</f>
        <v>38161.270728509175</v>
      </c>
      <c r="D21" s="7">
        <f>Table5[[#This Row],[Floor % w/ No Philadelphia]]*$D$70</f>
        <v>115073.91078824307</v>
      </c>
      <c r="E21" s="7">
        <f>Table5[[#This Row],[Floor % w/ No Philadelphia]]*$E$70</f>
        <v>78669.943412924287</v>
      </c>
      <c r="F21" s="7">
        <f>Table5[[#This Row],[Floor % w/ No Philadelphia]]*$F$70</f>
        <v>85369.571563267789</v>
      </c>
      <c r="G21" s="7">
        <f>Table5[[#This Row],[Floor % w/ No Philadelphia]]*$G$70</f>
        <v>85369.571563267789</v>
      </c>
      <c r="H21" s="7">
        <f>Table5[[#This Row],[Floor % w/ No Philadelphia]]*$H$70</f>
        <v>108343.20804545692</v>
      </c>
      <c r="I21" s="7">
        <f>Table5[[#This Row],[Floor % w/ No Philadelphia]]*$I$70</f>
        <v>105601.88493604404</v>
      </c>
      <c r="J21" s="7">
        <f>Table5[[#This Row],[Floor % w/ No Philadelphia]]*$J$70</f>
        <v>114839.44386313582</v>
      </c>
      <c r="K21" s="7">
        <f>Table5[[#This Row],[Floor % w/ No Philadelphia]]*$K$70</f>
        <v>114795.93741567965</v>
      </c>
      <c r="L21" s="7">
        <f>Table5[[#This Row],[Floor % w/ No Philadelphia]]*$L$70</f>
        <v>114795.93751232307</v>
      </c>
      <c r="M21" s="7">
        <f>Table5[[#This Row],[Floor % w/ No Philadelphia]]*$M$70</f>
        <v>55526.854029636037</v>
      </c>
      <c r="N21" s="7">
        <f>Table5[[#This Row],[Floor % w/ No Philadelphia]]*$N$70</f>
        <v>55526.854029636037</v>
      </c>
      <c r="O21" s="7">
        <f>Table5[[#This Row],[Floor % w/ No Philadelphia]]*$O$70</f>
        <v>55526.854029636037</v>
      </c>
      <c r="P21" s="7">
        <f>Table5[[#This Row],[Floor % w/ No Philadelphia]]*$P$70</f>
        <v>55526.854029636037</v>
      </c>
      <c r="Q21" s="7">
        <f>Table5[[#This Row],[Floor % w/ No Philadelphia]]*$Q$70</f>
        <v>55526.854029636037</v>
      </c>
      <c r="R21" s="7">
        <f>SUM(Table5[[#This Row],[Payment 1]:[Payment 15]])</f>
        <v>1238654.9499770319</v>
      </c>
    </row>
    <row r="22" spans="1:18" x14ac:dyDescent="0.3">
      <c r="A22" t="s">
        <v>46</v>
      </c>
      <c r="B22">
        <v>2.252184077687391E-2</v>
      </c>
      <c r="C22" s="7">
        <f>Table5[[#This Row],[Floor % w/ No Philadelphia]]*$C$70</f>
        <v>114250.68433376703</v>
      </c>
      <c r="D22" s="7">
        <f>Table5[[#This Row],[Floor % w/ No Philadelphia]]*$D$70</f>
        <v>344518.7438870499</v>
      </c>
      <c r="E22" s="7">
        <f>Table5[[#This Row],[Floor % w/ No Philadelphia]]*$E$70</f>
        <v>235529.2342167889</v>
      </c>
      <c r="F22" s="7">
        <f>Table5[[#This Row],[Floor % w/ No Philadelphia]]*$F$70</f>
        <v>255587.19052553095</v>
      </c>
      <c r="G22" s="7">
        <f>Table5[[#This Row],[Floor % w/ No Philadelphia]]*$G$70</f>
        <v>255587.19052553095</v>
      </c>
      <c r="H22" s="7">
        <f>Table5[[#This Row],[Floor % w/ No Philadelphia]]*$H$70</f>
        <v>324367.75363619352</v>
      </c>
      <c r="I22" s="7">
        <f>Table5[[#This Row],[Floor % w/ No Philadelphia]]*$I$70</f>
        <v>316160.53109744267</v>
      </c>
      <c r="J22" s="7">
        <f>Table5[[#This Row],[Floor % w/ No Philadelphia]]*$J$70</f>
        <v>343816.77547416044</v>
      </c>
      <c r="K22" s="7">
        <f>Table5[[#This Row],[Floor % w/ No Philadelphia]]*$K$70</f>
        <v>343686.52191341919</v>
      </c>
      <c r="L22" s="7">
        <f>Table5[[#This Row],[Floor % w/ No Philadelphia]]*$L$70</f>
        <v>343686.52220275905</v>
      </c>
      <c r="M22" s="7">
        <f>Table5[[#This Row],[Floor % w/ No Philadelphia]]*$M$70</f>
        <v>166241.34759348311</v>
      </c>
      <c r="N22" s="7">
        <f>Table5[[#This Row],[Floor % w/ No Philadelphia]]*$N$70</f>
        <v>166241.34759348311</v>
      </c>
      <c r="O22" s="7">
        <f>Table5[[#This Row],[Floor % w/ No Philadelphia]]*$O$70</f>
        <v>166241.34759348311</v>
      </c>
      <c r="P22" s="7">
        <f>Table5[[#This Row],[Floor % w/ No Philadelphia]]*$P$70</f>
        <v>166241.34759348311</v>
      </c>
      <c r="Q22" s="7">
        <f>Table5[[#This Row],[Floor % w/ No Philadelphia]]*$Q$70</f>
        <v>166241.34759348311</v>
      </c>
      <c r="R22" s="7">
        <f>SUM(Table5[[#This Row],[Payment 1]:[Payment 15]])</f>
        <v>3708397.8857800579</v>
      </c>
    </row>
    <row r="23" spans="1:18" x14ac:dyDescent="0.3">
      <c r="A23" t="s">
        <v>47</v>
      </c>
      <c r="B23">
        <v>2.4737758086447615E-2</v>
      </c>
      <c r="C23" s="7">
        <f>Table5[[#This Row],[Floor % w/ No Philadelphia]]*$C$70</f>
        <v>125491.7756616925</v>
      </c>
      <c r="D23" s="7">
        <f>Table5[[#This Row],[Floor % w/ No Philadelphia]]*$D$70</f>
        <v>378415.84206899832</v>
      </c>
      <c r="E23" s="7">
        <f>Table5[[#This Row],[Floor % w/ No Philadelphia]]*$E$70</f>
        <v>258702.88650313034</v>
      </c>
      <c r="F23" s="7">
        <f>Table5[[#This Row],[Floor % w/ No Philadelphia]]*$F$70</f>
        <v>280734.3392511534</v>
      </c>
      <c r="G23" s="7">
        <f>Table5[[#This Row],[Floor % w/ No Philadelphia]]*$G$70</f>
        <v>280734.3392511534</v>
      </c>
      <c r="H23" s="7">
        <f>Table5[[#This Row],[Floor % w/ No Philadelphia]]*$H$70</f>
        <v>356282.20179657819</v>
      </c>
      <c r="I23" s="7">
        <f>Table5[[#This Row],[Floor % w/ No Philadelphia]]*$I$70</f>
        <v>347267.4730389833</v>
      </c>
      <c r="J23" s="7">
        <f>Table5[[#This Row],[Floor % w/ No Philadelphia]]*$J$70</f>
        <v>377644.8071898148</v>
      </c>
      <c r="K23" s="7">
        <f>Table5[[#This Row],[Floor % w/ No Philadelphia]]*$K$70</f>
        <v>377501.73801942868</v>
      </c>
      <c r="L23" s="7">
        <f>Table5[[#This Row],[Floor % w/ No Philadelphia]]*$L$70</f>
        <v>377501.73833723663</v>
      </c>
      <c r="M23" s="7">
        <f>Table5[[#This Row],[Floor % w/ No Philadelphia]]*$M$70</f>
        <v>182597.78503342447</v>
      </c>
      <c r="N23" s="7">
        <f>Table5[[#This Row],[Floor % w/ No Philadelphia]]*$N$70</f>
        <v>182597.78503342447</v>
      </c>
      <c r="O23" s="7">
        <f>Table5[[#This Row],[Floor % w/ No Philadelphia]]*$O$70</f>
        <v>182597.78503342447</v>
      </c>
      <c r="P23" s="7">
        <f>Table5[[#This Row],[Floor % w/ No Philadelphia]]*$P$70</f>
        <v>182597.78503342447</v>
      </c>
      <c r="Q23" s="7">
        <f>Table5[[#This Row],[Floor % w/ No Philadelphia]]*$Q$70</f>
        <v>182597.78503342447</v>
      </c>
      <c r="R23" s="7">
        <f>SUM(Table5[[#This Row],[Payment 1]:[Payment 15]])</f>
        <v>4073266.0662852917</v>
      </c>
    </row>
    <row r="24" spans="1:18" x14ac:dyDescent="0.3">
      <c r="A24" t="s">
        <v>48</v>
      </c>
      <c r="B24">
        <v>5.0377652029723163E-2</v>
      </c>
      <c r="C24" s="7">
        <f>Table5[[#This Row],[Floor % w/ No Philadelphia]]*$C$70</f>
        <v>255559.98182148425</v>
      </c>
      <c r="D24" s="7">
        <f>Table5[[#This Row],[Floor % w/ No Philadelphia]]*$D$70</f>
        <v>770631.74228106672</v>
      </c>
      <c r="E24" s="7">
        <f>Table5[[#This Row],[Floor % w/ No Philadelphia]]*$E$70</f>
        <v>526840.1424977798</v>
      </c>
      <c r="F24" s="7">
        <f>Table5[[#This Row],[Floor % w/ No Philadelphia]]*$F$70</f>
        <v>571706.49038470653</v>
      </c>
      <c r="G24" s="7">
        <f>Table5[[#This Row],[Floor % w/ No Philadelphia]]*$G$70</f>
        <v>571706.49038470653</v>
      </c>
      <c r="H24" s="7">
        <f>Table5[[#This Row],[Floor % w/ No Philadelphia]]*$H$70</f>
        <v>725557.2927736186</v>
      </c>
      <c r="I24" s="7">
        <f>Table5[[#This Row],[Floor % w/ No Philadelphia]]*$I$70</f>
        <v>707199.08638703218</v>
      </c>
      <c r="J24" s="7">
        <f>Table5[[#This Row],[Floor % w/ No Philadelphia]]*$J$70</f>
        <v>769061.55444470141</v>
      </c>
      <c r="K24" s="7">
        <f>Table5[[#This Row],[Floor % w/ No Philadelphia]]*$K$70</f>
        <v>768770.19866150129</v>
      </c>
      <c r="L24" s="7">
        <f>Table5[[#This Row],[Floor % w/ No Philadelphia]]*$L$70</f>
        <v>768770.19930870703</v>
      </c>
      <c r="M24" s="7">
        <f>Table5[[#This Row],[Floor % w/ No Philadelphia]]*$M$70</f>
        <v>371854.54088709701</v>
      </c>
      <c r="N24" s="7">
        <f>Table5[[#This Row],[Floor % w/ No Philadelphia]]*$N$70</f>
        <v>371854.54088709701</v>
      </c>
      <c r="O24" s="7">
        <f>Table5[[#This Row],[Floor % w/ No Philadelphia]]*$O$70</f>
        <v>371854.54088709701</v>
      </c>
      <c r="P24" s="7">
        <f>Table5[[#This Row],[Floor % w/ No Philadelphia]]*$P$70</f>
        <v>371854.54088709701</v>
      </c>
      <c r="Q24" s="7">
        <f>Table5[[#This Row],[Floor % w/ No Philadelphia]]*$Q$70</f>
        <v>371854.54088709701</v>
      </c>
      <c r="R24" s="7">
        <f>SUM(Table5[[#This Row],[Payment 1]:[Payment 15]])</f>
        <v>8295075.8833807893</v>
      </c>
    </row>
    <row r="25" spans="1:18" x14ac:dyDescent="0.3">
      <c r="A25" t="s">
        <v>49</v>
      </c>
      <c r="B25">
        <v>2.6586741036282854E-3</v>
      </c>
      <c r="C25" s="7">
        <f>Table5[[#This Row],[Floor % w/ No Philadelphia]]*$C$70</f>
        <v>13487.145156975854</v>
      </c>
      <c r="D25" s="7">
        <f>Table5[[#This Row],[Floor % w/ No Philadelphia]]*$D$70</f>
        <v>40669.991039435066</v>
      </c>
      <c r="E25" s="7">
        <f>Table5[[#This Row],[Floor % w/ No Philadelphia]]*$E$70</f>
        <v>27803.920730252816</v>
      </c>
      <c r="F25" s="7">
        <f>Table5[[#This Row],[Floor % w/ No Philadelphia]]*$F$70</f>
        <v>30171.7364669007</v>
      </c>
      <c r="G25" s="7">
        <f>Table5[[#This Row],[Floor % w/ No Philadelphia]]*$G$70</f>
        <v>30171.7364669007</v>
      </c>
      <c r="H25" s="7">
        <f>Table5[[#This Row],[Floor % w/ No Philadelphia]]*$H$70</f>
        <v>38291.192766541215</v>
      </c>
      <c r="I25" s="7">
        <f>Table5[[#This Row],[Floor % w/ No Philadelphia]]*$I$70</f>
        <v>37322.340786693414</v>
      </c>
      <c r="J25" s="7">
        <f>Table5[[#This Row],[Floor % w/ No Philadelphia]]*$J$70</f>
        <v>40587.124578411567</v>
      </c>
      <c r="K25" s="7">
        <f>Table5[[#This Row],[Floor % w/ No Philadelphia]]*$K$70</f>
        <v>40571.748314442782</v>
      </c>
      <c r="L25" s="7">
        <f>Table5[[#This Row],[Floor % w/ No Philadelphia]]*$L$70</f>
        <v>40571.74834859898</v>
      </c>
      <c r="M25" s="7">
        <f>Table5[[#This Row],[Floor % w/ No Philadelphia]]*$M$70</f>
        <v>19624.575547701308</v>
      </c>
      <c r="N25" s="7">
        <f>Table5[[#This Row],[Floor % w/ No Philadelphia]]*$N$70</f>
        <v>19624.575547701308</v>
      </c>
      <c r="O25" s="7">
        <f>Table5[[#This Row],[Floor % w/ No Philadelphia]]*$O$70</f>
        <v>19624.575547701308</v>
      </c>
      <c r="P25" s="7">
        <f>Table5[[#This Row],[Floor % w/ No Philadelphia]]*$P$70</f>
        <v>19624.575547701308</v>
      </c>
      <c r="Q25" s="7">
        <f>Table5[[#This Row],[Floor % w/ No Philadelphia]]*$Q$70</f>
        <v>19624.575547701308</v>
      </c>
      <c r="R25" s="7">
        <f>SUM(Table5[[#This Row],[Payment 1]:[Payment 15]])</f>
        <v>437771.56239365973</v>
      </c>
    </row>
    <row r="26" spans="1:18" x14ac:dyDescent="0.3">
      <c r="A26" t="s">
        <v>50</v>
      </c>
      <c r="B26">
        <v>2.3975889288647613E-2</v>
      </c>
      <c r="C26" s="7">
        <f>Table5[[#This Row],[Floor % w/ No Philadelphia]]*$C$70</f>
        <v>121626.90367438257</v>
      </c>
      <c r="D26" s="7">
        <f>Table5[[#This Row],[Floor % w/ No Philadelphia]]*$D$70</f>
        <v>366761.46249029558</v>
      </c>
      <c r="E26" s="7">
        <f>Table5[[#This Row],[Floor % w/ No Philadelphia]]*$E$70</f>
        <v>250735.40390269578</v>
      </c>
      <c r="F26" s="7">
        <f>Table5[[#This Row],[Floor % w/ No Philadelphia]]*$F$70</f>
        <v>272088.33613320603</v>
      </c>
      <c r="G26" s="7">
        <f>Table5[[#This Row],[Floor % w/ No Philadelphia]]*$G$70</f>
        <v>272088.33613320603</v>
      </c>
      <c r="H26" s="7">
        <f>Table5[[#This Row],[Floor % w/ No Philadelphia]]*$H$70</f>
        <v>345309.48988744995</v>
      </c>
      <c r="I26" s="7">
        <f>Table5[[#This Row],[Floor % w/ No Philadelphia]]*$I$70</f>
        <v>336572.39504223474</v>
      </c>
      <c r="J26" s="7">
        <f>Table5[[#This Row],[Floor % w/ No Philadelphia]]*$J$70</f>
        <v>366014.17379758589</v>
      </c>
      <c r="K26" s="7">
        <f>Table5[[#This Row],[Floor % w/ No Philadelphia]]*$K$70</f>
        <v>365875.5108444675</v>
      </c>
      <c r="L26" s="7">
        <f>Table5[[#This Row],[Floor % w/ No Philadelphia]]*$L$70</f>
        <v>365875.51115248766</v>
      </c>
      <c r="M26" s="7">
        <f>Table5[[#This Row],[Floor % w/ No Philadelphia]]*$M$70</f>
        <v>176974.17296323561</v>
      </c>
      <c r="N26" s="7">
        <f>Table5[[#This Row],[Floor % w/ No Philadelphia]]*$N$70</f>
        <v>176974.17296323561</v>
      </c>
      <c r="O26" s="7">
        <f>Table5[[#This Row],[Floor % w/ No Philadelphia]]*$O$70</f>
        <v>176974.17296323561</v>
      </c>
      <c r="P26" s="7">
        <f>Table5[[#This Row],[Floor % w/ No Philadelphia]]*$P$70</f>
        <v>176974.17296323561</v>
      </c>
      <c r="Q26" s="7">
        <f>Table5[[#This Row],[Floor % w/ No Philadelphia]]*$Q$70</f>
        <v>176974.17296323561</v>
      </c>
      <c r="R26" s="7">
        <f>SUM(Table5[[#This Row],[Payment 1]:[Payment 15]])</f>
        <v>3947818.3878741893</v>
      </c>
    </row>
    <row r="27" spans="1:18" x14ac:dyDescent="0.3">
      <c r="A27" t="s">
        <v>51</v>
      </c>
      <c r="B27">
        <v>1.1491054365511299E-2</v>
      </c>
      <c r="C27" s="7">
        <f>Table5[[#This Row],[Floor % w/ No Philadelphia]]*$C$70</f>
        <v>58292.785122798276</v>
      </c>
      <c r="D27" s="7">
        <f>Table5[[#This Row],[Floor % w/ No Philadelphia]]*$D$70</f>
        <v>175779.75331434063</v>
      </c>
      <c r="E27" s="7">
        <f>Table5[[#This Row],[Floor % w/ No Philadelphia]]*$E$70</f>
        <v>120171.31556277841</v>
      </c>
      <c r="F27" s="7">
        <f>Table5[[#This Row],[Floor % w/ No Philadelphia]]*$F$70</f>
        <v>130405.2510873327</v>
      </c>
      <c r="G27" s="7">
        <f>Table5[[#This Row],[Floor % w/ No Philadelphia]]*$G$70</f>
        <v>130405.2510873327</v>
      </c>
      <c r="H27" s="7">
        <f>Table5[[#This Row],[Floor % w/ No Philadelphia]]*$H$70</f>
        <v>165498.3501739167</v>
      </c>
      <c r="I27" s="7">
        <f>Table5[[#This Row],[Floor % w/ No Philadelphia]]*$I$70</f>
        <v>161310.87538813122</v>
      </c>
      <c r="J27" s="7">
        <f>Table5[[#This Row],[Floor % w/ No Philadelphia]]*$J$70</f>
        <v>175421.59621362676</v>
      </c>
      <c r="K27" s="7">
        <f>Table5[[#This Row],[Floor % w/ No Philadelphia]]*$K$70</f>
        <v>175355.13846878221</v>
      </c>
      <c r="L27" s="7">
        <f>Table5[[#This Row],[Floor % w/ No Philadelphia]]*$L$70</f>
        <v>175355.13861640872</v>
      </c>
      <c r="M27" s="7">
        <f>Table5[[#This Row],[Floor % w/ No Philadelphia]]*$M$70</f>
        <v>84819.370757390119</v>
      </c>
      <c r="N27" s="7">
        <f>Table5[[#This Row],[Floor % w/ No Philadelphia]]*$N$70</f>
        <v>84819.370757390119</v>
      </c>
      <c r="O27" s="7">
        <f>Table5[[#This Row],[Floor % w/ No Philadelphia]]*$O$70</f>
        <v>84819.370757390119</v>
      </c>
      <c r="P27" s="7">
        <f>Table5[[#This Row],[Floor % w/ No Philadelphia]]*$P$70</f>
        <v>84819.370757390119</v>
      </c>
      <c r="Q27" s="7">
        <f>Table5[[#This Row],[Floor % w/ No Philadelphia]]*$Q$70</f>
        <v>84819.370757390119</v>
      </c>
      <c r="R27" s="7">
        <f>SUM(Table5[[#This Row],[Payment 1]:[Payment 15]])</f>
        <v>1892092.3088223985</v>
      </c>
    </row>
    <row r="28" spans="1:18" x14ac:dyDescent="0.3">
      <c r="A28" t="s">
        <v>52</v>
      </c>
      <c r="B28">
        <v>1.4285890000000001E-3</v>
      </c>
      <c r="C28" s="7">
        <f>Table5[[#This Row],[Floor % w/ No Philadelphia]]*$C$70</f>
        <v>7247.0661922664967</v>
      </c>
      <c r="D28" s="7">
        <f>Table5[[#This Row],[Floor % w/ No Philadelphia]]*$D$70</f>
        <v>21853.262026265511</v>
      </c>
      <c r="E28" s="7">
        <f>Table5[[#This Row],[Floor % w/ No Philadelphia]]*$E$70</f>
        <v>14939.918833190142</v>
      </c>
      <c r="F28" s="7">
        <f>Table5[[#This Row],[Floor % w/ No Philadelphia]]*$F$70</f>
        <v>16212.220508218983</v>
      </c>
      <c r="G28" s="7">
        <f>Table5[[#This Row],[Floor % w/ No Philadelphia]]*$G$70</f>
        <v>16212.220508218983</v>
      </c>
      <c r="H28" s="7">
        <f>Table5[[#This Row],[Floor % w/ No Philadelphia]]*$H$70</f>
        <v>20575.059089983297</v>
      </c>
      <c r="I28" s="7">
        <f>Table5[[#This Row],[Floor % w/ No Philadelphia]]*$I$70</f>
        <v>20054.46452777279</v>
      </c>
      <c r="J28" s="7">
        <f>Table5[[#This Row],[Floor % w/ No Philadelphia]]*$J$70</f>
        <v>21808.735277189517</v>
      </c>
      <c r="K28" s="7">
        <f>Table5[[#This Row],[Floor % w/ No Philadelphia]]*$K$70</f>
        <v>21800.473128196936</v>
      </c>
      <c r="L28" s="7">
        <f>Table5[[#This Row],[Floor % w/ No Philadelphia]]*$L$70</f>
        <v>21800.473146550132</v>
      </c>
      <c r="M28" s="7">
        <f>Table5[[#This Row],[Floor % w/ No Philadelphia]]*$M$70</f>
        <v>10544.900075889391</v>
      </c>
      <c r="N28" s="7">
        <f>Table5[[#This Row],[Floor % w/ No Philadelphia]]*$N$70</f>
        <v>10544.900075889391</v>
      </c>
      <c r="O28" s="7">
        <f>Table5[[#This Row],[Floor % w/ No Philadelphia]]*$O$70</f>
        <v>10544.900075889391</v>
      </c>
      <c r="P28" s="7">
        <f>Table5[[#This Row],[Floor % w/ No Philadelphia]]*$P$70</f>
        <v>10544.900075889391</v>
      </c>
      <c r="Q28" s="7">
        <f>Table5[[#This Row],[Floor % w/ No Philadelphia]]*$Q$70</f>
        <v>10544.900075889391</v>
      </c>
      <c r="R28" s="7">
        <f>SUM(Table5[[#This Row],[Payment 1]:[Payment 15]])</f>
        <v>235228.39361729976</v>
      </c>
    </row>
    <row r="29" spans="1:18" x14ac:dyDescent="0.3">
      <c r="A29" t="s">
        <v>53</v>
      </c>
      <c r="B29">
        <v>1.3780216324412644E-2</v>
      </c>
      <c r="C29" s="7">
        <f>Table5[[#This Row],[Floor % w/ No Philadelphia]]*$C$70</f>
        <v>69905.43805585074</v>
      </c>
      <c r="D29" s="7">
        <f>Table5[[#This Row],[Floor % w/ No Philadelphia]]*$D$70</f>
        <v>210797.28187464058</v>
      </c>
      <c r="E29" s="7">
        <f>Table5[[#This Row],[Floor % w/ No Philadelphia]]*$E$70</f>
        <v>144110.94680872295</v>
      </c>
      <c r="F29" s="7">
        <f>Table5[[#This Row],[Floor % w/ No Philadelphia]]*$F$70</f>
        <v>156383.61047322684</v>
      </c>
      <c r="G29" s="7">
        <f>Table5[[#This Row],[Floor % w/ No Philadelphia]]*$G$70</f>
        <v>156383.61047322684</v>
      </c>
      <c r="H29" s="7">
        <f>Table5[[#This Row],[Floor % w/ No Philadelphia]]*$H$70</f>
        <v>198467.69445063808</v>
      </c>
      <c r="I29" s="7">
        <f>Table5[[#This Row],[Floor % w/ No Philadelphia]]*$I$70</f>
        <v>193446.02223800469</v>
      </c>
      <c r="J29" s="7">
        <f>Table5[[#This Row],[Floor % w/ No Philadelphia]]*$J$70</f>
        <v>210367.77539342729</v>
      </c>
      <c r="K29" s="7">
        <f>Table5[[#This Row],[Floor % w/ No Philadelphia]]*$K$70</f>
        <v>210288.07843340427</v>
      </c>
      <c r="L29" s="7">
        <f>Table5[[#This Row],[Floor % w/ No Philadelphia]]*$L$70</f>
        <v>210288.07861043978</v>
      </c>
      <c r="M29" s="7">
        <f>Table5[[#This Row],[Floor % w/ No Philadelphia]]*$M$70</f>
        <v>101716.45180319258</v>
      </c>
      <c r="N29" s="7">
        <f>Table5[[#This Row],[Floor % w/ No Philadelphia]]*$N$70</f>
        <v>101716.45180319258</v>
      </c>
      <c r="O29" s="7">
        <f>Table5[[#This Row],[Floor % w/ No Philadelphia]]*$O$70</f>
        <v>101716.45180319258</v>
      </c>
      <c r="P29" s="7">
        <f>Table5[[#This Row],[Floor % w/ No Philadelphia]]*$P$70</f>
        <v>101716.45180319258</v>
      </c>
      <c r="Q29" s="7">
        <f>Table5[[#This Row],[Floor % w/ No Philadelphia]]*$Q$70</f>
        <v>101716.45180319258</v>
      </c>
      <c r="R29" s="7">
        <f>SUM(Table5[[#This Row],[Payment 1]:[Payment 15]])</f>
        <v>2269020.7958275448</v>
      </c>
    </row>
    <row r="30" spans="1:18" x14ac:dyDescent="0.3">
      <c r="A30" t="s">
        <v>54</v>
      </c>
      <c r="B30">
        <v>1.4285890000000001E-3</v>
      </c>
      <c r="C30" s="7">
        <f>Table5[[#This Row],[Floor % w/ No Philadelphia]]*$C$70</f>
        <v>7247.0661922664967</v>
      </c>
      <c r="D30" s="7">
        <f>Table5[[#This Row],[Floor % w/ No Philadelphia]]*$D$70</f>
        <v>21853.262026265511</v>
      </c>
      <c r="E30" s="7">
        <f>Table5[[#This Row],[Floor % w/ No Philadelphia]]*$E$70</f>
        <v>14939.918833190142</v>
      </c>
      <c r="F30" s="7">
        <f>Table5[[#This Row],[Floor % w/ No Philadelphia]]*$F$70</f>
        <v>16212.220508218983</v>
      </c>
      <c r="G30" s="7">
        <f>Table5[[#This Row],[Floor % w/ No Philadelphia]]*$G$70</f>
        <v>16212.220508218983</v>
      </c>
      <c r="H30" s="7">
        <f>Table5[[#This Row],[Floor % w/ No Philadelphia]]*$H$70</f>
        <v>20575.059089983297</v>
      </c>
      <c r="I30" s="7">
        <f>Table5[[#This Row],[Floor % w/ No Philadelphia]]*$I$70</f>
        <v>20054.46452777279</v>
      </c>
      <c r="J30" s="7">
        <f>Table5[[#This Row],[Floor % w/ No Philadelphia]]*$J$70</f>
        <v>21808.735277189517</v>
      </c>
      <c r="K30" s="7">
        <f>Table5[[#This Row],[Floor % w/ No Philadelphia]]*$K$70</f>
        <v>21800.473128196936</v>
      </c>
      <c r="L30" s="7">
        <f>Table5[[#This Row],[Floor % w/ No Philadelphia]]*$L$70</f>
        <v>21800.473146550132</v>
      </c>
      <c r="M30" s="7">
        <f>Table5[[#This Row],[Floor % w/ No Philadelphia]]*$M$70</f>
        <v>10544.900075889391</v>
      </c>
      <c r="N30" s="7">
        <f>Table5[[#This Row],[Floor % w/ No Philadelphia]]*$N$70</f>
        <v>10544.900075889391</v>
      </c>
      <c r="O30" s="7">
        <f>Table5[[#This Row],[Floor % w/ No Philadelphia]]*$O$70</f>
        <v>10544.900075889391</v>
      </c>
      <c r="P30" s="7">
        <f>Table5[[#This Row],[Floor % w/ No Philadelphia]]*$P$70</f>
        <v>10544.900075889391</v>
      </c>
      <c r="Q30" s="7">
        <f>Table5[[#This Row],[Floor % w/ No Philadelphia]]*$Q$70</f>
        <v>10544.900075889391</v>
      </c>
      <c r="R30" s="7">
        <f>SUM(Table5[[#This Row],[Payment 1]:[Payment 15]])</f>
        <v>235228.39361729976</v>
      </c>
    </row>
    <row r="31" spans="1:18" x14ac:dyDescent="0.3">
      <c r="A31" t="s">
        <v>55</v>
      </c>
      <c r="B31">
        <v>3.2207201202528808E-3</v>
      </c>
      <c r="C31" s="7">
        <f>Table5[[#This Row],[Floor % w/ No Philadelphia]]*$C$70</f>
        <v>16338.33936719178</v>
      </c>
      <c r="D31" s="7">
        <f>Table5[[#This Row],[Floor % w/ No Philadelphia]]*$D$70</f>
        <v>49267.662498557365</v>
      </c>
      <c r="E31" s="7">
        <f>Table5[[#This Row],[Floor % w/ No Philadelphia]]*$E$70</f>
        <v>33681.693741867282</v>
      </c>
      <c r="F31" s="7">
        <f>Table5[[#This Row],[Floor % w/ No Philadelphia]]*$F$70</f>
        <v>36550.067783524348</v>
      </c>
      <c r="G31" s="7">
        <f>Table5[[#This Row],[Floor % w/ No Philadelphia]]*$G$70</f>
        <v>36550.067783524348</v>
      </c>
      <c r="H31" s="7">
        <f>Table5[[#This Row],[Floor % w/ No Philadelphia]]*$H$70</f>
        <v>46385.984202945096</v>
      </c>
      <c r="I31" s="7">
        <f>Table5[[#This Row],[Floor % w/ No Philadelphia]]*$I$70</f>
        <v>45212.316072359165</v>
      </c>
      <c r="J31" s="7">
        <f>Table5[[#This Row],[Floor % w/ No Philadelphia]]*$J$70</f>
        <v>49167.277995639801</v>
      </c>
      <c r="K31" s="7">
        <f>Table5[[#This Row],[Floor % w/ No Philadelphia]]*$K$70</f>
        <v>49148.651176101819</v>
      </c>
      <c r="L31" s="7">
        <f>Table5[[#This Row],[Floor % w/ No Philadelphia]]*$L$70</f>
        <v>49148.651217478669</v>
      </c>
      <c r="M31" s="7">
        <f>Table5[[#This Row],[Floor % w/ No Philadelphia]]*$M$70</f>
        <v>23773.227877628266</v>
      </c>
      <c r="N31" s="7">
        <f>Table5[[#This Row],[Floor % w/ No Philadelphia]]*$N$70</f>
        <v>23773.227877628266</v>
      </c>
      <c r="O31" s="7">
        <f>Table5[[#This Row],[Floor % w/ No Philadelphia]]*$O$70</f>
        <v>23773.227877628266</v>
      </c>
      <c r="P31" s="7">
        <f>Table5[[#This Row],[Floor % w/ No Philadelphia]]*$P$70</f>
        <v>23773.227877628266</v>
      </c>
      <c r="Q31" s="7">
        <f>Table5[[#This Row],[Floor % w/ No Philadelphia]]*$Q$70</f>
        <v>23773.227877628266</v>
      </c>
      <c r="R31" s="7">
        <f>SUM(Table5[[#This Row],[Payment 1]:[Payment 15]])</f>
        <v>530316.85122733109</v>
      </c>
    </row>
    <row r="32" spans="1:18" x14ac:dyDescent="0.3">
      <c r="A32" t="s">
        <v>56</v>
      </c>
      <c r="B32">
        <v>4.0128112248142868E-3</v>
      </c>
      <c r="C32" s="7">
        <f>Table5[[#This Row],[Floor % w/ No Philadelphia]]*$C$70</f>
        <v>20356.525609044398</v>
      </c>
      <c r="D32" s="7">
        <f>Table5[[#This Row],[Floor % w/ No Philadelphia]]*$D$70</f>
        <v>61384.355582890559</v>
      </c>
      <c r="E32" s="7">
        <f>Table5[[#This Row],[Floor % w/ No Philadelphia]]*$E$70</f>
        <v>41965.235621749685</v>
      </c>
      <c r="F32" s="7">
        <f>Table5[[#This Row],[Floor % w/ No Philadelphia]]*$F$70</f>
        <v>45539.046173913921</v>
      </c>
      <c r="G32" s="7">
        <f>Table5[[#This Row],[Floor % w/ No Philadelphia]]*$G$70</f>
        <v>45539.046173913921</v>
      </c>
      <c r="H32" s="7">
        <f>Table5[[#This Row],[Floor % w/ No Philadelphia]]*$H$70</f>
        <v>57793.968781435527</v>
      </c>
      <c r="I32" s="7">
        <f>Table5[[#This Row],[Floor % w/ No Philadelphia]]*$I$70</f>
        <v>56331.653375944086</v>
      </c>
      <c r="J32" s="7">
        <f>Table5[[#This Row],[Floor % w/ No Philadelphia]]*$J$70</f>
        <v>61259.282914336742</v>
      </c>
      <c r="K32" s="7">
        <f>Table5[[#This Row],[Floor % w/ No Philadelphia]]*$K$70</f>
        <v>61236.075088840022</v>
      </c>
      <c r="L32" s="7">
        <f>Table5[[#This Row],[Floor % w/ No Philadelphia]]*$L$70</f>
        <v>61236.075140392924</v>
      </c>
      <c r="M32" s="7">
        <f>Table5[[#This Row],[Floor % w/ No Philadelphia]]*$M$70</f>
        <v>29619.921047322896</v>
      </c>
      <c r="N32" s="7">
        <f>Table5[[#This Row],[Floor % w/ No Philadelphia]]*$N$70</f>
        <v>29619.921047322896</v>
      </c>
      <c r="O32" s="7">
        <f>Table5[[#This Row],[Floor % w/ No Philadelphia]]*$O$70</f>
        <v>29619.921047322896</v>
      </c>
      <c r="P32" s="7">
        <f>Table5[[#This Row],[Floor % w/ No Philadelphia]]*$P$70</f>
        <v>29619.921047322896</v>
      </c>
      <c r="Q32" s="7">
        <f>Table5[[#This Row],[Floor % w/ No Philadelphia]]*$Q$70</f>
        <v>29619.921047322896</v>
      </c>
      <c r="R32" s="7">
        <f>SUM(Table5[[#This Row],[Payment 1]:[Payment 15]])</f>
        <v>660740.8696990764</v>
      </c>
    </row>
    <row r="33" spans="1:18" x14ac:dyDescent="0.3">
      <c r="A33" t="s">
        <v>57</v>
      </c>
      <c r="B33">
        <v>7.4731764598576006E-3</v>
      </c>
      <c r="C33" s="7">
        <f>Table5[[#This Row],[Floor % w/ No Philadelphia]]*$C$70</f>
        <v>37910.556829904075</v>
      </c>
      <c r="D33" s="7">
        <f>Table5[[#This Row],[Floor % w/ No Philadelphia]]*$D$70</f>
        <v>114317.89223197673</v>
      </c>
      <c r="E33" s="7">
        <f>Table5[[#This Row],[Floor % w/ No Philadelphia]]*$E$70</f>
        <v>78153.093532415412</v>
      </c>
      <c r="F33" s="7">
        <f>Table5[[#This Row],[Floor % w/ No Philadelphia]]*$F$70</f>
        <v>84808.706117744659</v>
      </c>
      <c r="G33" s="7">
        <f>Table5[[#This Row],[Floor % w/ No Philadelphia]]*$G$70</f>
        <v>84808.706117744659</v>
      </c>
      <c r="H33" s="7">
        <f>Table5[[#This Row],[Floor % w/ No Philadelphia]]*$H$70</f>
        <v>107631.40920967635</v>
      </c>
      <c r="I33" s="7">
        <f>Table5[[#This Row],[Floor % w/ No Philadelphia]]*$I$70</f>
        <v>104908.09618721751</v>
      </c>
      <c r="J33" s="7">
        <f>Table5[[#This Row],[Floor % w/ No Philadelphia]]*$J$70</f>
        <v>114084.96571985274</v>
      </c>
      <c r="K33" s="7">
        <f>Table5[[#This Row],[Floor % w/ No Philadelphia]]*$K$70</f>
        <v>114041.74510331488</v>
      </c>
      <c r="L33" s="7">
        <f>Table5[[#This Row],[Floor % w/ No Philadelphia]]*$L$70</f>
        <v>114041.74519932337</v>
      </c>
      <c r="M33" s="7">
        <f>Table5[[#This Row],[Floor % w/ No Philadelphia]]*$M$70</f>
        <v>55162.050819855962</v>
      </c>
      <c r="N33" s="7">
        <f>Table5[[#This Row],[Floor % w/ No Philadelphia]]*$N$70</f>
        <v>55162.050819855962</v>
      </c>
      <c r="O33" s="7">
        <f>Table5[[#This Row],[Floor % w/ No Philadelphia]]*$O$70</f>
        <v>55162.050819855962</v>
      </c>
      <c r="P33" s="7">
        <f>Table5[[#This Row],[Floor % w/ No Philadelphia]]*$P$70</f>
        <v>55162.050819855962</v>
      </c>
      <c r="Q33" s="7">
        <f>Table5[[#This Row],[Floor % w/ No Philadelphia]]*$Q$70</f>
        <v>55162.050819855962</v>
      </c>
      <c r="R33" s="7">
        <f>SUM(Table5[[#This Row],[Payment 1]:[Payment 15]])</f>
        <v>1230517.1703484501</v>
      </c>
    </row>
    <row r="34" spans="1:18" x14ac:dyDescent="0.3">
      <c r="A34" t="s">
        <v>58</v>
      </c>
      <c r="B34">
        <v>3.8600107973941252E-3</v>
      </c>
      <c r="C34" s="7">
        <f>Table5[[#This Row],[Floor % w/ No Philadelphia]]*$C$70</f>
        <v>19581.386775047689</v>
      </c>
      <c r="D34" s="7">
        <f>Table5[[#This Row],[Floor % w/ No Philadelphia]]*$D$70</f>
        <v>59046.952888246997</v>
      </c>
      <c r="E34" s="7">
        <f>Table5[[#This Row],[Floor % w/ No Philadelphia]]*$E$70</f>
        <v>40367.277088305869</v>
      </c>
      <c r="F34" s="7">
        <f>Table5[[#This Row],[Floor % w/ No Philadelphia]]*$F$70</f>
        <v>43805.003546478198</v>
      </c>
      <c r="G34" s="7">
        <f>Table5[[#This Row],[Floor % w/ No Philadelphia]]*$G$70</f>
        <v>43805.003546478198</v>
      </c>
      <c r="H34" s="7">
        <f>Table5[[#This Row],[Floor % w/ No Philadelphia]]*$H$70</f>
        <v>55593.281373689475</v>
      </c>
      <c r="I34" s="7">
        <f>Table5[[#This Row],[Floor % w/ No Philadelphia]]*$I$70</f>
        <v>54186.648233439038</v>
      </c>
      <c r="J34" s="7">
        <f>Table5[[#This Row],[Floor % w/ No Philadelphia]]*$J$70</f>
        <v>58926.642755517292</v>
      </c>
      <c r="K34" s="7">
        <f>Table5[[#This Row],[Floor % w/ No Philadelphia]]*$K$70</f>
        <v>58904.318641079168</v>
      </c>
      <c r="L34" s="7">
        <f>Table5[[#This Row],[Floor % w/ No Philadelphia]]*$L$70</f>
        <v>58904.318690669032</v>
      </c>
      <c r="M34" s="7">
        <f>Table5[[#This Row],[Floor % w/ No Philadelphia]]*$M$70</f>
        <v>28492.049253056812</v>
      </c>
      <c r="N34" s="7">
        <f>Table5[[#This Row],[Floor % w/ No Philadelphia]]*$N$70</f>
        <v>28492.049253056812</v>
      </c>
      <c r="O34" s="7">
        <f>Table5[[#This Row],[Floor % w/ No Philadelphia]]*$O$70</f>
        <v>28492.049253056812</v>
      </c>
      <c r="P34" s="7">
        <f>Table5[[#This Row],[Floor % w/ No Philadelphia]]*$P$70</f>
        <v>28492.049253056812</v>
      </c>
      <c r="Q34" s="7">
        <f>Table5[[#This Row],[Floor % w/ No Philadelphia]]*$Q$70</f>
        <v>28492.049253056812</v>
      </c>
      <c r="R34" s="7">
        <f>SUM(Table5[[#This Row],[Payment 1]:[Payment 15]])</f>
        <v>635581.07980423479</v>
      </c>
    </row>
    <row r="35" spans="1:18" x14ac:dyDescent="0.3">
      <c r="A35" t="s">
        <v>59</v>
      </c>
      <c r="B35">
        <v>2.2011617127431372E-3</v>
      </c>
      <c r="C35" s="7">
        <f>Table5[[#This Row],[Floor % w/ No Philadelphia]]*$C$70</f>
        <v>11166.237897766401</v>
      </c>
      <c r="D35" s="7">
        <f>Table5[[#This Row],[Floor % w/ No Philadelphia]]*$D$70</f>
        <v>33671.380411552345</v>
      </c>
      <c r="E35" s="7">
        <f>Table5[[#This Row],[Floor % w/ No Philadelphia]]*$E$70</f>
        <v>23019.340991081594</v>
      </c>
      <c r="F35" s="7">
        <f>Table5[[#This Row],[Floor % w/ No Philadelphia]]*$F$70</f>
        <v>24979.696092606555</v>
      </c>
      <c r="G35" s="7">
        <f>Table5[[#This Row],[Floor % w/ No Philadelphia]]*$G$70</f>
        <v>24979.696092606555</v>
      </c>
      <c r="H35" s="7">
        <f>Table5[[#This Row],[Floor % w/ No Philadelphia]]*$H$70</f>
        <v>31701.932680637248</v>
      </c>
      <c r="I35" s="7">
        <f>Table5[[#This Row],[Floor % w/ No Philadelphia]]*$I$70</f>
        <v>30899.803574085225</v>
      </c>
      <c r="J35" s="7">
        <f>Table5[[#This Row],[Floor % w/ No Philadelphia]]*$J$70</f>
        <v>33602.77385273172</v>
      </c>
      <c r="K35" s="7">
        <f>Table5[[#This Row],[Floor % w/ No Philadelphia]]*$K$70</f>
        <v>33590.04358109484</v>
      </c>
      <c r="L35" s="7">
        <f>Table5[[#This Row],[Floor % w/ No Philadelphia]]*$L$70</f>
        <v>33590.043609373337</v>
      </c>
      <c r="M35" s="7">
        <f>Table5[[#This Row],[Floor % w/ No Philadelphia]]*$M$70</f>
        <v>16247.521373712052</v>
      </c>
      <c r="N35" s="7">
        <f>Table5[[#This Row],[Floor % w/ No Philadelphia]]*$N$70</f>
        <v>16247.521373712052</v>
      </c>
      <c r="O35" s="7">
        <f>Table5[[#This Row],[Floor % w/ No Philadelphia]]*$O$70</f>
        <v>16247.521373712052</v>
      </c>
      <c r="P35" s="7">
        <f>Table5[[#This Row],[Floor % w/ No Philadelphia]]*$P$70</f>
        <v>16247.521373712052</v>
      </c>
      <c r="Q35" s="7">
        <f>Table5[[#This Row],[Floor % w/ No Philadelphia]]*$Q$70</f>
        <v>16247.521373712052</v>
      </c>
      <c r="R35" s="7">
        <f>SUM(Table5[[#This Row],[Payment 1]:[Payment 15]])</f>
        <v>362438.55565209605</v>
      </c>
    </row>
    <row r="36" spans="1:18" x14ac:dyDescent="0.3">
      <c r="A36" t="s">
        <v>60</v>
      </c>
      <c r="B36">
        <v>1.8637741023208192E-2</v>
      </c>
      <c r="C36" s="7">
        <f>Table5[[#This Row],[Floor % w/ No Philadelphia]]*$C$70</f>
        <v>94547.097079363244</v>
      </c>
      <c r="D36" s="7">
        <f>Table5[[#This Row],[Floor % w/ No Philadelphia]]*$D$70</f>
        <v>285103.29993990326</v>
      </c>
      <c r="E36" s="7">
        <f>Table5[[#This Row],[Floor % w/ No Philadelphia]]*$E$70</f>
        <v>194910.03929104071</v>
      </c>
      <c r="F36" s="7">
        <f>Table5[[#This Row],[Floor % w/ No Philadelphia]]*$F$70</f>
        <v>211508.81551190026</v>
      </c>
      <c r="G36" s="7">
        <f>Table5[[#This Row],[Floor % w/ No Philadelphia]]*$G$70</f>
        <v>211508.81551190026</v>
      </c>
      <c r="H36" s="7">
        <f>Table5[[#This Row],[Floor % w/ No Philadelphia]]*$H$70</f>
        <v>268427.53434074763</v>
      </c>
      <c r="I36" s="7">
        <f>Table5[[#This Row],[Floor % w/ No Philadelphia]]*$I$70</f>
        <v>261635.72324002523</v>
      </c>
      <c r="J36" s="7">
        <f>Table5[[#This Row],[Floor % w/ No Philadelphia]]*$J$70</f>
        <v>284522.39247254649</v>
      </c>
      <c r="K36" s="7">
        <f>Table5[[#This Row],[Floor % w/ No Philadelphia]]*$K$70</f>
        <v>284414.60234311182</v>
      </c>
      <c r="L36" s="7">
        <f>Table5[[#This Row],[Floor % w/ No Philadelphia]]*$L$70</f>
        <v>284414.60258255235</v>
      </c>
      <c r="M36" s="7">
        <f>Table5[[#This Row],[Floor % w/ No Philadelphia]]*$M$70</f>
        <v>137571.48958170254</v>
      </c>
      <c r="N36" s="7">
        <f>Table5[[#This Row],[Floor % w/ No Philadelphia]]*$N$70</f>
        <v>137571.48958170254</v>
      </c>
      <c r="O36" s="7">
        <f>Table5[[#This Row],[Floor % w/ No Philadelphia]]*$O$70</f>
        <v>137571.48958170254</v>
      </c>
      <c r="P36" s="7">
        <f>Table5[[#This Row],[Floor % w/ No Philadelphia]]*$P$70</f>
        <v>137571.48958170254</v>
      </c>
      <c r="Q36" s="7">
        <f>Table5[[#This Row],[Floor % w/ No Philadelphia]]*$Q$70</f>
        <v>137571.48958170254</v>
      </c>
      <c r="R36" s="7">
        <f>SUM(Table5[[#This Row],[Payment 1]:[Payment 15]])</f>
        <v>3068850.3702216051</v>
      </c>
    </row>
    <row r="37" spans="1:18" x14ac:dyDescent="0.3">
      <c r="A37" t="s">
        <v>61</v>
      </c>
      <c r="B37">
        <v>4.8508935691355483E-2</v>
      </c>
      <c r="C37" s="7">
        <f>Table5[[#This Row],[Floor % w/ No Philadelphia]]*$C$70</f>
        <v>246080.20072368745</v>
      </c>
      <c r="D37" s="7">
        <f>Table5[[#This Row],[Floor % w/ No Philadelphia]]*$D$70</f>
        <v>742045.81043144979</v>
      </c>
      <c r="E37" s="7">
        <f>Table5[[#This Row],[Floor % w/ No Philadelphia]]*$E$70</f>
        <v>507297.45358062483</v>
      </c>
      <c r="F37" s="7">
        <f>Table5[[#This Row],[Floor % w/ No Philadelphia]]*$F$70</f>
        <v>550499.52228896425</v>
      </c>
      <c r="G37" s="7">
        <f>Table5[[#This Row],[Floor % w/ No Philadelphia]]*$G$70</f>
        <v>550499.52228896425</v>
      </c>
      <c r="H37" s="7">
        <f>Table5[[#This Row],[Floor % w/ No Philadelphia]]*$H$70</f>
        <v>698643.35945596581</v>
      </c>
      <c r="I37" s="7">
        <f>Table5[[#This Row],[Floor % w/ No Philadelphia]]*$I$70</f>
        <v>680966.13518814708</v>
      </c>
      <c r="J37" s="7">
        <f>Table5[[#This Row],[Floor % w/ No Philadelphia]]*$J$70</f>
        <v>740533.86738311849</v>
      </c>
      <c r="K37" s="7">
        <f>Table5[[#This Row],[Floor % w/ No Philadelphia]]*$K$70</f>
        <v>740253.31919595378</v>
      </c>
      <c r="L37" s="7">
        <f>Table5[[#This Row],[Floor % w/ No Philadelphia]]*$L$70</f>
        <v>740253.31981915189</v>
      </c>
      <c r="M37" s="7">
        <f>Table5[[#This Row],[Floor % w/ No Philadelphia]]*$M$70</f>
        <v>358060.91160794877</v>
      </c>
      <c r="N37" s="7">
        <f>Table5[[#This Row],[Floor % w/ No Philadelphia]]*$N$70</f>
        <v>358060.91160794877</v>
      </c>
      <c r="O37" s="7">
        <f>Table5[[#This Row],[Floor % w/ No Philadelphia]]*$O$70</f>
        <v>358060.91160794877</v>
      </c>
      <c r="P37" s="7">
        <f>Table5[[#This Row],[Floor % w/ No Philadelphia]]*$P$70</f>
        <v>358060.91160794877</v>
      </c>
      <c r="Q37" s="7">
        <f>Table5[[#This Row],[Floor % w/ No Philadelphia]]*$Q$70</f>
        <v>358060.91160794877</v>
      </c>
      <c r="R37" s="7">
        <f>SUM(Table5[[#This Row],[Payment 1]:[Payment 15]])</f>
        <v>7987377.0683957729</v>
      </c>
    </row>
    <row r="38" spans="1:18" x14ac:dyDescent="0.3">
      <c r="A38" t="s">
        <v>62</v>
      </c>
      <c r="B38">
        <v>7.6010879287683698E-3</v>
      </c>
      <c r="C38" s="7">
        <f>Table5[[#This Row],[Floor % w/ No Philadelphia]]*$C$70</f>
        <v>38559.436866042102</v>
      </c>
      <c r="D38" s="7">
        <f>Table5[[#This Row],[Floor % w/ No Philadelphia]]*$D$70</f>
        <v>116274.56615727754</v>
      </c>
      <c r="E38" s="7">
        <f>Table5[[#This Row],[Floor % w/ No Philadelphia]]*$E$70</f>
        <v>79490.76795337275</v>
      </c>
      <c r="F38" s="7">
        <f>Table5[[#This Row],[Floor % w/ No Philadelphia]]*$F$70</f>
        <v>86260.298520816214</v>
      </c>
      <c r="G38" s="7">
        <f>Table5[[#This Row],[Floor % w/ No Philadelphia]]*$G$70</f>
        <v>86260.298520816214</v>
      </c>
      <c r="H38" s="7">
        <f>Table5[[#This Row],[Floor % w/ No Philadelphia]]*$H$70</f>
        <v>109473.63677206528</v>
      </c>
      <c r="I38" s="7">
        <f>Table5[[#This Row],[Floor % w/ No Philadelphia]]*$I$70</f>
        <v>106703.7113123279</v>
      </c>
      <c r="J38" s="7">
        <f>Table5[[#This Row],[Floor % w/ No Philadelphia]]*$J$70</f>
        <v>116037.65285687496</v>
      </c>
      <c r="K38" s="7">
        <f>Table5[[#This Row],[Floor % w/ No Philadelphia]]*$K$70</f>
        <v>115993.69247290643</v>
      </c>
      <c r="L38" s="7">
        <f>Table5[[#This Row],[Floor % w/ No Philadelphia]]*$L$70</f>
        <v>115993.69257055821</v>
      </c>
      <c r="M38" s="7">
        <f>Table5[[#This Row],[Floor % w/ No Philadelphia]]*$M$70</f>
        <v>56106.208767470212</v>
      </c>
      <c r="N38" s="7">
        <f>Table5[[#This Row],[Floor % w/ No Philadelphia]]*$N$70</f>
        <v>56106.208767470212</v>
      </c>
      <c r="O38" s="7">
        <f>Table5[[#This Row],[Floor % w/ No Philadelphia]]*$O$70</f>
        <v>56106.208767470212</v>
      </c>
      <c r="P38" s="7">
        <f>Table5[[#This Row],[Floor % w/ No Philadelphia]]*$P$70</f>
        <v>56106.208767470212</v>
      </c>
      <c r="Q38" s="7">
        <f>Table5[[#This Row],[Floor % w/ No Philadelphia]]*$Q$70</f>
        <v>56106.208767470212</v>
      </c>
      <c r="R38" s="7">
        <f>SUM(Table5[[#This Row],[Payment 1]:[Payment 15]])</f>
        <v>1251578.7978404085</v>
      </c>
    </row>
    <row r="39" spans="1:18" x14ac:dyDescent="0.3">
      <c r="A39" t="s">
        <v>63</v>
      </c>
      <c r="B39">
        <v>1.2603857478293731E-2</v>
      </c>
      <c r="C39" s="7">
        <f>Table5[[#This Row],[Floor % w/ No Philadelphia]]*$C$70</f>
        <v>63937.906159915656</v>
      </c>
      <c r="D39" s="7">
        <f>Table5[[#This Row],[Floor % w/ No Philadelphia]]*$D$70</f>
        <v>192802.4085407762</v>
      </c>
      <c r="E39" s="7">
        <f>Table5[[#This Row],[Floor % w/ No Philadelphia]]*$E$70</f>
        <v>131808.80414927242</v>
      </c>
      <c r="F39" s="7">
        <f>Table5[[#This Row],[Floor % w/ No Philadelphia]]*$F$70</f>
        <v>143033.80236881482</v>
      </c>
      <c r="G39" s="7">
        <f>Table5[[#This Row],[Floor % w/ No Philadelphia]]*$G$70</f>
        <v>143033.80236881482</v>
      </c>
      <c r="H39" s="7">
        <f>Table5[[#This Row],[Floor % w/ No Philadelphia]]*$H$70</f>
        <v>181525.34590258036</v>
      </c>
      <c r="I39" s="7">
        <f>Table5[[#This Row],[Floor % w/ No Philadelphia]]*$I$70</f>
        <v>176932.35263014442</v>
      </c>
      <c r="J39" s="7">
        <f>Table5[[#This Row],[Floor % w/ No Philadelphia]]*$J$70</f>
        <v>192409.56721319666</v>
      </c>
      <c r="K39" s="7">
        <f>Table5[[#This Row],[Floor % w/ No Philadelphia]]*$K$70</f>
        <v>192336.67364593066</v>
      </c>
      <c r="L39" s="7">
        <f>Table5[[#This Row],[Floor % w/ No Philadelphia]]*$L$70</f>
        <v>192336.67380785343</v>
      </c>
      <c r="M39" s="7">
        <f>Table5[[#This Row],[Floor % w/ No Philadelphia]]*$M$70</f>
        <v>93033.348065369821</v>
      </c>
      <c r="N39" s="7">
        <f>Table5[[#This Row],[Floor % w/ No Philadelphia]]*$N$70</f>
        <v>93033.348065369821</v>
      </c>
      <c r="O39" s="7">
        <f>Table5[[#This Row],[Floor % w/ No Philadelphia]]*$O$70</f>
        <v>93033.348065369821</v>
      </c>
      <c r="P39" s="7">
        <f>Table5[[#This Row],[Floor % w/ No Philadelphia]]*$P$70</f>
        <v>93033.348065369821</v>
      </c>
      <c r="Q39" s="7">
        <f>Table5[[#This Row],[Floor % w/ No Philadelphia]]*$Q$70</f>
        <v>93033.348065369821</v>
      </c>
      <c r="R39" s="7">
        <f>SUM(Table5[[#This Row],[Payment 1]:[Payment 15]])</f>
        <v>2075324.0771141483</v>
      </c>
    </row>
    <row r="40" spans="1:18" x14ac:dyDescent="0.3">
      <c r="A40" t="s">
        <v>64</v>
      </c>
      <c r="B40">
        <v>3.2828358495613212E-2</v>
      </c>
      <c r="C40" s="7">
        <f>Table5[[#This Row],[Floor % w/ No Philadelphia]]*$C$70</f>
        <v>166534.4525270481</v>
      </c>
      <c r="D40" s="7">
        <f>Table5[[#This Row],[Floor % w/ No Philadelphia]]*$D$70</f>
        <v>502178.52727188502</v>
      </c>
      <c r="E40" s="7">
        <f>Table5[[#This Row],[Floor % w/ No Philadelphia]]*$E$70</f>
        <v>343312.88519744267</v>
      </c>
      <c r="F40" s="7">
        <f>Table5[[#This Row],[Floor % w/ No Philadelphia]]*$F$70</f>
        <v>372549.82843473199</v>
      </c>
      <c r="G40" s="7">
        <f>Table5[[#This Row],[Floor % w/ No Philadelphia]]*$G$70</f>
        <v>372549.82843473199</v>
      </c>
      <c r="H40" s="7">
        <f>Table5[[#This Row],[Floor % w/ No Philadelphia]]*$H$70</f>
        <v>472805.97559857805</v>
      </c>
      <c r="I40" s="7">
        <f>Table5[[#This Row],[Floor % w/ No Philadelphia]]*$I$70</f>
        <v>460842.93730056973</v>
      </c>
      <c r="J40" s="7">
        <f>Table5[[#This Row],[Floor % w/ No Philadelphia]]*$J$70</f>
        <v>501155.32180039468</v>
      </c>
      <c r="K40" s="7">
        <f>Table5[[#This Row],[Floor % w/ No Philadelphia]]*$K$70</f>
        <v>500965.4611833294</v>
      </c>
      <c r="L40" s="7">
        <f>Table5[[#This Row],[Floor % w/ No Philadelphia]]*$L$70</f>
        <v>500965.4616050779</v>
      </c>
      <c r="M40" s="7">
        <f>Table5[[#This Row],[Floor % w/ No Philadelphia]]*$M$70</f>
        <v>242317.25149200775</v>
      </c>
      <c r="N40" s="7">
        <f>Table5[[#This Row],[Floor % w/ No Philadelphia]]*$N$70</f>
        <v>242317.25149200775</v>
      </c>
      <c r="O40" s="7">
        <f>Table5[[#This Row],[Floor % w/ No Philadelphia]]*$O$70</f>
        <v>242317.25149200775</v>
      </c>
      <c r="P40" s="7">
        <f>Table5[[#This Row],[Floor % w/ No Philadelphia]]*$P$70</f>
        <v>242317.25149200775</v>
      </c>
      <c r="Q40" s="7">
        <f>Table5[[#This Row],[Floor % w/ No Philadelphia]]*$Q$70</f>
        <v>242317.25149200775</v>
      </c>
      <c r="R40" s="7">
        <f>SUM(Table5[[#This Row],[Payment 1]:[Payment 15]])</f>
        <v>5405446.9368138285</v>
      </c>
    </row>
    <row r="41" spans="1:18" x14ac:dyDescent="0.3">
      <c r="A41" t="s">
        <v>65</v>
      </c>
      <c r="B41">
        <v>2.821492336848477E-2</v>
      </c>
      <c r="C41" s="7">
        <f>Table5[[#This Row],[Floor % w/ No Philadelphia]]*$C$70</f>
        <v>143131.03157110681</v>
      </c>
      <c r="D41" s="7">
        <f>Table5[[#This Row],[Floor % w/ No Philadelphia]]*$D$70</f>
        <v>431606.37063739082</v>
      </c>
      <c r="E41" s="7">
        <f>Table5[[#This Row],[Floor % w/ No Philadelphia]]*$E$70</f>
        <v>295066.43618972442</v>
      </c>
      <c r="F41" s="7">
        <f>Table5[[#This Row],[Floor % w/ No Philadelphia]]*$F$70</f>
        <v>320194.65309642995</v>
      </c>
      <c r="G41" s="7">
        <f>Table5[[#This Row],[Floor % w/ No Philadelphia]]*$G$70</f>
        <v>320194.65309642995</v>
      </c>
      <c r="H41" s="7">
        <f>Table5[[#This Row],[Floor % w/ No Philadelphia]]*$H$70</f>
        <v>406361.60262043506</v>
      </c>
      <c r="I41" s="7">
        <f>Table5[[#This Row],[Floor % w/ No Philadelphia]]*$I$70</f>
        <v>396079.75411199813</v>
      </c>
      <c r="J41" s="7">
        <f>Table5[[#This Row],[Floor % w/ No Philadelphia]]*$J$70</f>
        <v>430726.95828504395</v>
      </c>
      <c r="K41" s="7">
        <f>Table5[[#This Row],[Floor % w/ No Philadelphia]]*$K$70</f>
        <v>430563.77916166786</v>
      </c>
      <c r="L41" s="7">
        <f>Table5[[#This Row],[Floor % w/ No Philadelphia]]*$L$70</f>
        <v>430563.77952414722</v>
      </c>
      <c r="M41" s="7">
        <f>Table5[[#This Row],[Floor % w/ No Philadelphia]]*$M$70</f>
        <v>208263.92165244752</v>
      </c>
      <c r="N41" s="7">
        <f>Table5[[#This Row],[Floor % w/ No Philadelphia]]*$N$70</f>
        <v>208263.92165244752</v>
      </c>
      <c r="O41" s="7">
        <f>Table5[[#This Row],[Floor % w/ No Philadelphia]]*$O$70</f>
        <v>208263.92165244752</v>
      </c>
      <c r="P41" s="7">
        <f>Table5[[#This Row],[Floor % w/ No Philadelphia]]*$P$70</f>
        <v>208263.92165244752</v>
      </c>
      <c r="Q41" s="7">
        <f>Table5[[#This Row],[Floor % w/ No Philadelphia]]*$Q$70</f>
        <v>208263.92165244752</v>
      </c>
      <c r="R41" s="7">
        <f>SUM(Table5[[#This Row],[Payment 1]:[Payment 15]])</f>
        <v>4645808.6265566116</v>
      </c>
    </row>
    <row r="42" spans="1:18" x14ac:dyDescent="0.3">
      <c r="A42" t="s">
        <v>66</v>
      </c>
      <c r="B42">
        <v>1.0071050393412943E-2</v>
      </c>
      <c r="C42" s="7">
        <f>Table5[[#This Row],[Floor % w/ No Philadelphia]]*$C$70</f>
        <v>51089.269780682291</v>
      </c>
      <c r="D42" s="7">
        <f>Table5[[#This Row],[Floor % w/ No Philadelphia]]*$D$70</f>
        <v>154057.81727773164</v>
      </c>
      <c r="E42" s="7">
        <f>Table5[[#This Row],[Floor % w/ No Philadelphia]]*$E$70</f>
        <v>105321.17735930839</v>
      </c>
      <c r="F42" s="7">
        <f>Table5[[#This Row],[Floor % w/ No Philadelphia]]*$F$70</f>
        <v>114290.45703655576</v>
      </c>
      <c r="G42" s="7">
        <f>Table5[[#This Row],[Floor % w/ No Philadelphia]]*$G$70</f>
        <v>114290.45703655576</v>
      </c>
      <c r="H42" s="7">
        <f>Table5[[#This Row],[Floor % w/ No Philadelphia]]*$H$70</f>
        <v>145046.93578255945</v>
      </c>
      <c r="I42" s="7">
        <f>Table5[[#This Row],[Floor % w/ No Philadelphia]]*$I$70</f>
        <v>141376.92707427542</v>
      </c>
      <c r="J42" s="7">
        <f>Table5[[#This Row],[Floor % w/ No Philadelphia]]*$J$70</f>
        <v>153743.91934501679</v>
      </c>
      <c r="K42" s="7">
        <f>Table5[[#This Row],[Floor % w/ No Philadelphia]]*$K$70</f>
        <v>153685.67409822979</v>
      </c>
      <c r="L42" s="7">
        <f>Table5[[#This Row],[Floor % w/ No Philadelphia]]*$L$70</f>
        <v>153685.67422761337</v>
      </c>
      <c r="M42" s="7">
        <f>Table5[[#This Row],[Floor % w/ No Philadelphia]]*$M$70</f>
        <v>74337.839685022074</v>
      </c>
      <c r="N42" s="7">
        <f>Table5[[#This Row],[Floor % w/ No Philadelphia]]*$N$70</f>
        <v>74337.839685022074</v>
      </c>
      <c r="O42" s="7">
        <f>Table5[[#This Row],[Floor % w/ No Philadelphia]]*$O$70</f>
        <v>74337.839685022074</v>
      </c>
      <c r="P42" s="7">
        <f>Table5[[#This Row],[Floor % w/ No Philadelphia]]*$P$70</f>
        <v>74337.839685022074</v>
      </c>
      <c r="Q42" s="7">
        <f>Table5[[#This Row],[Floor % w/ No Philadelphia]]*$Q$70</f>
        <v>74337.839685022074</v>
      </c>
      <c r="R42" s="7">
        <f>SUM(Table5[[#This Row],[Payment 1]:[Payment 15]])</f>
        <v>1658277.5074436392</v>
      </c>
    </row>
    <row r="43" spans="1:18" x14ac:dyDescent="0.3">
      <c r="A43" t="s">
        <v>67</v>
      </c>
      <c r="B43">
        <v>3.611121212300204E-3</v>
      </c>
      <c r="C43" s="7">
        <f>Table5[[#This Row],[Floor % w/ No Philadelphia]]*$C$70</f>
        <v>18318.798796460851</v>
      </c>
      <c r="D43" s="7">
        <f>Table5[[#This Row],[Floor % w/ No Philadelphia]]*$D$70</f>
        <v>55239.665194819449</v>
      </c>
      <c r="E43" s="7">
        <f>Table5[[#This Row],[Floor % w/ No Philadelphia]]*$E$70</f>
        <v>37764.435963441014</v>
      </c>
      <c r="F43" s="7">
        <f>Table5[[#This Row],[Floor % w/ No Philadelphia]]*$F$70</f>
        <v>40980.501302836543</v>
      </c>
      <c r="G43" s="7">
        <f>Table5[[#This Row],[Floor % w/ No Philadelphia]]*$G$70</f>
        <v>40980.501302836543</v>
      </c>
      <c r="H43" s="7">
        <f>Table5[[#This Row],[Floor % w/ No Philadelphia]]*$H$70</f>
        <v>52008.682920118255</v>
      </c>
      <c r="I43" s="7">
        <f>Table5[[#This Row],[Floor % w/ No Philadelphia]]*$I$70</f>
        <v>50692.748059492485</v>
      </c>
      <c r="J43" s="7">
        <f>Table5[[#This Row],[Floor % w/ No Philadelphia]]*$J$70</f>
        <v>55127.11253754497</v>
      </c>
      <c r="K43" s="7">
        <f>Table5[[#This Row],[Floor % w/ No Philadelphia]]*$K$70</f>
        <v>55106.227859386105</v>
      </c>
      <c r="L43" s="7">
        <f>Table5[[#This Row],[Floor % w/ No Philadelphia]]*$L$70</f>
        <v>55106.227905778462</v>
      </c>
      <c r="M43" s="7">
        <f>Table5[[#This Row],[Floor % w/ No Philadelphia]]*$M$70</f>
        <v>26654.910786538469</v>
      </c>
      <c r="N43" s="7">
        <f>Table5[[#This Row],[Floor % w/ No Philadelphia]]*$N$70</f>
        <v>26654.910786538469</v>
      </c>
      <c r="O43" s="7">
        <f>Table5[[#This Row],[Floor % w/ No Philadelphia]]*$O$70</f>
        <v>26654.910786538469</v>
      </c>
      <c r="P43" s="7">
        <f>Table5[[#This Row],[Floor % w/ No Philadelphia]]*$P$70</f>
        <v>26654.910786538469</v>
      </c>
      <c r="Q43" s="7">
        <f>Table5[[#This Row],[Floor % w/ No Philadelphia]]*$Q$70</f>
        <v>26654.910786538469</v>
      </c>
      <c r="R43" s="7">
        <f>SUM(Table5[[#This Row],[Payment 1]:[Payment 15]])</f>
        <v>594599.45577540703</v>
      </c>
    </row>
    <row r="44" spans="1:18" x14ac:dyDescent="0.3">
      <c r="A44" t="s">
        <v>68</v>
      </c>
      <c r="B44">
        <v>9.726604985470462E-3</v>
      </c>
      <c r="C44" s="7">
        <f>Table5[[#This Row],[Floor % w/ No Philadelphia]]*$C$70</f>
        <v>49341.938203173719</v>
      </c>
      <c r="D44" s="7">
        <f>Table5[[#This Row],[Floor % w/ No Philadelphia]]*$D$70</f>
        <v>148788.80305914886</v>
      </c>
      <c r="E44" s="7">
        <f>Table5[[#This Row],[Floor % w/ No Philadelphia]]*$E$70</f>
        <v>101719.03115971864</v>
      </c>
      <c r="F44" s="7">
        <f>Table5[[#This Row],[Floor % w/ No Philadelphia]]*$F$70</f>
        <v>110381.54768151596</v>
      </c>
      <c r="G44" s="7">
        <f>Table5[[#This Row],[Floor % w/ No Philadelphia]]*$G$70</f>
        <v>110381.54768151596</v>
      </c>
      <c r="H44" s="7">
        <f>Table5[[#This Row],[Floor % w/ No Philadelphia]]*$H$70</f>
        <v>140086.10756556355</v>
      </c>
      <c r="I44" s="7">
        <f>Table5[[#This Row],[Floor % w/ No Philadelphia]]*$I$70</f>
        <v>136541.61879783153</v>
      </c>
      <c r="J44" s="7">
        <f>Table5[[#This Row],[Floor % w/ No Philadelphia]]*$J$70</f>
        <v>148485.64091835867</v>
      </c>
      <c r="K44" s="7">
        <f>Table5[[#This Row],[Floor % w/ No Philadelphia]]*$K$70</f>
        <v>148429.38774856529</v>
      </c>
      <c r="L44" s="7">
        <f>Table5[[#This Row],[Floor % w/ No Philadelphia]]*$L$70</f>
        <v>148429.38787352375</v>
      </c>
      <c r="M44" s="7">
        <f>Table5[[#This Row],[Floor % w/ No Philadelphia]]*$M$70</f>
        <v>71795.371271536875</v>
      </c>
      <c r="N44" s="7">
        <f>Table5[[#This Row],[Floor % w/ No Philadelphia]]*$N$70</f>
        <v>71795.371271536875</v>
      </c>
      <c r="O44" s="7">
        <f>Table5[[#This Row],[Floor % w/ No Philadelphia]]*$O$70</f>
        <v>71795.371271536875</v>
      </c>
      <c r="P44" s="7">
        <f>Table5[[#This Row],[Floor % w/ No Philadelphia]]*$P$70</f>
        <v>71795.371271536875</v>
      </c>
      <c r="Q44" s="7">
        <f>Table5[[#This Row],[Floor % w/ No Philadelphia]]*$Q$70</f>
        <v>71795.371271536875</v>
      </c>
      <c r="R44" s="7">
        <f>SUM(Table5[[#This Row],[Payment 1]:[Payment 15]])</f>
        <v>1601561.8670466004</v>
      </c>
    </row>
    <row r="45" spans="1:18" x14ac:dyDescent="0.3">
      <c r="A45" t="s">
        <v>69</v>
      </c>
      <c r="B45">
        <v>4.1011670275226285E-3</v>
      </c>
      <c r="C45" s="7">
        <f>Table5[[#This Row],[Floor % w/ No Philadelphia]]*$C$70</f>
        <v>20804.744341442725</v>
      </c>
      <c r="D45" s="7">
        <f>Table5[[#This Row],[Floor % w/ No Philadelphia]]*$D$70</f>
        <v>62735.942714057332</v>
      </c>
      <c r="E45" s="7">
        <f>Table5[[#This Row],[Floor % w/ No Philadelphia]]*$E$70</f>
        <v>42889.244221076704</v>
      </c>
      <c r="F45" s="7">
        <f>Table5[[#This Row],[Floor % w/ No Philadelphia]]*$F$70</f>
        <v>46541.744470406702</v>
      </c>
      <c r="G45" s="7">
        <f>Table5[[#This Row],[Floor % w/ No Philadelphia]]*$G$70</f>
        <v>46541.744470406702</v>
      </c>
      <c r="H45" s="7">
        <f>Table5[[#This Row],[Floor % w/ No Philadelphia]]*$H$70</f>
        <v>59066.501232453302</v>
      </c>
      <c r="I45" s="7">
        <f>Table5[[#This Row],[Floor % w/ No Philadelphia]]*$I$70</f>
        <v>57571.987937695107</v>
      </c>
      <c r="J45" s="7">
        <f>Table5[[#This Row],[Floor % w/ No Philadelphia]]*$J$70</f>
        <v>62608.116141716906</v>
      </c>
      <c r="K45" s="7">
        <f>Table5[[#This Row],[Floor % w/ No Philadelphia]]*$K$70</f>
        <v>62584.397316341056</v>
      </c>
      <c r="L45" s="7">
        <f>Table5[[#This Row],[Floor % w/ No Philadelphia]]*$L$70</f>
        <v>62584.397369029073</v>
      </c>
      <c r="M45" s="7">
        <f>Table5[[#This Row],[Floor % w/ No Philadelphia]]*$M$70</f>
        <v>30272.105202936902</v>
      </c>
      <c r="N45" s="7">
        <f>Table5[[#This Row],[Floor % w/ No Philadelphia]]*$N$70</f>
        <v>30272.105202936902</v>
      </c>
      <c r="O45" s="7">
        <f>Table5[[#This Row],[Floor % w/ No Philadelphia]]*$O$70</f>
        <v>30272.105202936902</v>
      </c>
      <c r="P45" s="7">
        <f>Table5[[#This Row],[Floor % w/ No Philadelphia]]*$P$70</f>
        <v>30272.105202936902</v>
      </c>
      <c r="Q45" s="7">
        <f>Table5[[#This Row],[Floor % w/ No Philadelphia]]*$Q$70</f>
        <v>30272.105202936902</v>
      </c>
      <c r="R45" s="7">
        <f>SUM(Table5[[#This Row],[Payment 1]:[Payment 15]])</f>
        <v>675289.34622931015</v>
      </c>
    </row>
    <row r="46" spans="1:18" x14ac:dyDescent="0.3">
      <c r="A46" t="s">
        <v>70</v>
      </c>
      <c r="B46">
        <v>1.5135242336973982E-2</v>
      </c>
      <c r="C46" s="7">
        <f>Table5[[#This Row],[Floor % w/ No Philadelphia]]*$C$70</f>
        <v>76779.327750699958</v>
      </c>
      <c r="D46" s="7">
        <f>Table5[[#This Row],[Floor % w/ No Philadelphia]]*$D$70</f>
        <v>231525.24387414404</v>
      </c>
      <c r="E46" s="7">
        <f>Table5[[#This Row],[Floor % w/ No Philadelphia]]*$E$70</f>
        <v>158281.55756138006</v>
      </c>
      <c r="F46" s="7">
        <f>Table5[[#This Row],[Floor % w/ No Philadelphia]]*$F$70</f>
        <v>171761.00768825307</v>
      </c>
      <c r="G46" s="7">
        <f>Table5[[#This Row],[Floor % w/ No Philadelphia]]*$G$70</f>
        <v>171761.00768825307</v>
      </c>
      <c r="H46" s="7">
        <f>Table5[[#This Row],[Floor % w/ No Philadelphia]]*$H$70</f>
        <v>217983.27260286658</v>
      </c>
      <c r="I46" s="7">
        <f>Table5[[#This Row],[Floor % w/ No Philadelphia]]*$I$70</f>
        <v>212467.81304216234</v>
      </c>
      <c r="J46" s="7">
        <f>Table5[[#This Row],[Floor % w/ No Philadelphia]]*$J$70</f>
        <v>231053.50348013092</v>
      </c>
      <c r="K46" s="7">
        <f>Table5[[#This Row],[Floor % w/ No Philadelphia]]*$K$70</f>
        <v>230965.96981773613</v>
      </c>
      <c r="L46" s="7">
        <f>Table5[[#This Row],[Floor % w/ No Philadelphia]]*$L$70</f>
        <v>230965.97001217978</v>
      </c>
      <c r="M46" s="7">
        <f>Table5[[#This Row],[Floor % w/ No Philadelphia]]*$M$70</f>
        <v>111718.35851162318</v>
      </c>
      <c r="N46" s="7">
        <f>Table5[[#This Row],[Floor % w/ No Philadelphia]]*$N$70</f>
        <v>111718.35851162318</v>
      </c>
      <c r="O46" s="7">
        <f>Table5[[#This Row],[Floor % w/ No Philadelphia]]*$O$70</f>
        <v>111718.35851162318</v>
      </c>
      <c r="P46" s="7">
        <f>Table5[[#This Row],[Floor % w/ No Philadelphia]]*$P$70</f>
        <v>111718.35851162318</v>
      </c>
      <c r="Q46" s="7">
        <f>Table5[[#This Row],[Floor % w/ No Philadelphia]]*$Q$70</f>
        <v>111718.35851162318</v>
      </c>
      <c r="R46" s="7">
        <f>SUM(Table5[[#This Row],[Payment 1]:[Payment 15]])</f>
        <v>2492136.466075921</v>
      </c>
    </row>
    <row r="47" spans="1:18" x14ac:dyDescent="0.3">
      <c r="A47" t="s">
        <v>71</v>
      </c>
      <c r="B47">
        <v>7.3859317713684272E-2</v>
      </c>
      <c r="C47" s="7">
        <f>Table5[[#This Row],[Floor % w/ No Philadelphia]]*$C$70</f>
        <v>374679.7465098158</v>
      </c>
      <c r="D47" s="7">
        <f>Table5[[#This Row],[Floor % w/ No Philadelphia]]*$D$70</f>
        <v>1129833.019208699</v>
      </c>
      <c r="E47" s="7">
        <f>Table5[[#This Row],[Floor % w/ No Philadelphia]]*$E$70</f>
        <v>772407.04759538674</v>
      </c>
      <c r="F47" s="7">
        <f>Table5[[#This Row],[Floor % w/ No Philadelphia]]*$F$70</f>
        <v>838186.17206268117</v>
      </c>
      <c r="G47" s="7">
        <f>Table5[[#This Row],[Floor % w/ No Philadelphia]]*$G$70</f>
        <v>838186.17206268117</v>
      </c>
      <c r="H47" s="7">
        <f>Table5[[#This Row],[Floor % w/ No Philadelphia]]*$H$70</f>
        <v>1063748.7943032628</v>
      </c>
      <c r="I47" s="7">
        <f>Table5[[#This Row],[Floor % w/ No Philadelphia]]*$I$70</f>
        <v>1036833.5939410016</v>
      </c>
      <c r="J47" s="7">
        <f>Table5[[#This Row],[Floor % w/ No Philadelphia]]*$J$70</f>
        <v>1127530.9468094565</v>
      </c>
      <c r="K47" s="7">
        <f>Table5[[#This Row],[Floor % w/ No Philadelphia]]*$K$70</f>
        <v>1127103.786382321</v>
      </c>
      <c r="L47" s="7">
        <f>Table5[[#This Row],[Floor % w/ No Philadelphia]]*$L$70</f>
        <v>1127103.7873311976</v>
      </c>
      <c r="M47" s="7">
        <f>Table5[[#This Row],[Floor % w/ No Philadelphia]]*$M$70</f>
        <v>545180.68175253191</v>
      </c>
      <c r="N47" s="7">
        <f>Table5[[#This Row],[Floor % w/ No Philadelphia]]*$N$70</f>
        <v>545180.68175253191</v>
      </c>
      <c r="O47" s="7">
        <f>Table5[[#This Row],[Floor % w/ No Philadelphia]]*$O$70</f>
        <v>545180.68175253191</v>
      </c>
      <c r="P47" s="7">
        <f>Table5[[#This Row],[Floor % w/ No Philadelphia]]*$P$70</f>
        <v>545180.68175253191</v>
      </c>
      <c r="Q47" s="7">
        <f>Table5[[#This Row],[Floor % w/ No Philadelphia]]*$Q$70</f>
        <v>545180.68175253191</v>
      </c>
      <c r="R47" s="7">
        <f>SUM(Table5[[#This Row],[Payment 1]:[Payment 15]])</f>
        <v>12161516.474969167</v>
      </c>
    </row>
    <row r="48" spans="1:18" x14ac:dyDescent="0.3">
      <c r="A48" t="s">
        <v>72</v>
      </c>
      <c r="B48">
        <v>1.6204489772364977E-3</v>
      </c>
      <c r="C48" s="7">
        <f>Table5[[#This Row],[Floor % w/ No Philadelphia]]*$C$70</f>
        <v>8220.3495891564635</v>
      </c>
      <c r="D48" s="7">
        <f>Table5[[#This Row],[Floor % w/ No Philadelphia]]*$D$70</f>
        <v>24788.16237542298</v>
      </c>
      <c r="E48" s="7">
        <f>Table5[[#This Row],[Floor % w/ No Philadelphia]]*$E$70</f>
        <v>16946.354895102271</v>
      </c>
      <c r="F48" s="7">
        <f>Table5[[#This Row],[Floor % w/ No Philadelphia]]*$F$70</f>
        <v>18389.52710770979</v>
      </c>
      <c r="G48" s="7">
        <f>Table5[[#This Row],[Floor % w/ No Philadelphia]]*$G$70</f>
        <v>18389.52710770979</v>
      </c>
      <c r="H48" s="7">
        <f>Table5[[#This Row],[Floor % w/ No Philadelphia]]*$H$70</f>
        <v>23338.296360215525</v>
      </c>
      <c r="I48" s="7">
        <f>Table5[[#This Row],[Floor % w/ No Philadelphia]]*$I$70</f>
        <v>22747.78577537349</v>
      </c>
      <c r="J48" s="7">
        <f>Table5[[#This Row],[Floor % w/ No Philadelphia]]*$J$70</f>
        <v>24737.655669155563</v>
      </c>
      <c r="K48" s="7">
        <f>Table5[[#This Row],[Floor % w/ No Philadelphia]]*$K$70</f>
        <v>24728.283910808826</v>
      </c>
      <c r="L48" s="7">
        <f>Table5[[#This Row],[Floor % w/ No Philadelphia]]*$L$70</f>
        <v>24728.283931626862</v>
      </c>
      <c r="M48" s="7">
        <f>Table5[[#This Row],[Floor % w/ No Philadelphia]]*$M$70</f>
        <v>11961.083658796217</v>
      </c>
      <c r="N48" s="7">
        <f>Table5[[#This Row],[Floor % w/ No Philadelphia]]*$N$70</f>
        <v>11961.083658796217</v>
      </c>
      <c r="O48" s="7">
        <f>Table5[[#This Row],[Floor % w/ No Philadelphia]]*$O$70</f>
        <v>11961.083658796217</v>
      </c>
      <c r="P48" s="7">
        <f>Table5[[#This Row],[Floor % w/ No Philadelphia]]*$P$70</f>
        <v>11961.083658796217</v>
      </c>
      <c r="Q48" s="7">
        <f>Table5[[#This Row],[Floor % w/ No Philadelphia]]*$Q$70</f>
        <v>11961.083658796217</v>
      </c>
      <c r="R48" s="7">
        <f>SUM(Table5[[#This Row],[Payment 1]:[Payment 15]])</f>
        <v>266819.6450162626</v>
      </c>
    </row>
    <row r="49" spans="1:18" x14ac:dyDescent="0.3">
      <c r="A49" t="s">
        <v>73</v>
      </c>
      <c r="B49">
        <v>2.7136520351927821E-2</v>
      </c>
      <c r="C49" s="7">
        <f>Table5[[#This Row],[Floor % w/ No Philadelphia]]*$C$70</f>
        <v>137660.41822960126</v>
      </c>
      <c r="D49" s="7">
        <f>Table5[[#This Row],[Floor % w/ No Philadelphia]]*$D$70</f>
        <v>415109.9369600112</v>
      </c>
      <c r="E49" s="7">
        <f>Table5[[#This Row],[Floor % w/ No Philadelphia]]*$E$70</f>
        <v>283788.69743013143</v>
      </c>
      <c r="F49" s="7">
        <f>Table5[[#This Row],[Floor % w/ No Philadelphia]]*$F$70</f>
        <v>307956.48837505118</v>
      </c>
      <c r="G49" s="7">
        <f>Table5[[#This Row],[Floor % w/ No Philadelphia]]*$G$70</f>
        <v>307956.48837505118</v>
      </c>
      <c r="H49" s="7">
        <f>Table5[[#This Row],[Floor % w/ No Philadelphia]]*$H$70</f>
        <v>390830.04960660433</v>
      </c>
      <c r="I49" s="7">
        <f>Table5[[#This Row],[Floor % w/ No Philadelphia]]*$I$70</f>
        <v>380941.18378688401</v>
      </c>
      <c r="J49" s="7">
        <f>Table5[[#This Row],[Floor % w/ No Philadelphia]]*$J$70</f>
        <v>414264.13664060098</v>
      </c>
      <c r="K49" s="7">
        <f>Table5[[#This Row],[Floor % w/ No Philadelphia]]*$K$70</f>
        <v>414107.19438898918</v>
      </c>
      <c r="L49" s="7">
        <f>Table5[[#This Row],[Floor % w/ No Philadelphia]]*$L$70</f>
        <v>414107.19473761419</v>
      </c>
      <c r="M49" s="7">
        <f>Table5[[#This Row],[Floor % w/ No Philadelphia]]*$M$70</f>
        <v>200303.86312537591</v>
      </c>
      <c r="N49" s="7">
        <f>Table5[[#This Row],[Floor % w/ No Philadelphia]]*$N$70</f>
        <v>200303.86312537591</v>
      </c>
      <c r="O49" s="7">
        <f>Table5[[#This Row],[Floor % w/ No Philadelphia]]*$O$70</f>
        <v>200303.86312537591</v>
      </c>
      <c r="P49" s="7">
        <f>Table5[[#This Row],[Floor % w/ No Philadelphia]]*$P$70</f>
        <v>200303.86312537591</v>
      </c>
      <c r="Q49" s="7">
        <f>Table5[[#This Row],[Floor % w/ No Philadelphia]]*$Q$70</f>
        <v>200303.86312537591</v>
      </c>
      <c r="R49" s="7">
        <f>SUM(Table5[[#This Row],[Payment 1]:[Payment 15]])</f>
        <v>4468241.104157418</v>
      </c>
    </row>
    <row r="50" spans="1:18" x14ac:dyDescent="0.3">
      <c r="A50" t="s">
        <v>74</v>
      </c>
      <c r="B50">
        <v>8.0749559209596904E-3</v>
      </c>
      <c r="C50" s="7">
        <f>Table5[[#This Row],[Floor % w/ No Philadelphia]]*$C$70</f>
        <v>40963.314192415834</v>
      </c>
      <c r="D50" s="7">
        <f>Table5[[#This Row],[Floor % w/ No Philadelphia]]*$D$70</f>
        <v>123523.36997644266</v>
      </c>
      <c r="E50" s="7">
        <f>Table5[[#This Row],[Floor % w/ No Philadelphia]]*$E$70</f>
        <v>84446.391537892239</v>
      </c>
      <c r="F50" s="7">
        <f>Table5[[#This Row],[Floor % w/ No Philadelphia]]*$F$70</f>
        <v>91637.949042549662</v>
      </c>
      <c r="G50" s="7">
        <f>Table5[[#This Row],[Floor % w/ No Philadelphia]]*$G$70</f>
        <v>91637.949042549662</v>
      </c>
      <c r="H50" s="7">
        <f>Table5[[#This Row],[Floor % w/ No Philadelphia]]*$H$70</f>
        <v>116298.45618491821</v>
      </c>
      <c r="I50" s="7">
        <f>Table5[[#This Row],[Floor % w/ No Philadelphia]]*$I$70</f>
        <v>113355.84767922401</v>
      </c>
      <c r="J50" s="7">
        <f>Table5[[#This Row],[Floor % w/ No Philadelphia]]*$J$70</f>
        <v>123271.68699687871</v>
      </c>
      <c r="K50" s="7">
        <f>Table5[[#This Row],[Floor % w/ No Philadelphia]]*$K$70</f>
        <v>123224.98602905136</v>
      </c>
      <c r="L50" s="7">
        <f>Table5[[#This Row],[Floor % w/ No Philadelphia]]*$L$70</f>
        <v>123224.98613279096</v>
      </c>
      <c r="M50" s="7">
        <f>Table5[[#This Row],[Floor % w/ No Philadelphia]]*$M$70</f>
        <v>59603.989183544967</v>
      </c>
      <c r="N50" s="7">
        <f>Table5[[#This Row],[Floor % w/ No Philadelphia]]*$N$70</f>
        <v>59603.989183544967</v>
      </c>
      <c r="O50" s="7">
        <f>Table5[[#This Row],[Floor % w/ No Philadelphia]]*$O$70</f>
        <v>59603.989183544967</v>
      </c>
      <c r="P50" s="7">
        <f>Table5[[#This Row],[Floor % w/ No Philadelphia]]*$P$70</f>
        <v>59603.989183544967</v>
      </c>
      <c r="Q50" s="7">
        <f>Table5[[#This Row],[Floor % w/ No Philadelphia]]*$Q$70</f>
        <v>59603.989183544967</v>
      </c>
      <c r="R50" s="7">
        <f>SUM(Table5[[#This Row],[Payment 1]:[Payment 15]])</f>
        <v>1329604.8827324377</v>
      </c>
    </row>
    <row r="51" spans="1:18" x14ac:dyDescent="0.3">
      <c r="A51" t="s">
        <v>75</v>
      </c>
      <c r="B51">
        <v>4.1130781719521236E-3</v>
      </c>
      <c r="C51" s="7">
        <f>Table5[[#This Row],[Floor % w/ No Philadelphia]]*$C$70</f>
        <v>20865.168194703667</v>
      </c>
      <c r="D51" s="7">
        <f>Table5[[#This Row],[Floor % w/ No Philadelphia]]*$D$70</f>
        <v>62918.148625099944</v>
      </c>
      <c r="E51" s="7">
        <f>Table5[[#This Row],[Floor % w/ No Philadelphia]]*$E$70</f>
        <v>43013.808760623811</v>
      </c>
      <c r="F51" s="7">
        <f>Table5[[#This Row],[Floor % w/ No Philadelphia]]*$F$70</f>
        <v>46676.917077780985</v>
      </c>
      <c r="G51" s="7">
        <f>Table5[[#This Row],[Floor % w/ No Philadelphia]]*$G$70</f>
        <v>46676.917077780985</v>
      </c>
      <c r="H51" s="7">
        <f>Table5[[#This Row],[Floor % w/ No Philadelphia]]*$H$70</f>
        <v>59238.049872731361</v>
      </c>
      <c r="I51" s="7">
        <f>Table5[[#This Row],[Floor % w/ No Philadelphia]]*$I$70</f>
        <v>57739.196017448267</v>
      </c>
      <c r="J51" s="7">
        <f>Table5[[#This Row],[Floor % w/ No Philadelphia]]*$J$70</f>
        <v>62789.950802148443</v>
      </c>
      <c r="K51" s="7">
        <f>Table5[[#This Row],[Floor % w/ No Philadelphia]]*$K$70</f>
        <v>62766.163089464942</v>
      </c>
      <c r="L51" s="7">
        <f>Table5[[#This Row],[Floor % w/ No Philadelphia]]*$L$70</f>
        <v>62766.163142305988</v>
      </c>
      <c r="M51" s="7">
        <f>Table5[[#This Row],[Floor % w/ No Philadelphia]]*$M$70</f>
        <v>30360.025400977425</v>
      </c>
      <c r="N51" s="7">
        <f>Table5[[#This Row],[Floor % w/ No Philadelphia]]*$N$70</f>
        <v>30360.025400977425</v>
      </c>
      <c r="O51" s="7">
        <f>Table5[[#This Row],[Floor % w/ No Philadelphia]]*$O$70</f>
        <v>30360.025400977425</v>
      </c>
      <c r="P51" s="7">
        <f>Table5[[#This Row],[Floor % w/ No Philadelphia]]*$P$70</f>
        <v>30360.025400977425</v>
      </c>
      <c r="Q51" s="7">
        <f>Table5[[#This Row],[Floor % w/ No Philadelphia]]*$Q$70</f>
        <v>30360.025400977425</v>
      </c>
      <c r="R51" s="7">
        <f>SUM(Table5[[#This Row],[Payment 1]:[Payment 15]])</f>
        <v>677250.60966497578</v>
      </c>
    </row>
    <row r="52" spans="1:18" x14ac:dyDescent="0.3">
      <c r="A52" t="s">
        <v>76</v>
      </c>
      <c r="B52">
        <v>0</v>
      </c>
      <c r="C52" s="7">
        <f>Table5[[#This Row],[Floor % w/ No Philadelphia]]*$C$70</f>
        <v>0</v>
      </c>
      <c r="D52" s="7">
        <f>Table5[[#This Row],[Floor % w/ No Philadelphia]]*$D$70</f>
        <v>0</v>
      </c>
      <c r="E52" s="7">
        <f>Table5[[#This Row],[Floor % w/ No Philadelphia]]*$E$70</f>
        <v>0</v>
      </c>
      <c r="F52" s="7">
        <f>Table5[[#This Row],[Floor % w/ No Philadelphia]]*$F$70</f>
        <v>0</v>
      </c>
      <c r="G52" s="7">
        <f>Table5[[#This Row],[Floor % w/ No Philadelphia]]*$G$70</f>
        <v>0</v>
      </c>
      <c r="H52" s="7">
        <f>Table5[[#This Row],[Floor % w/ No Philadelphia]]*$H$70</f>
        <v>0</v>
      </c>
      <c r="I52" s="7">
        <f>Table5[[#This Row],[Floor % w/ No Philadelphia]]*$I$70</f>
        <v>0</v>
      </c>
      <c r="J52" s="7">
        <f>Table5[[#This Row],[Floor % w/ No Philadelphia]]*$J$70</f>
        <v>0</v>
      </c>
      <c r="K52" s="7">
        <f>Table5[[#This Row],[Floor % w/ No Philadelphia]]*$K$70</f>
        <v>0</v>
      </c>
      <c r="L52" s="7">
        <f>Table5[[#This Row],[Floor % w/ No Philadelphia]]*$L$70</f>
        <v>0</v>
      </c>
      <c r="M52" s="7">
        <f>Table5[[#This Row],[Floor % w/ No Philadelphia]]*$M$70</f>
        <v>0</v>
      </c>
      <c r="N52" s="7">
        <f>Table5[[#This Row],[Floor % w/ No Philadelphia]]*$N$70</f>
        <v>0</v>
      </c>
      <c r="O52" s="7">
        <f>Table5[[#This Row],[Floor % w/ No Philadelphia]]*$O$70</f>
        <v>0</v>
      </c>
      <c r="P52" s="7">
        <f>Table5[[#This Row],[Floor % w/ No Philadelphia]]*$P$70</f>
        <v>0</v>
      </c>
      <c r="Q52" s="7">
        <f>Table5[[#This Row],[Floor % w/ No Philadelphia]]*$Q$70</f>
        <v>0</v>
      </c>
      <c r="R52" s="7">
        <f>SUM(Table5[[#This Row],[Payment 1]:[Payment 15]])</f>
        <v>0</v>
      </c>
    </row>
    <row r="53" spans="1:18" x14ac:dyDescent="0.3">
      <c r="A53" t="s">
        <v>77</v>
      </c>
      <c r="B53">
        <v>4.9608138766095277E-3</v>
      </c>
      <c r="C53" s="7">
        <f>Table5[[#This Row],[Floor % w/ No Philadelphia]]*$C$70</f>
        <v>25165.633034626058</v>
      </c>
      <c r="D53" s="7">
        <f>Table5[[#This Row],[Floor % w/ No Philadelphia]]*$D$70</f>
        <v>75886.042458035154</v>
      </c>
      <c r="E53" s="7">
        <f>Table5[[#This Row],[Floor % w/ No Philadelphia]]*$E$70</f>
        <v>51879.27154913672</v>
      </c>
      <c r="F53" s="7">
        <f>Table5[[#This Row],[Floor % w/ No Philadelphia]]*$F$70</f>
        <v>56297.373469784725</v>
      </c>
      <c r="G53" s="7">
        <f>Table5[[#This Row],[Floor % w/ No Philadelphia]]*$G$70</f>
        <v>56297.373469784725</v>
      </c>
      <c r="H53" s="7">
        <f>Table5[[#This Row],[Floor % w/ No Philadelphia]]*$H$70</f>
        <v>71447.44824834165</v>
      </c>
      <c r="I53" s="7">
        <f>Table5[[#This Row],[Floor % w/ No Philadelphia]]*$I$70</f>
        <v>69639.669574208383</v>
      </c>
      <c r="J53" s="7">
        <f>Table5[[#This Row],[Floor % w/ No Philadelphia]]*$J$70</f>
        <v>75731.422119577765</v>
      </c>
      <c r="K53" s="7">
        <f>Table5[[#This Row],[Floor % w/ No Philadelphia]]*$K$70</f>
        <v>75702.731584110239</v>
      </c>
      <c r="L53" s="7">
        <f>Table5[[#This Row],[Floor % w/ No Philadelphia]]*$L$70</f>
        <v>75702.731647842214</v>
      </c>
      <c r="M53" s="7">
        <f>Table5[[#This Row],[Floor % w/ No Philadelphia]]*$M$70</f>
        <v>36617.450242115083</v>
      </c>
      <c r="N53" s="7">
        <f>Table5[[#This Row],[Floor % w/ No Philadelphia]]*$N$70</f>
        <v>36617.450242115083</v>
      </c>
      <c r="O53" s="7">
        <f>Table5[[#This Row],[Floor % w/ No Philadelphia]]*$O$70</f>
        <v>36617.450242115083</v>
      </c>
      <c r="P53" s="7">
        <f>Table5[[#This Row],[Floor % w/ No Philadelphia]]*$P$70</f>
        <v>36617.450242115083</v>
      </c>
      <c r="Q53" s="7">
        <f>Table5[[#This Row],[Floor % w/ No Philadelphia]]*$Q$70</f>
        <v>36617.450242115083</v>
      </c>
      <c r="R53" s="7">
        <f>SUM(Table5[[#This Row],[Payment 1]:[Payment 15]])</f>
        <v>816836.94836602302</v>
      </c>
    </row>
    <row r="54" spans="1:18" x14ac:dyDescent="0.3">
      <c r="A54" t="s">
        <v>78</v>
      </c>
      <c r="B54">
        <v>1.4731779718619976E-3</v>
      </c>
      <c r="C54" s="7">
        <f>Table5[[#This Row],[Floor % w/ No Philadelphia]]*$C$70</f>
        <v>7473.2608714422458</v>
      </c>
      <c r="D54" s="7">
        <f>Table5[[#This Row],[Floor % w/ No Philadelphia]]*$D$70</f>
        <v>22535.343776567388</v>
      </c>
      <c r="E54" s="7">
        <f>Table5[[#This Row],[Floor % w/ No Philadelphia]]*$E$70</f>
        <v>15406.222031992347</v>
      </c>
      <c r="F54" s="7">
        <f>Table5[[#This Row],[Floor % w/ No Philadelphia]]*$F$70</f>
        <v>16718.234655088007</v>
      </c>
      <c r="G54" s="7">
        <f>Table5[[#This Row],[Floor % w/ No Philadelphia]]*$G$70</f>
        <v>16718.234655088007</v>
      </c>
      <c r="H54" s="7">
        <f>Table5[[#This Row],[Floor % w/ No Philadelphia]]*$H$70</f>
        <v>21217.245702663502</v>
      </c>
      <c r="I54" s="7">
        <f>Table5[[#This Row],[Floor % w/ No Philadelphia]]*$I$70</f>
        <v>20680.402396912399</v>
      </c>
      <c r="J54" s="7">
        <f>Table5[[#This Row],[Floor % w/ No Philadelphia]]*$J$70</f>
        <v>22489.427263212339</v>
      </c>
      <c r="K54" s="7">
        <f>Table5[[#This Row],[Floor % w/ No Philadelphia]]*$K$70</f>
        <v>22480.907236881383</v>
      </c>
      <c r="L54" s="7">
        <f>Table5[[#This Row],[Floor % w/ No Philadelphia]]*$L$70</f>
        <v>22480.907255807415</v>
      </c>
      <c r="M54" s="7">
        <f>Table5[[#This Row],[Floor % w/ No Philadelphia]]*$M$70</f>
        <v>10874.026404575532</v>
      </c>
      <c r="N54" s="7">
        <f>Table5[[#This Row],[Floor % w/ No Philadelphia]]*$N$70</f>
        <v>10874.026404575532</v>
      </c>
      <c r="O54" s="7">
        <f>Table5[[#This Row],[Floor % w/ No Philadelphia]]*$O$70</f>
        <v>10874.026404575532</v>
      </c>
      <c r="P54" s="7">
        <f>Table5[[#This Row],[Floor % w/ No Philadelphia]]*$P$70</f>
        <v>10874.026404575532</v>
      </c>
      <c r="Q54" s="7">
        <f>Table5[[#This Row],[Floor % w/ No Philadelphia]]*$Q$70</f>
        <v>10874.026404575532</v>
      </c>
      <c r="R54" s="7">
        <f>SUM(Table5[[#This Row],[Payment 1]:[Payment 15]])</f>
        <v>242570.31786853267</v>
      </c>
    </row>
    <row r="55" spans="1:18" x14ac:dyDescent="0.3">
      <c r="A55" t="s">
        <v>79</v>
      </c>
      <c r="B55">
        <v>1.2565279592604173E-2</v>
      </c>
      <c r="C55" s="7">
        <f>Table5[[#This Row],[Floor % w/ No Philadelphia]]*$C$70</f>
        <v>63742.205023234696</v>
      </c>
      <c r="D55" s="7">
        <f>Table5[[#This Row],[Floor % w/ No Philadelphia]]*$D$70</f>
        <v>192212.27894829493</v>
      </c>
      <c r="E55" s="7">
        <f>Table5[[#This Row],[Floor % w/ No Philadelphia]]*$E$70</f>
        <v>131405.36377491837</v>
      </c>
      <c r="F55" s="7">
        <f>Table5[[#This Row],[Floor % w/ No Philadelphia]]*$F$70</f>
        <v>142596.00452105037</v>
      </c>
      <c r="G55" s="7">
        <f>Table5[[#This Row],[Floor % w/ No Philadelphia]]*$G$70</f>
        <v>142596.00452105037</v>
      </c>
      <c r="H55" s="7">
        <f>Table5[[#This Row],[Floor % w/ No Philadelphia]]*$H$70</f>
        <v>180969.73314227682</v>
      </c>
      <c r="I55" s="7">
        <f>Table5[[#This Row],[Floor % w/ No Philadelphia]]*$I$70</f>
        <v>176390.79810318272</v>
      </c>
      <c r="J55" s="7">
        <f>Table5[[#This Row],[Floor % w/ No Philadelphia]]*$J$70</f>
        <v>191820.64002941092</v>
      </c>
      <c r="K55" s="7">
        <f>Table5[[#This Row],[Floor % w/ No Philadelphia]]*$K$70</f>
        <v>191747.96957476824</v>
      </c>
      <c r="L55" s="7">
        <f>Table5[[#This Row],[Floor % w/ No Philadelphia]]*$L$70</f>
        <v>191747.96973619537</v>
      </c>
      <c r="M55" s="7">
        <f>Table5[[#This Row],[Floor % w/ No Philadelphia]]*$M$70</f>
        <v>92748.591603059482</v>
      </c>
      <c r="N55" s="7">
        <f>Table5[[#This Row],[Floor % w/ No Philadelphia]]*$N$70</f>
        <v>92748.591603059482</v>
      </c>
      <c r="O55" s="7">
        <f>Table5[[#This Row],[Floor % w/ No Philadelphia]]*$O$70</f>
        <v>92748.591603059482</v>
      </c>
      <c r="P55" s="7">
        <f>Table5[[#This Row],[Floor % w/ No Philadelphia]]*$P$70</f>
        <v>92748.591603059482</v>
      </c>
      <c r="Q55" s="7">
        <f>Table5[[#This Row],[Floor % w/ No Philadelphia]]*$Q$70</f>
        <v>92748.591603059482</v>
      </c>
      <c r="R55" s="7">
        <f>SUM(Table5[[#This Row],[Payment 1]:[Payment 15]])</f>
        <v>2068971.9253896808</v>
      </c>
    </row>
    <row r="56" spans="1:18" x14ac:dyDescent="0.3">
      <c r="A56" t="s">
        <v>80</v>
      </c>
      <c r="B56">
        <v>3.5886322605042172E-3</v>
      </c>
      <c r="C56" s="7">
        <f>Table5[[#This Row],[Floor % w/ No Philadelphia]]*$C$70</f>
        <v>18204.714954109968</v>
      </c>
      <c r="D56" s="7">
        <f>Table5[[#This Row],[Floor % w/ No Philadelphia]]*$D$70</f>
        <v>54895.649556806165</v>
      </c>
      <c r="E56" s="7">
        <f>Table5[[#This Row],[Floor % w/ No Philadelphia]]*$E$70</f>
        <v>37529.250676087147</v>
      </c>
      <c r="F56" s="7">
        <f>Table5[[#This Row],[Floor % w/ No Philadelphia]]*$F$70</f>
        <v>40725.287350107494</v>
      </c>
      <c r="G56" s="7">
        <f>Table5[[#This Row],[Floor % w/ No Philadelphia]]*$G$70</f>
        <v>40725.287350107494</v>
      </c>
      <c r="H56" s="7">
        <f>Table5[[#This Row],[Floor % w/ No Philadelphia]]*$H$70</f>
        <v>51684.788845563417</v>
      </c>
      <c r="I56" s="7">
        <f>Table5[[#This Row],[Floor % w/ No Philadelphia]]*$I$70</f>
        <v>50377.049222346592</v>
      </c>
      <c r="J56" s="7">
        <f>Table5[[#This Row],[Floor % w/ No Philadelphia]]*$J$70</f>
        <v>54783.797842849606</v>
      </c>
      <c r="K56" s="7">
        <f>Table5[[#This Row],[Floor % w/ No Philadelphia]]*$K$70</f>
        <v>54763.04322804026</v>
      </c>
      <c r="L56" s="7">
        <f>Table5[[#This Row],[Floor % w/ No Philadelphia]]*$L$70</f>
        <v>54763.043274143696</v>
      </c>
      <c r="M56" s="7">
        <f>Table5[[#This Row],[Floor % w/ No Philadelphia]]*$M$70</f>
        <v>26488.912203670916</v>
      </c>
      <c r="N56" s="7">
        <f>Table5[[#This Row],[Floor % w/ No Philadelphia]]*$N$70</f>
        <v>26488.912203670916</v>
      </c>
      <c r="O56" s="7">
        <f>Table5[[#This Row],[Floor % w/ No Philadelphia]]*$O$70</f>
        <v>26488.912203670916</v>
      </c>
      <c r="P56" s="7">
        <f>Table5[[#This Row],[Floor % w/ No Philadelphia]]*$P$70</f>
        <v>26488.912203670916</v>
      </c>
      <c r="Q56" s="7">
        <f>Table5[[#This Row],[Floor % w/ No Philadelphia]]*$Q$70</f>
        <v>26488.912203670916</v>
      </c>
      <c r="R56" s="7">
        <f>SUM(Table5[[#This Row],[Payment 1]:[Payment 15]])</f>
        <v>590896.47331851663</v>
      </c>
    </row>
    <row r="57" spans="1:18" x14ac:dyDescent="0.3">
      <c r="A57" t="s">
        <v>81</v>
      </c>
      <c r="B57">
        <v>6.5286404844261681E-3</v>
      </c>
      <c r="C57" s="7">
        <f>Table5[[#This Row],[Floor % w/ No Philadelphia]]*$C$70</f>
        <v>33119.035451167023</v>
      </c>
      <c r="D57" s="7">
        <f>Table5[[#This Row],[Floor % w/ No Philadelphia]]*$D$70</f>
        <v>99869.235435419178</v>
      </c>
      <c r="E57" s="7">
        <f>Table5[[#This Row],[Floor % w/ No Philadelphia]]*$E$70</f>
        <v>68275.311463553284</v>
      </c>
      <c r="F57" s="7">
        <f>Table5[[#This Row],[Floor % w/ No Philadelphia]]*$F$70</f>
        <v>74089.720103124579</v>
      </c>
      <c r="G57" s="7">
        <f>Table5[[#This Row],[Floor % w/ No Philadelphia]]*$G$70</f>
        <v>74089.720103124579</v>
      </c>
      <c r="H57" s="7">
        <f>Table5[[#This Row],[Floor % w/ No Philadelphia]]*$H$70</f>
        <v>94027.858078373538</v>
      </c>
      <c r="I57" s="7">
        <f>Table5[[#This Row],[Floor % w/ No Philadelphia]]*$I$70</f>
        <v>91648.745027090321</v>
      </c>
      <c r="J57" s="7">
        <f>Table5[[#This Row],[Floor % w/ No Philadelphia]]*$J$70</f>
        <v>99665.748542647765</v>
      </c>
      <c r="K57" s="7">
        <f>Table5[[#This Row],[Floor % w/ No Philadelphia]]*$K$70</f>
        <v>99627.990586789689</v>
      </c>
      <c r="L57" s="7">
        <f>Table5[[#This Row],[Floor % w/ No Philadelphia]]*$L$70</f>
        <v>99627.990670663639</v>
      </c>
      <c r="M57" s="7">
        <f>Table5[[#This Row],[Floor % w/ No Philadelphia]]*$M$70</f>
        <v>48190.110339418854</v>
      </c>
      <c r="N57" s="7">
        <f>Table5[[#This Row],[Floor % w/ No Philadelphia]]*$N$70</f>
        <v>48190.110339418854</v>
      </c>
      <c r="O57" s="7">
        <f>Table5[[#This Row],[Floor % w/ No Philadelphia]]*$O$70</f>
        <v>48190.110339418854</v>
      </c>
      <c r="P57" s="7">
        <f>Table5[[#This Row],[Floor % w/ No Philadelphia]]*$P$70</f>
        <v>48190.110339418854</v>
      </c>
      <c r="Q57" s="7">
        <f>Table5[[#This Row],[Floor % w/ No Philadelphia]]*$Q$70</f>
        <v>48190.110339418854</v>
      </c>
      <c r="R57" s="7">
        <f>SUM(Table5[[#This Row],[Payment 1]:[Payment 15]])</f>
        <v>1074991.9071590479</v>
      </c>
    </row>
    <row r="58" spans="1:18" x14ac:dyDescent="0.3">
      <c r="A58" t="s">
        <v>82</v>
      </c>
      <c r="B58">
        <v>1.4285890000000001E-3</v>
      </c>
      <c r="C58" s="7">
        <f>Table5[[#This Row],[Floor % w/ No Philadelphia]]*$C$70</f>
        <v>7247.0661922664967</v>
      </c>
      <c r="D58" s="7">
        <f>Table5[[#This Row],[Floor % w/ No Philadelphia]]*$D$70</f>
        <v>21853.262026265511</v>
      </c>
      <c r="E58" s="7">
        <f>Table5[[#This Row],[Floor % w/ No Philadelphia]]*$E$70</f>
        <v>14939.918833190142</v>
      </c>
      <c r="F58" s="7">
        <f>Table5[[#This Row],[Floor % w/ No Philadelphia]]*$F$70</f>
        <v>16212.220508218983</v>
      </c>
      <c r="G58" s="7">
        <f>Table5[[#This Row],[Floor % w/ No Philadelphia]]*$G$70</f>
        <v>16212.220508218983</v>
      </c>
      <c r="H58" s="7">
        <f>Table5[[#This Row],[Floor % w/ No Philadelphia]]*$H$70</f>
        <v>20575.059089983297</v>
      </c>
      <c r="I58" s="7">
        <f>Table5[[#This Row],[Floor % w/ No Philadelphia]]*$I$70</f>
        <v>20054.46452777279</v>
      </c>
      <c r="J58" s="7">
        <f>Table5[[#This Row],[Floor % w/ No Philadelphia]]*$J$70</f>
        <v>21808.735277189517</v>
      </c>
      <c r="K58" s="7">
        <f>Table5[[#This Row],[Floor % w/ No Philadelphia]]*$K$70</f>
        <v>21800.473128196936</v>
      </c>
      <c r="L58" s="7">
        <f>Table5[[#This Row],[Floor % w/ No Philadelphia]]*$L$70</f>
        <v>21800.473146550132</v>
      </c>
      <c r="M58" s="7">
        <f>Table5[[#This Row],[Floor % w/ No Philadelphia]]*$M$70</f>
        <v>10544.900075889391</v>
      </c>
      <c r="N58" s="7">
        <f>Table5[[#This Row],[Floor % w/ No Philadelphia]]*$N$70</f>
        <v>10544.900075889391</v>
      </c>
      <c r="O58" s="7">
        <f>Table5[[#This Row],[Floor % w/ No Philadelphia]]*$O$70</f>
        <v>10544.900075889391</v>
      </c>
      <c r="P58" s="7">
        <f>Table5[[#This Row],[Floor % w/ No Philadelphia]]*$P$70</f>
        <v>10544.900075889391</v>
      </c>
      <c r="Q58" s="7">
        <f>Table5[[#This Row],[Floor % w/ No Philadelphia]]*$Q$70</f>
        <v>10544.900075889391</v>
      </c>
      <c r="R58" s="7">
        <f>SUM(Table5[[#This Row],[Payment 1]:[Payment 15]])</f>
        <v>235228.39361729976</v>
      </c>
    </row>
    <row r="59" spans="1:18" x14ac:dyDescent="0.3">
      <c r="A59" t="s">
        <v>83</v>
      </c>
      <c r="B59">
        <v>3.5847211384527414E-3</v>
      </c>
      <c r="C59" s="7">
        <f>Table5[[#This Row],[Floor % w/ No Philadelphia]]*$C$70</f>
        <v>18184.874285875034</v>
      </c>
      <c r="D59" s="7">
        <f>Table5[[#This Row],[Floor % w/ No Philadelphia]]*$D$70</f>
        <v>54835.820750195162</v>
      </c>
      <c r="E59" s="7">
        <f>Table5[[#This Row],[Floor % w/ No Philadelphia]]*$E$70</f>
        <v>37488.34888698213</v>
      </c>
      <c r="F59" s="7">
        <f>Table5[[#This Row],[Floor % w/ No Philadelphia]]*$F$70</f>
        <v>40680.902314850267</v>
      </c>
      <c r="G59" s="7">
        <f>Table5[[#This Row],[Floor % w/ No Philadelphia]]*$G$70</f>
        <v>40680.902314850267</v>
      </c>
      <c r="H59" s="7">
        <f>Table5[[#This Row],[Floor % w/ No Philadelphia]]*$H$70</f>
        <v>51628.459441293016</v>
      </c>
      <c r="I59" s="7">
        <f>Table5[[#This Row],[Floor % w/ No Philadelphia]]*$I$70</f>
        <v>50322.145076756009</v>
      </c>
      <c r="J59" s="7">
        <f>Table5[[#This Row],[Floor % w/ No Philadelphia]]*$J$70</f>
        <v>54724.090939424328</v>
      </c>
      <c r="K59" s="7">
        <f>Table5[[#This Row],[Floor % w/ No Philadelphia]]*$K$70</f>
        <v>54703.358944327942</v>
      </c>
      <c r="L59" s="7">
        <f>Table5[[#This Row],[Floor % w/ No Philadelphia]]*$L$70</f>
        <v>54703.358990381137</v>
      </c>
      <c r="M59" s="7">
        <f>Table5[[#This Row],[Floor % w/ No Philadelphia]]*$M$70</f>
        <v>26460.042884911345</v>
      </c>
      <c r="N59" s="7">
        <f>Table5[[#This Row],[Floor % w/ No Philadelphia]]*$N$70</f>
        <v>26460.042884911345</v>
      </c>
      <c r="O59" s="7">
        <f>Table5[[#This Row],[Floor % w/ No Philadelphia]]*$O$70</f>
        <v>26460.042884911345</v>
      </c>
      <c r="P59" s="7">
        <f>Table5[[#This Row],[Floor % w/ No Philadelphia]]*$P$70</f>
        <v>26460.042884911345</v>
      </c>
      <c r="Q59" s="7">
        <f>Table5[[#This Row],[Floor % w/ No Philadelphia]]*$Q$70</f>
        <v>26460.042884911345</v>
      </c>
      <c r="R59" s="7">
        <f>SUM(Table5[[#This Row],[Payment 1]:[Payment 15]])</f>
        <v>590252.47636949189</v>
      </c>
    </row>
    <row r="60" spans="1:18" x14ac:dyDescent="0.3">
      <c r="A60" t="s">
        <v>84</v>
      </c>
      <c r="B60">
        <v>3.6080989816240634E-3</v>
      </c>
      <c r="C60" s="7">
        <f>Table5[[#This Row],[Floor % w/ No Philadelphia]]*$C$70</f>
        <v>18303.467371006584</v>
      </c>
      <c r="D60" s="7">
        <f>Table5[[#This Row],[Floor % w/ No Philadelphia]]*$D$70</f>
        <v>55193.433844256397</v>
      </c>
      <c r="E60" s="7">
        <f>Table5[[#This Row],[Floor % w/ No Philadelphia]]*$E$70</f>
        <v>37732.830035496227</v>
      </c>
      <c r="F60" s="7">
        <f>Table5[[#This Row],[Floor % w/ No Philadelphia]]*$F$70</f>
        <v>40946.203775592323</v>
      </c>
      <c r="G60" s="7">
        <f>Table5[[#This Row],[Floor % w/ No Philadelphia]]*$G$70</f>
        <v>40946.203775592323</v>
      </c>
      <c r="H60" s="7">
        <f>Table5[[#This Row],[Floor % w/ No Philadelphia]]*$H$70</f>
        <v>51965.155653182032</v>
      </c>
      <c r="I60" s="7">
        <f>Table5[[#This Row],[Floor % w/ No Philadelphia]]*$I$70</f>
        <v>50650.322128808846</v>
      </c>
      <c r="J60" s="7">
        <f>Table5[[#This Row],[Floor % w/ No Philadelphia]]*$J$70</f>
        <v>55080.975384898164</v>
      </c>
      <c r="K60" s="7">
        <f>Table5[[#This Row],[Floor % w/ No Philadelphia]]*$K$70</f>
        <v>55060.108185608398</v>
      </c>
      <c r="L60" s="7">
        <f>Table5[[#This Row],[Floor % w/ No Philadelphia]]*$L$70</f>
        <v>55060.108231961931</v>
      </c>
      <c r="M60" s="7">
        <f>Table5[[#This Row],[Floor % w/ No Philadelphia]]*$M$70</f>
        <v>26632.602676587889</v>
      </c>
      <c r="N60" s="7">
        <f>Table5[[#This Row],[Floor % w/ No Philadelphia]]*$N$70</f>
        <v>26632.602676587889</v>
      </c>
      <c r="O60" s="7">
        <f>Table5[[#This Row],[Floor % w/ No Philadelphia]]*$O$70</f>
        <v>26632.602676587889</v>
      </c>
      <c r="P60" s="7">
        <f>Table5[[#This Row],[Floor % w/ No Philadelphia]]*$P$70</f>
        <v>26632.602676587889</v>
      </c>
      <c r="Q60" s="7">
        <f>Table5[[#This Row],[Floor % w/ No Philadelphia]]*$Q$70</f>
        <v>26632.602676587889</v>
      </c>
      <c r="R60" s="7">
        <f>SUM(Table5[[#This Row],[Payment 1]:[Payment 15]])</f>
        <v>594101.82176934264</v>
      </c>
    </row>
    <row r="61" spans="1:18" x14ac:dyDescent="0.3">
      <c r="A61" t="s">
        <v>85</v>
      </c>
      <c r="B61">
        <v>3.9931667254193733E-3</v>
      </c>
      <c r="C61" s="7">
        <f>Table5[[#This Row],[Floor % w/ No Philadelphia]]*$C$70</f>
        <v>20256.871343591651</v>
      </c>
      <c r="D61" s="7">
        <f>Table5[[#This Row],[Floor % w/ No Philadelphia]]*$D$70</f>
        <v>61083.851804230733</v>
      </c>
      <c r="E61" s="7">
        <f>Table5[[#This Row],[Floor % w/ No Philadelphia]]*$E$70</f>
        <v>41759.797090108565</v>
      </c>
      <c r="F61" s="7">
        <f>Table5[[#This Row],[Floor % w/ No Philadelphia]]*$F$70</f>
        <v>45316.11224682648</v>
      </c>
      <c r="G61" s="7">
        <f>Table5[[#This Row],[Floor % w/ No Philadelphia]]*$G$70</f>
        <v>45316.11224682648</v>
      </c>
      <c r="H61" s="7">
        <f>Table5[[#This Row],[Floor % w/ No Philadelphia]]*$H$70</f>
        <v>57511.041546350076</v>
      </c>
      <c r="I61" s="7">
        <f>Table5[[#This Row],[Floor % w/ No Philadelphia]]*$I$70</f>
        <v>56055.884826500442</v>
      </c>
      <c r="J61" s="7">
        <f>Table5[[#This Row],[Floor % w/ No Philadelphia]]*$J$70</f>
        <v>60959.391422132489</v>
      </c>
      <c r="K61" s="7">
        <f>Table5[[#This Row],[Floor % w/ No Philadelphia]]*$K$70</f>
        <v>60936.29720928496</v>
      </c>
      <c r="L61" s="7">
        <f>Table5[[#This Row],[Floor % w/ No Philadelphia]]*$L$70</f>
        <v>60936.297260585488</v>
      </c>
      <c r="M61" s="7">
        <f>Table5[[#This Row],[Floor % w/ No Philadelphia]]*$M$70</f>
        <v>29474.918332644123</v>
      </c>
      <c r="N61" s="7">
        <f>Table5[[#This Row],[Floor % w/ No Philadelphia]]*$N$70</f>
        <v>29474.918332644123</v>
      </c>
      <c r="O61" s="7">
        <f>Table5[[#This Row],[Floor % w/ No Philadelphia]]*$O$70</f>
        <v>29474.918332644123</v>
      </c>
      <c r="P61" s="7">
        <f>Table5[[#This Row],[Floor % w/ No Philadelphia]]*$P$70</f>
        <v>29474.918332644123</v>
      </c>
      <c r="Q61" s="7">
        <f>Table5[[#This Row],[Floor % w/ No Philadelphia]]*$Q$70</f>
        <v>29474.918332644123</v>
      </c>
      <c r="R61" s="7">
        <f>SUM(Table5[[#This Row],[Payment 1]:[Payment 15]])</f>
        <v>657506.24865965813</v>
      </c>
    </row>
    <row r="62" spans="1:18" x14ac:dyDescent="0.3">
      <c r="A62" t="s">
        <v>86</v>
      </c>
      <c r="B62">
        <v>4.5038348205495814E-3</v>
      </c>
      <c r="C62" s="7">
        <f>Table5[[#This Row],[Floor % w/ No Philadelphia]]*$C$70</f>
        <v>22847.431321085009</v>
      </c>
      <c r="D62" s="7">
        <f>Table5[[#This Row],[Floor % w/ No Philadelphia]]*$D$70</f>
        <v>68895.59030378121</v>
      </c>
      <c r="E62" s="7">
        <f>Table5[[#This Row],[Floor % w/ No Philadelphia]]*$E$70</f>
        <v>47100.269326661648</v>
      </c>
      <c r="F62" s="7">
        <f>Table5[[#This Row],[Floor % w/ No Philadelphia]]*$F$70</f>
        <v>51111.385600298396</v>
      </c>
      <c r="G62" s="7">
        <f>Table5[[#This Row],[Floor % w/ No Philadelphia]]*$G$70</f>
        <v>51111.385600298396</v>
      </c>
      <c r="H62" s="7">
        <f>Table5[[#This Row],[Floor % w/ No Philadelphia]]*$H$70</f>
        <v>64865.869444838194</v>
      </c>
      <c r="I62" s="7">
        <f>Table5[[#This Row],[Floor % w/ No Philadelphia]]*$I$70</f>
        <v>63224.619290544375</v>
      </c>
      <c r="J62" s="7">
        <f>Table5[[#This Row],[Floor % w/ No Philadelphia]]*$J$70</f>
        <v>68755.213244365019</v>
      </c>
      <c r="K62" s="7">
        <f>Table5[[#This Row],[Floor % w/ No Philadelphia]]*$K$70</f>
        <v>68729.165616723083</v>
      </c>
      <c r="L62" s="7">
        <f>Table5[[#This Row],[Floor % w/ No Philadelphia]]*$L$70</f>
        <v>68729.165674584205</v>
      </c>
      <c r="M62" s="7">
        <f>Table5[[#This Row],[Floor % w/ No Philadelphia]]*$M$70</f>
        <v>33244.332793411231</v>
      </c>
      <c r="N62" s="7">
        <f>Table5[[#This Row],[Floor % w/ No Philadelphia]]*$N$70</f>
        <v>33244.332793411231</v>
      </c>
      <c r="O62" s="7">
        <f>Table5[[#This Row],[Floor % w/ No Philadelphia]]*$O$70</f>
        <v>33244.332793411231</v>
      </c>
      <c r="P62" s="7">
        <f>Table5[[#This Row],[Floor % w/ No Philadelphia]]*$P$70</f>
        <v>33244.332793411231</v>
      </c>
      <c r="Q62" s="7">
        <f>Table5[[#This Row],[Floor % w/ No Philadelphia]]*$Q$70</f>
        <v>33244.332793411231</v>
      </c>
      <c r="R62" s="7">
        <f>SUM(Table5[[#This Row],[Payment 1]:[Payment 15]])</f>
        <v>741591.75939023553</v>
      </c>
    </row>
    <row r="63" spans="1:18" x14ac:dyDescent="0.3">
      <c r="A63" t="s">
        <v>87</v>
      </c>
      <c r="B63">
        <v>3.4836541890771022E-3</v>
      </c>
      <c r="C63" s="7">
        <f>Table5[[#This Row],[Floor % w/ No Philadelphia]]*$C$70</f>
        <v>17672.173381713161</v>
      </c>
      <c r="D63" s="7">
        <f>Table5[[#This Row],[Floor % w/ No Philadelphia]]*$D$70</f>
        <v>53289.789997542612</v>
      </c>
      <c r="E63" s="7">
        <f>Table5[[#This Row],[Floor % w/ No Philadelphia]]*$E$70</f>
        <v>36431.409473063795</v>
      </c>
      <c r="F63" s="7">
        <f>Table5[[#This Row],[Floor % w/ No Philadelphia]]*$F$70</f>
        <v>39533.952653771492</v>
      </c>
      <c r="G63" s="7">
        <f>Table5[[#This Row],[Floor % w/ No Philadelphia]]*$G$70</f>
        <v>39533.952653771492</v>
      </c>
      <c r="H63" s="7">
        <f>Table5[[#This Row],[Floor % w/ No Philadelphia]]*$H$70</f>
        <v>50172.856426396407</v>
      </c>
      <c r="I63" s="7">
        <f>Table5[[#This Row],[Floor % w/ No Philadelphia]]*$I$70</f>
        <v>48903.372041835559</v>
      </c>
      <c r="J63" s="7">
        <f>Table5[[#This Row],[Floor % w/ No Philadelphia]]*$J$70</f>
        <v>53181.210275911988</v>
      </c>
      <c r="K63" s="7">
        <f>Table5[[#This Row],[Floor % w/ No Philadelphia]]*$K$70</f>
        <v>53161.062794761856</v>
      </c>
      <c r="L63" s="7">
        <f>Table5[[#This Row],[Floor % w/ No Philadelphia]]*$L$70</f>
        <v>53161.062839516635</v>
      </c>
      <c r="M63" s="7">
        <f>Table5[[#This Row],[Floor % w/ No Philadelphia]]*$M$70</f>
        <v>25714.033443328713</v>
      </c>
      <c r="N63" s="7">
        <f>Table5[[#This Row],[Floor % w/ No Philadelphia]]*$N$70</f>
        <v>25714.033443328713</v>
      </c>
      <c r="O63" s="7">
        <f>Table5[[#This Row],[Floor % w/ No Philadelphia]]*$O$70</f>
        <v>25714.033443328713</v>
      </c>
      <c r="P63" s="7">
        <f>Table5[[#This Row],[Floor % w/ No Philadelphia]]*$P$70</f>
        <v>25714.033443328713</v>
      </c>
      <c r="Q63" s="7">
        <f>Table5[[#This Row],[Floor % w/ No Philadelphia]]*$Q$70</f>
        <v>25714.033443328713</v>
      </c>
      <c r="R63" s="7">
        <f>SUM(Table5[[#This Row],[Payment 1]:[Payment 15]])</f>
        <v>573611.00975492853</v>
      </c>
    </row>
    <row r="64" spans="1:18" x14ac:dyDescent="0.3">
      <c r="A64" t="s">
        <v>88</v>
      </c>
      <c r="B64">
        <v>1.8388051435876473E-2</v>
      </c>
      <c r="C64" s="7">
        <f>Table5[[#This Row],[Floor % w/ No Philadelphia]]*$C$70</f>
        <v>93280.450782273823</v>
      </c>
      <c r="D64" s="7">
        <f>Table5[[#This Row],[Floor % w/ No Philadelphia]]*$D$70</f>
        <v>281283.77453603264</v>
      </c>
      <c r="E64" s="7">
        <f>Table5[[#This Row],[Floor % w/ No Philadelphia]]*$E$70</f>
        <v>192298.8318911317</v>
      </c>
      <c r="F64" s="7">
        <f>Table5[[#This Row],[Floor % w/ No Philadelphia]]*$F$70</f>
        <v>208675.23451104693</v>
      </c>
      <c r="G64" s="7">
        <f>Table5[[#This Row],[Floor % w/ No Philadelphia]]*$G$70</f>
        <v>208675.23451104693</v>
      </c>
      <c r="H64" s="7">
        <f>Table5[[#This Row],[Floor % w/ No Philadelphia]]*$H$70</f>
        <v>264831.41396357567</v>
      </c>
      <c r="I64" s="7">
        <f>Table5[[#This Row],[Floor % w/ No Philadelphia]]*$I$70</f>
        <v>258130.59267266246</v>
      </c>
      <c r="J64" s="7">
        <f>Table5[[#This Row],[Floor % w/ No Philadelphia]]*$J$70</f>
        <v>280710.64947887359</v>
      </c>
      <c r="K64" s="7">
        <f>Table5[[#This Row],[Floor % w/ No Philadelphia]]*$K$70</f>
        <v>280604.30341247766</v>
      </c>
      <c r="L64" s="7">
        <f>Table5[[#This Row],[Floor % w/ No Philadelphia]]*$L$70</f>
        <v>280604.30364871043</v>
      </c>
      <c r="M64" s="7">
        <f>Table5[[#This Row],[Floor % w/ No Philadelphia]]*$M$70</f>
        <v>135728.44602725614</v>
      </c>
      <c r="N64" s="7">
        <f>Table5[[#This Row],[Floor % w/ No Philadelphia]]*$N$70</f>
        <v>135728.44602725614</v>
      </c>
      <c r="O64" s="7">
        <f>Table5[[#This Row],[Floor % w/ No Philadelphia]]*$O$70</f>
        <v>135728.44602725614</v>
      </c>
      <c r="P64" s="7">
        <f>Table5[[#This Row],[Floor % w/ No Philadelphia]]*$P$70</f>
        <v>135728.44602725614</v>
      </c>
      <c r="Q64" s="7">
        <f>Table5[[#This Row],[Floor % w/ No Philadelphia]]*$Q$70</f>
        <v>135728.44602725614</v>
      </c>
      <c r="R64" s="7">
        <f>SUM(Table5[[#This Row],[Payment 1]:[Payment 15]])</f>
        <v>3027737.0195441125</v>
      </c>
    </row>
    <row r="65" spans="1:18" x14ac:dyDescent="0.3">
      <c r="A65" t="s">
        <v>89</v>
      </c>
      <c r="B65">
        <v>4.5654349928603262E-3</v>
      </c>
      <c r="C65" s="7">
        <f>Table5[[#This Row],[Floor % w/ No Philadelphia]]*$C$70</f>
        <v>23159.921845785248</v>
      </c>
      <c r="D65" s="7">
        <f>Table5[[#This Row],[Floor % w/ No Philadelphia]]*$D$70</f>
        <v>69837.894007904528</v>
      </c>
      <c r="E65" s="7">
        <f>Table5[[#This Row],[Floor % w/ No Philadelphia]]*$E$70</f>
        <v>47744.472505065693</v>
      </c>
      <c r="F65" s="7">
        <f>Table5[[#This Row],[Floor % w/ No Philadelphia]]*$F$70</f>
        <v>51810.449905599693</v>
      </c>
      <c r="G65" s="7">
        <f>Table5[[#This Row],[Floor % w/ No Philadelphia]]*$G$70</f>
        <v>51810.449905599693</v>
      </c>
      <c r="H65" s="7">
        <f>Table5[[#This Row],[Floor % w/ No Philadelphia]]*$H$70</f>
        <v>65753.057562097063</v>
      </c>
      <c r="I65" s="7">
        <f>Table5[[#This Row],[Floor % w/ No Philadelphia]]*$I$70</f>
        <v>64089.359583596139</v>
      </c>
      <c r="J65" s="7">
        <f>Table5[[#This Row],[Floor % w/ No Philadelphia]]*$J$70</f>
        <v>69695.59697331315</v>
      </c>
      <c r="K65" s="7">
        <f>Table5[[#This Row],[Floor % w/ No Philadelphia]]*$K$70</f>
        <v>69669.193085192106</v>
      </c>
      <c r="L65" s="7">
        <f>Table5[[#This Row],[Floor % w/ No Philadelphia]]*$L$70</f>
        <v>69669.193143844604</v>
      </c>
      <c r="M65" s="7">
        <f>Table5[[#This Row],[Floor % w/ No Philadelphia]]*$M$70</f>
        <v>33699.024563874518</v>
      </c>
      <c r="N65" s="7">
        <f>Table5[[#This Row],[Floor % w/ No Philadelphia]]*$N$70</f>
        <v>33699.024563874518</v>
      </c>
      <c r="O65" s="7">
        <f>Table5[[#This Row],[Floor % w/ No Philadelphia]]*$O$70</f>
        <v>33699.024563874518</v>
      </c>
      <c r="P65" s="7">
        <f>Table5[[#This Row],[Floor % w/ No Philadelphia]]*$P$70</f>
        <v>33699.024563874518</v>
      </c>
      <c r="Q65" s="7">
        <f>Table5[[#This Row],[Floor % w/ No Philadelphia]]*$Q$70</f>
        <v>33699.024563874518</v>
      </c>
      <c r="R65" s="7">
        <f>SUM(Table5[[#This Row],[Payment 1]:[Payment 15]])</f>
        <v>751734.71133737022</v>
      </c>
    </row>
    <row r="66" spans="1:18" x14ac:dyDescent="0.3">
      <c r="A66" t="s">
        <v>90</v>
      </c>
      <c r="B66">
        <v>3.1013331196315785E-2</v>
      </c>
      <c r="C66" s="7">
        <f>Table5[[#This Row],[Floor % w/ No Philadelphia]]*$C$70</f>
        <v>157327.02969320354</v>
      </c>
      <c r="D66" s="7">
        <f>Table5[[#This Row],[Floor % w/ No Philadelphia]]*$D$70</f>
        <v>474413.88176756451</v>
      </c>
      <c r="E66" s="7">
        <f>Table5[[#This Row],[Floor % w/ No Philadelphia]]*$E$70</f>
        <v>324331.66629436566</v>
      </c>
      <c r="F66" s="7">
        <f>Table5[[#This Row],[Floor % w/ No Philadelphia]]*$F$70</f>
        <v>351952.1458229752</v>
      </c>
      <c r="G66" s="7">
        <f>Table5[[#This Row],[Floor % w/ No Philadelphia]]*$G$70</f>
        <v>351952.1458229752</v>
      </c>
      <c r="H66" s="7">
        <f>Table5[[#This Row],[Floor % w/ No Philadelphia]]*$H$70</f>
        <v>446665.29137590982</v>
      </c>
      <c r="I66" s="7">
        <f>Table5[[#This Row],[Floor % w/ No Philadelphia]]*$I$70</f>
        <v>435363.67028206441</v>
      </c>
      <c r="J66" s="7">
        <f>Table5[[#This Row],[Floor % w/ No Philadelphia]]*$J$70</f>
        <v>473447.24768583139</v>
      </c>
      <c r="K66" s="7">
        <f>Table5[[#This Row],[Floor % w/ No Philadelphia]]*$K$70</f>
        <v>473267.8841578326</v>
      </c>
      <c r="L66" s="7">
        <f>Table5[[#This Row],[Floor % w/ No Philadelphia]]*$L$70</f>
        <v>473267.88455626334</v>
      </c>
      <c r="M66" s="7">
        <f>Table5[[#This Row],[Floor % w/ No Philadelphia]]*$M$70</f>
        <v>228919.91922492269</v>
      </c>
      <c r="N66" s="7">
        <f>Table5[[#This Row],[Floor % w/ No Philadelphia]]*$N$70</f>
        <v>228919.91922492269</v>
      </c>
      <c r="O66" s="7">
        <f>Table5[[#This Row],[Floor % w/ No Philadelphia]]*$O$70</f>
        <v>228919.91922492269</v>
      </c>
      <c r="P66" s="7">
        <f>Table5[[#This Row],[Floor % w/ No Philadelphia]]*$P$70</f>
        <v>228919.91922492269</v>
      </c>
      <c r="Q66" s="7">
        <f>Table5[[#This Row],[Floor % w/ No Philadelphia]]*$Q$70</f>
        <v>228919.91922492269</v>
      </c>
      <c r="R66" s="7">
        <f>SUM(Table5[[#This Row],[Payment 1]:[Payment 15]])</f>
        <v>5106588.4435835993</v>
      </c>
    </row>
    <row r="67" spans="1:18" x14ac:dyDescent="0.3">
      <c r="A67" t="s">
        <v>91</v>
      </c>
      <c r="B67">
        <v>2.381695551073764E-3</v>
      </c>
      <c r="C67" s="7">
        <f>Table5[[#This Row],[Floor % w/ No Philadelphia]]*$C$70</f>
        <v>12082.065106519927</v>
      </c>
      <c r="D67" s="7">
        <f>Table5[[#This Row],[Floor % w/ No Philadelphia]]*$D$70</f>
        <v>36433.023734892115</v>
      </c>
      <c r="E67" s="7">
        <f>Table5[[#This Row],[Floor % w/ No Philadelphia]]*$E$70</f>
        <v>24907.330392724642</v>
      </c>
      <c r="F67" s="7">
        <f>Table5[[#This Row],[Floor % w/ No Philadelphia]]*$F$70</f>
        <v>27028.468970048059</v>
      </c>
      <c r="G67" s="7">
        <f>Table5[[#This Row],[Floor % w/ No Philadelphia]]*$G$70</f>
        <v>27028.468970048059</v>
      </c>
      <c r="H67" s="7">
        <f>Table5[[#This Row],[Floor % w/ No Philadelphia]]*$H$70</f>
        <v>34302.046773209804</v>
      </c>
      <c r="I67" s="7">
        <f>Table5[[#This Row],[Floor % w/ No Philadelphia]]*$I$70</f>
        <v>33434.129021687178</v>
      </c>
      <c r="J67" s="7">
        <f>Table5[[#This Row],[Floor % w/ No Philadelphia]]*$J$70</f>
        <v>36358.790235839508</v>
      </c>
      <c r="K67" s="7">
        <f>Table5[[#This Row],[Floor % w/ No Philadelphia]]*$K$70</f>
        <v>36345.015858815779</v>
      </c>
      <c r="L67" s="7">
        <f>Table5[[#This Row],[Floor % w/ No Philadelphia]]*$L$70</f>
        <v>36345.015889413611</v>
      </c>
      <c r="M67" s="7">
        <f>Table5[[#This Row],[Floor % w/ No Philadelphia]]*$M$70</f>
        <v>17580.102882818752</v>
      </c>
      <c r="N67" s="7">
        <f>Table5[[#This Row],[Floor % w/ No Philadelphia]]*$N$70</f>
        <v>17580.102882818752</v>
      </c>
      <c r="O67" s="7">
        <f>Table5[[#This Row],[Floor % w/ No Philadelphia]]*$O$70</f>
        <v>17580.102882818752</v>
      </c>
      <c r="P67" s="7">
        <f>Table5[[#This Row],[Floor % w/ No Philadelphia]]*$P$70</f>
        <v>17580.102882818752</v>
      </c>
      <c r="Q67" s="7">
        <f>Table5[[#This Row],[Floor % w/ No Philadelphia]]*$Q$70</f>
        <v>17580.102882818752</v>
      </c>
      <c r="R67" s="7">
        <f>SUM(Table5[[#This Row],[Payment 1]:[Payment 15]])</f>
        <v>392164.86936729227</v>
      </c>
    </row>
    <row r="68" spans="1:18" x14ac:dyDescent="0.3">
      <c r="A68" t="s">
        <v>92</v>
      </c>
      <c r="B68">
        <v>3.9916378322537971E-2</v>
      </c>
      <c r="C68" s="7">
        <f>Table5[[#This Row],[Floor % w/ No Philadelphia]]*$C$70</f>
        <v>202491.15446008905</v>
      </c>
      <c r="D68" s="7">
        <f>Table5[[#This Row],[Floor % w/ No Philadelphia]]*$D$70</f>
        <v>610604.64179828262</v>
      </c>
      <c r="E68" s="7">
        <f>Table5[[#This Row],[Floor % w/ No Philadelphia]]*$E$70</f>
        <v>417438.08208912972</v>
      </c>
      <c r="F68" s="7">
        <f>Table5[[#This Row],[Floor % w/ No Philadelphia]]*$F$70</f>
        <v>452987.61733044119</v>
      </c>
      <c r="G68" s="7">
        <f>Table5[[#This Row],[Floor % w/ No Philadelphia]]*$G$70</f>
        <v>452987.61733044119</v>
      </c>
      <c r="H68" s="7">
        <f>Table5[[#This Row],[Floor % w/ No Philadelphia]]*$H$70</f>
        <v>574890.21870135295</v>
      </c>
      <c r="I68" s="7">
        <f>Table5[[#This Row],[Floor % w/ No Philadelphia]]*$I$70</f>
        <v>560344.222968605</v>
      </c>
      <c r="J68" s="7">
        <f>Table5[[#This Row],[Floor % w/ No Philadelphia]]*$J$70</f>
        <v>609360.51450793527</v>
      </c>
      <c r="K68" s="7">
        <f>Table5[[#This Row],[Floor % w/ No Philadelphia]]*$K$70</f>
        <v>609129.66080197424</v>
      </c>
      <c r="L68" s="7">
        <f>Table5[[#This Row],[Floor % w/ No Philadelphia]]*$L$70</f>
        <v>609129.66131478315</v>
      </c>
      <c r="M68" s="7">
        <f>Table5[[#This Row],[Floor % w/ No Philadelphia]]*$M$70</f>
        <v>294636.33053492662</v>
      </c>
      <c r="N68" s="7">
        <f>Table5[[#This Row],[Floor % w/ No Philadelphia]]*$N$70</f>
        <v>294636.33053492662</v>
      </c>
      <c r="O68" s="7">
        <f>Table5[[#This Row],[Floor % w/ No Philadelphia]]*$O$70</f>
        <v>294636.33053492662</v>
      </c>
      <c r="P68" s="7">
        <f>Table5[[#This Row],[Floor % w/ No Philadelphia]]*$P$70</f>
        <v>294636.33053492662</v>
      </c>
      <c r="Q68" s="7">
        <f>Table5[[#This Row],[Floor % w/ No Philadelphia]]*$Q$70</f>
        <v>294636.33053492662</v>
      </c>
      <c r="R68" s="7">
        <f>SUM(Table5[[#This Row],[Payment 1]:[Payment 15]])</f>
        <v>6572545.0439776676</v>
      </c>
    </row>
    <row r="70" spans="1:18" s="15" customFormat="1" x14ac:dyDescent="0.3">
      <c r="A70" s="15" t="s">
        <v>25</v>
      </c>
      <c r="C70" s="33">
        <f>'County Breakdown'!K2</f>
        <v>5072883.9381141085</v>
      </c>
      <c r="D70" s="33">
        <f>'County Breakdown'!K3</f>
        <v>15297095.264114108</v>
      </c>
      <c r="E70" s="33">
        <f>'County Breakdown'!K4</f>
        <v>10457814.552114109</v>
      </c>
      <c r="F70" s="33">
        <f>'County Breakdown'!K5</f>
        <v>11348414.770251613</v>
      </c>
      <c r="G70" s="33">
        <f>'County Breakdown'!K6</f>
        <v>11348414.770251613</v>
      </c>
      <c r="H70" s="33">
        <f>'County Breakdown'!K7</f>
        <v>14402364.213908477</v>
      </c>
      <c r="I70" s="33">
        <f>'County Breakdown'!K8</f>
        <v>14037952.502625169</v>
      </c>
      <c r="J70" s="33">
        <f>'County Breakdown'!K9</f>
        <v>15265926.923131507</v>
      </c>
      <c r="K70" s="33">
        <f>'County Breakdown'!K10</f>
        <v>15260143.489972927</v>
      </c>
      <c r="L70" s="33">
        <f>'County Breakdown'!K11</f>
        <v>15260143.502820006</v>
      </c>
      <c r="M70" s="33">
        <f>'County Breakdown'!K12</f>
        <v>7381339.2626496423</v>
      </c>
      <c r="N70" s="33">
        <f>'County Breakdown'!K13</f>
        <v>7381339.2626496423</v>
      </c>
      <c r="O70" s="33">
        <f>'County Breakdown'!K14</f>
        <v>7381339.2626496423</v>
      </c>
      <c r="P70" s="33">
        <f>'County Breakdown'!K15</f>
        <v>7381339.2626496423</v>
      </c>
      <c r="Q70" s="33">
        <f>'County Breakdown'!K16</f>
        <v>7381339.2626496423</v>
      </c>
      <c r="R70" s="33">
        <f>SUM(C70:Q70)</f>
        <v>164657850.24055189</v>
      </c>
    </row>
    <row r="72" spans="1:18" x14ac:dyDescent="0.3">
      <c r="A72" t="s">
        <v>231</v>
      </c>
    </row>
  </sheetData>
  <pageMargins left="0.7" right="0.7" top="0.75" bottom="0.75" header="0.3" footer="0.3"/>
  <pageSetup orientation="portrait" horizontalDpi="200" verticalDpi="2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K24"/>
  <sheetViews>
    <sheetView workbookViewId="0"/>
  </sheetViews>
  <sheetFormatPr defaultRowHeight="14.4" x14ac:dyDescent="0.3"/>
  <cols>
    <col min="1" max="1" width="13.5546875" customWidth="1"/>
    <col min="2" max="2" width="17.5546875" customWidth="1"/>
    <col min="3" max="3" width="20" customWidth="1"/>
    <col min="4" max="4" width="26.109375" customWidth="1"/>
    <col min="5" max="6" width="32.88671875" customWidth="1"/>
    <col min="7" max="7" width="29.33203125" customWidth="1"/>
    <col min="8" max="8" width="37" customWidth="1"/>
    <col min="9" max="9" width="28.5546875" customWidth="1"/>
  </cols>
  <sheetData>
    <row r="1" spans="1:11" ht="15.6" x14ac:dyDescent="0.3">
      <c r="A1" s="18" t="s">
        <v>0</v>
      </c>
      <c r="B1" s="18" t="s">
        <v>1</v>
      </c>
      <c r="C1" s="18" t="s">
        <v>18</v>
      </c>
      <c r="D1" s="27" t="s">
        <v>208</v>
      </c>
      <c r="E1" s="26" t="s">
        <v>209</v>
      </c>
      <c r="F1" s="26" t="s">
        <v>210</v>
      </c>
      <c r="G1" s="26" t="s">
        <v>211</v>
      </c>
      <c r="H1" s="26" t="s">
        <v>213</v>
      </c>
      <c r="I1" s="29" t="s">
        <v>212</v>
      </c>
      <c r="J1" s="3"/>
      <c r="K1" s="3"/>
    </row>
    <row r="2" spans="1:11" ht="15.6" x14ac:dyDescent="0.3">
      <c r="A2" s="11">
        <v>1</v>
      </c>
      <c r="B2" s="11">
        <v>2024</v>
      </c>
      <c r="C2" s="5">
        <f>Table14[[#This Row],[Teva/Allergan Litigating]]</f>
        <v>1965485.0008580172</v>
      </c>
      <c r="D2" s="4">
        <f>((Table14[[#This Row],[Teva]]-Table14[[#This Row],[Teva Attorney Fees]])*0.15)*0.25</f>
        <v>241979.31590763867</v>
      </c>
      <c r="E2" s="4">
        <f>((Table14[[#This Row],[Teva]]-Table14[[#This Row],[Teva Attorney Fees]])*0.15)*0.75</f>
        <v>725937.94772291603</v>
      </c>
      <c r="F2" s="4">
        <f>Table6[[#This Row],[Teva Bellwether]]+Table6[[#This Row],[Teva Litigating Total Less Fees and Bellwether]]</f>
        <v>967917.26363055466</v>
      </c>
      <c r="G2" s="4">
        <f>((Table14[[#This Row],[Allergan]]-Table14[[#This Row],[Allergan Attorney Fees ]])*0.15)*0.25</f>
        <v>249391.93430686562</v>
      </c>
      <c r="H2" s="4">
        <f>((Table14[[#This Row],[Allergan]]-Table14[[#This Row],[Allergan Attorney Fees ]])*0.15)*0.75</f>
        <v>748175.80292059691</v>
      </c>
      <c r="I2" s="28">
        <f>Table6[[#This Row],[Allergan Bellwether]]+Table6[[#This Row],[Allergan Litigating Less Fees and Bellwether]]</f>
        <v>997567.73722746246</v>
      </c>
      <c r="J2" s="3"/>
      <c r="K2" s="3"/>
    </row>
    <row r="3" spans="1:11" ht="15.6" x14ac:dyDescent="0.3">
      <c r="A3" s="19">
        <v>2</v>
      </c>
      <c r="B3" s="20">
        <v>46006</v>
      </c>
      <c r="C3" s="6">
        <f>Table14[[#This Row],[Teva/Allergan Litigating]]</f>
        <v>3910966.2096080175</v>
      </c>
      <c r="D3" s="4">
        <f>((Table14[[#This Row],[Teva]]-Table14[[#This Row],[Teva Attorney Fees]])*0.15)*0.25</f>
        <v>472004.97215763875</v>
      </c>
      <c r="E3" s="4">
        <f>((Table14[[#This Row],[Teva]]-Table14[[#This Row],[Teva Attorney Fees]])*0.15)*0.75</f>
        <v>1416014.9164729163</v>
      </c>
      <c r="F3" s="4">
        <f>Table6[[#This Row],[Teva Bellwether]]+Table6[[#This Row],[Teva Litigating Total Less Fees and Bellwether]]</f>
        <v>1888019.888630555</v>
      </c>
      <c r="G3" s="4">
        <f>((Table14[[#This Row],[Allergan]]-Table14[[#This Row],[Allergan Attorney Fees ]])*0.15)*0.25</f>
        <v>505736.58024436561</v>
      </c>
      <c r="H3" s="4">
        <f>((Table14[[#This Row],[Allergan]]-Table14[[#This Row],[Allergan Attorney Fees ]])*0.15)*0.75</f>
        <v>1517209.7407330968</v>
      </c>
      <c r="I3" s="28">
        <f>Table6[[#This Row],[Allergan Bellwether]]+Table6[[#This Row],[Allergan Litigating Less Fees and Bellwether]]</f>
        <v>2022946.3209774625</v>
      </c>
      <c r="J3" s="3"/>
      <c r="K3" s="3"/>
    </row>
    <row r="4" spans="1:11" ht="15.6" x14ac:dyDescent="0.3">
      <c r="A4" s="21">
        <v>3</v>
      </c>
      <c r="B4" s="22">
        <v>46371</v>
      </c>
      <c r="C4" s="23">
        <f>Table14[[#This Row],[Teva/Allergan Litigating]]</f>
        <v>4095000.8676080173</v>
      </c>
      <c r="D4" s="4">
        <f>((Table14[[#This Row],[Teva]]-Table14[[#This Row],[Teva Attorney Fees]])*0.15)*0.25</f>
        <v>506573.52703263867</v>
      </c>
      <c r="E4" s="4">
        <f>((Table14[[#This Row],[Teva]]-Table14[[#This Row],[Teva Attorney Fees]])*0.15)*0.75</f>
        <v>1519720.581097916</v>
      </c>
      <c r="F4" s="4">
        <f>Table6[[#This Row],[Teva Bellwether]]+Table6[[#This Row],[Teva Litigating Total Less Fees and Bellwether]]</f>
        <v>2026294.1081305547</v>
      </c>
      <c r="G4" s="4">
        <f>((Table14[[#This Row],[Allergan]]-Table14[[#This Row],[Allergan Attorney Fees ]])*0.15)*0.25</f>
        <v>517176.68986936565</v>
      </c>
      <c r="H4" s="4">
        <f>((Table14[[#This Row],[Allergan]]-Table14[[#This Row],[Allergan Attorney Fees ]])*0.15)*0.75</f>
        <v>1551530.069608097</v>
      </c>
      <c r="I4" s="28">
        <f>Table6[[#This Row],[Allergan Bellwether]]+Table6[[#This Row],[Allergan Litigating Less Fees and Bellwether]]</f>
        <v>2068706.7594774626</v>
      </c>
      <c r="J4" s="3"/>
      <c r="K4" s="3"/>
    </row>
    <row r="5" spans="1:11" ht="15.6" x14ac:dyDescent="0.3">
      <c r="A5" s="19">
        <v>4</v>
      </c>
      <c r="B5" s="20">
        <v>46736</v>
      </c>
      <c r="C5" s="24">
        <f>Table14[[#This Row],[Teva/Allergan Litigating]]</f>
        <v>3164320.0495568337</v>
      </c>
      <c r="D5" s="4">
        <f>((Table14[[#This Row],[Teva]]-Table14[[#This Row],[Teva Attorney Fees]])*0.15)*0.25</f>
        <v>367235.11198656773</v>
      </c>
      <c r="E5" s="4">
        <f>((Table14[[#This Row],[Teva]]-Table14[[#This Row],[Teva Attorney Fees]])*0.15)*0.75</f>
        <v>1101705.3359597032</v>
      </c>
      <c r="F5" s="4">
        <f>Table6[[#This Row],[Teva Bellwether]]+Table6[[#This Row],[Teva Litigating Total Less Fees and Bellwether]]</f>
        <v>1468940.4479462709</v>
      </c>
      <c r="G5" s="4">
        <f>((Table14[[#This Row],[Allergan]]-Table14[[#This Row],[Allergan Attorney Fees ]])*0.15)*0.25</f>
        <v>423844.90040264075</v>
      </c>
      <c r="H5" s="4">
        <f>((Table14[[#This Row],[Allergan]]-Table14[[#This Row],[Allergan Attorney Fees ]])*0.15)*0.75</f>
        <v>1271534.7012079223</v>
      </c>
      <c r="I5" s="28">
        <f>Table6[[#This Row],[Allergan Bellwether]]+Table6[[#This Row],[Allergan Litigating Less Fees and Bellwether]]</f>
        <v>1695379.601610563</v>
      </c>
      <c r="J5" s="3"/>
      <c r="K5" s="3"/>
    </row>
    <row r="6" spans="1:11" ht="15.6" x14ac:dyDescent="0.3">
      <c r="A6" s="21">
        <v>5</v>
      </c>
      <c r="B6" s="22">
        <v>47102</v>
      </c>
      <c r="C6" s="23">
        <f>Table14[[#This Row],[Teva/Allergan Litigating]]</f>
        <v>3164320.0495568337</v>
      </c>
      <c r="D6" s="4">
        <f>((Table14[[#This Row],[Teva]]-Table14[[#This Row],[Teva Attorney Fees]])*0.15)*0.25</f>
        <v>367235.11198656773</v>
      </c>
      <c r="E6" s="4">
        <f>((Table14[[#This Row],[Teva]]-Table14[[#This Row],[Teva Attorney Fees]])*0.15)*0.75</f>
        <v>1101705.3359597032</v>
      </c>
      <c r="F6" s="4">
        <f>Table6[[#This Row],[Teva Bellwether]]+Table6[[#This Row],[Teva Litigating Total Less Fees and Bellwether]]</f>
        <v>1468940.4479462709</v>
      </c>
      <c r="G6" s="4">
        <f>((Table14[[#This Row],[Allergan]]-Table14[[#This Row],[Allergan Attorney Fees ]])*0.15)*0.25</f>
        <v>423844.90040264075</v>
      </c>
      <c r="H6" s="4">
        <f>((Table14[[#This Row],[Allergan]]-Table14[[#This Row],[Allergan Attorney Fees ]])*0.15)*0.75</f>
        <v>1271534.7012079223</v>
      </c>
      <c r="I6" s="28">
        <f>Table6[[#This Row],[Allergan Bellwether]]+Table6[[#This Row],[Allergan Litigating Less Fees and Bellwether]]</f>
        <v>1695379.601610563</v>
      </c>
      <c r="J6" s="3"/>
      <c r="K6" s="3"/>
    </row>
    <row r="7" spans="1:11" ht="15.6" x14ac:dyDescent="0.3">
      <c r="A7" s="19">
        <v>6</v>
      </c>
      <c r="B7" s="20">
        <v>47467</v>
      </c>
      <c r="C7" s="24">
        <f>Table14[[#This Row],[Teva/Allergan Litigating]]</f>
        <v>3328350.9154488165</v>
      </c>
      <c r="D7" s="4">
        <f>((Table14[[#This Row],[Teva]]-Table14[[#This Row],[Teva Attorney Fees]])*0.15)*0.25</f>
        <v>389850.00720392901</v>
      </c>
      <c r="E7" s="4">
        <f>((Table14[[#This Row],[Teva]]-Table14[[#This Row],[Teva Attorney Fees]])*0.15)*0.75</f>
        <v>1169550.0216117869</v>
      </c>
      <c r="F7" s="4">
        <f>Table6[[#This Row],[Teva Bellwether]]+Table6[[#This Row],[Teva Litigating Total Less Fees and Bellwether]]</f>
        <v>1559400.028815716</v>
      </c>
      <c r="G7" s="4">
        <f>((Table14[[#This Row],[Allergan]]-Table14[[#This Row],[Allergan Attorney Fees ]])*0.15)*0.25</f>
        <v>442237.72165827511</v>
      </c>
      <c r="H7" s="4">
        <f>((Table14[[#This Row],[Allergan]]-Table14[[#This Row],[Allergan Attorney Fees ]])*0.15)*0.75</f>
        <v>1326713.1649748255</v>
      </c>
      <c r="I7" s="28">
        <f>Table6[[#This Row],[Allergan Bellwether]]+Table6[[#This Row],[Allergan Litigating Less Fees and Bellwether]]</f>
        <v>1768950.8866331005</v>
      </c>
      <c r="J7" s="3"/>
      <c r="K7" s="3"/>
    </row>
    <row r="8" spans="1:11" ht="15.6" x14ac:dyDescent="0.3">
      <c r="A8" s="21">
        <v>7</v>
      </c>
      <c r="B8" s="22">
        <v>47832</v>
      </c>
      <c r="C8" s="23">
        <f>Table14[[#This Row],[Teva/Allergan Litigating]]</f>
        <v>3328350.9154488165</v>
      </c>
      <c r="D8" s="4">
        <f>((Table14[[#This Row],[Teva]]-Table14[[#This Row],[Teva Attorney Fees]])*0.15)*0.25</f>
        <v>389850.00720392895</v>
      </c>
      <c r="E8" s="4">
        <f>((Table14[[#This Row],[Teva]]-Table14[[#This Row],[Teva Attorney Fees]])*0.15)*0.75</f>
        <v>1169550.0216117869</v>
      </c>
      <c r="F8" s="4">
        <f>Table6[[#This Row],[Teva Bellwether]]+Table6[[#This Row],[Teva Litigating Total Less Fees and Bellwether]]</f>
        <v>1559400.0288157158</v>
      </c>
      <c r="G8" s="4">
        <f>((Table14[[#This Row],[Allergan]]-Table14[[#This Row],[Allergan Attorney Fees ]])*0.15)*0.25</f>
        <v>442237.72165827511</v>
      </c>
      <c r="H8" s="4">
        <f>((Table14[[#This Row],[Allergan]]-Table14[[#This Row],[Allergan Attorney Fees ]])*0.15)*0.75</f>
        <v>1326713.1649748255</v>
      </c>
      <c r="I8" s="28">
        <f>Table6[[#This Row],[Allergan Bellwether]]+Table6[[#This Row],[Allergan Litigating Less Fees and Bellwether]]</f>
        <v>1768950.8866331005</v>
      </c>
      <c r="J8" s="3"/>
      <c r="K8" s="3"/>
    </row>
    <row r="9" spans="1:11" ht="15.6" x14ac:dyDescent="0.3">
      <c r="A9" s="19">
        <v>8</v>
      </c>
      <c r="B9" s="20">
        <v>48197</v>
      </c>
      <c r="C9" s="24">
        <f>Table14[[#This Row],[Teva/Allergan Litigating]]</f>
        <v>1559400.0288157158</v>
      </c>
      <c r="D9" s="4">
        <f>((Table14[[#This Row],[Teva]]-Table14[[#This Row],[Teva Attorney Fees]])*0.15)*0.25</f>
        <v>389850.00720392895</v>
      </c>
      <c r="E9" s="4">
        <f>((Table14[[#This Row],[Teva]]-Table14[[#This Row],[Teva Attorney Fees]])*0.15)*0.75</f>
        <v>1169550.0216117869</v>
      </c>
      <c r="F9" s="4">
        <f>Table6[[#This Row],[Teva Bellwether]]+Table6[[#This Row],[Teva Litigating Total Less Fees and Bellwether]]</f>
        <v>1559400.0288157158</v>
      </c>
      <c r="G9" s="4">
        <f>((Table14[[#This Row],[Allergan]]-Table14[[#This Row],[Allergan Attorney Fees ]])*0.15)*0.25</f>
        <v>0</v>
      </c>
      <c r="H9" s="4">
        <f>((Table14[[#This Row],[Allergan]]-Table14[[#This Row],[Allergan Attorney Fees ]])*0.15)*0.75</f>
        <v>0</v>
      </c>
      <c r="I9" s="28">
        <f>Table6[[#This Row],[Allergan Bellwether]]+Table6[[#This Row],[Allergan Litigating Less Fees and Bellwether]]</f>
        <v>0</v>
      </c>
      <c r="J9" s="3"/>
      <c r="K9" s="3"/>
    </row>
    <row r="10" spans="1:11" ht="15.6" x14ac:dyDescent="0.3">
      <c r="A10" s="21">
        <v>9</v>
      </c>
      <c r="B10" s="22">
        <v>48563</v>
      </c>
      <c r="C10" s="23">
        <f>Table14[[#This Row],[Teva/Allergan Litigating]]</f>
        <v>1559400.0288157158</v>
      </c>
      <c r="D10" s="4">
        <f>((Table14[[#This Row],[Teva]]-Table14[[#This Row],[Teva Attorney Fees]])*0.15)*0.25</f>
        <v>389850.00720392895</v>
      </c>
      <c r="E10" s="4">
        <f>((Table14[[#This Row],[Teva]]-Table14[[#This Row],[Teva Attorney Fees]])*0.15)*0.75</f>
        <v>1169550.0216117869</v>
      </c>
      <c r="F10" s="4">
        <f>Table6[[#This Row],[Teva Bellwether]]+Table6[[#This Row],[Teva Litigating Total Less Fees and Bellwether]]</f>
        <v>1559400.0288157158</v>
      </c>
      <c r="G10" s="4">
        <f>((Table14[[#This Row],[Allergan]]-Table14[[#This Row],[Allergan Attorney Fees ]])*0.15)*0.25</f>
        <v>0</v>
      </c>
      <c r="H10" s="4">
        <f>((Table14[[#This Row],[Allergan]]-Table14[[#This Row],[Allergan Attorney Fees ]])*0.15)*0.75</f>
        <v>0</v>
      </c>
      <c r="I10" s="28">
        <f>Table6[[#This Row],[Allergan Bellwether]]+Table6[[#This Row],[Allergan Litigating Less Fees and Bellwether]]</f>
        <v>0</v>
      </c>
      <c r="J10" s="3"/>
      <c r="K10" s="3"/>
    </row>
    <row r="11" spans="1:11" ht="15.6" x14ac:dyDescent="0.3">
      <c r="A11" s="19">
        <v>10</v>
      </c>
      <c r="B11" s="20">
        <v>48928</v>
      </c>
      <c r="C11" s="24">
        <f>Table14[[#This Row],[Teva/Allergan Litigating]]</f>
        <v>1559400.0288157158</v>
      </c>
      <c r="D11" s="4">
        <f>((Table14[[#This Row],[Teva]]-Table14[[#This Row],[Teva Attorney Fees]])*0.15)*0.25</f>
        <v>389850.00720392895</v>
      </c>
      <c r="E11" s="4">
        <f>((Table14[[#This Row],[Teva]]-Table14[[#This Row],[Teva Attorney Fees]])*0.15)*0.75</f>
        <v>1169550.0216117869</v>
      </c>
      <c r="F11" s="4">
        <f>Table6[[#This Row],[Teva Bellwether]]+Table6[[#This Row],[Teva Litigating Total Less Fees and Bellwether]]</f>
        <v>1559400.0288157158</v>
      </c>
      <c r="G11" s="4">
        <f>((Table14[[#This Row],[Allergan]]-Table14[[#This Row],[Allergan Attorney Fees ]])*0.15)*0.25</f>
        <v>0</v>
      </c>
      <c r="H11" s="4">
        <f>((Table14[[#This Row],[Allergan]]-Table14[[#This Row],[Allergan Attorney Fees ]])*0.15)*0.75</f>
        <v>0</v>
      </c>
      <c r="I11" s="28">
        <f>Table6[[#This Row],[Allergan Bellwether]]+Table6[[#This Row],[Allergan Litigating Less Fees and Bellwether]]</f>
        <v>0</v>
      </c>
      <c r="J11" s="3"/>
      <c r="K11" s="3"/>
    </row>
    <row r="12" spans="1:11" ht="15.6" x14ac:dyDescent="0.3">
      <c r="A12" s="21">
        <v>11</v>
      </c>
      <c r="B12" s="22">
        <v>49293</v>
      </c>
      <c r="C12" s="23">
        <f>Table14[[#This Row],[Teva/Allergan Litigating]]</f>
        <v>1559400.028815716</v>
      </c>
      <c r="D12" s="4">
        <f>((Table14[[#This Row],[Teva]]-Table14[[#This Row],[Teva Attorney Fees]])*0.15)*0.25</f>
        <v>389850.00720392901</v>
      </c>
      <c r="E12" s="4">
        <f>((Table14[[#This Row],[Teva]]-Table14[[#This Row],[Teva Attorney Fees]])*0.15)*0.75</f>
        <v>1169550.0216117869</v>
      </c>
      <c r="F12" s="4">
        <f>Table6[[#This Row],[Teva Bellwether]]+Table6[[#This Row],[Teva Litigating Total Less Fees and Bellwether]]</f>
        <v>1559400.028815716</v>
      </c>
      <c r="G12" s="4">
        <f>((Table14[[#This Row],[Allergan]]-Table14[[#This Row],[Allergan Attorney Fees ]])*0.15)*0.25</f>
        <v>0</v>
      </c>
      <c r="H12" s="4">
        <f>((Table14[[#This Row],[Allergan]]-Table14[[#This Row],[Allergan Attorney Fees ]])*0.15)*0.75</f>
        <v>0</v>
      </c>
      <c r="I12" s="28">
        <f>Table6[[#This Row],[Allergan Bellwether]]+Table6[[#This Row],[Allergan Litigating Less Fees and Bellwether]]</f>
        <v>0</v>
      </c>
      <c r="J12" s="3"/>
      <c r="K12" s="3"/>
    </row>
    <row r="13" spans="1:11" ht="15.6" x14ac:dyDescent="0.3">
      <c r="A13" s="19">
        <v>12</v>
      </c>
      <c r="B13" s="20">
        <v>49658</v>
      </c>
      <c r="C13" s="24">
        <f>Table14[[#This Row],[Teva/Allergan Litigating]]</f>
        <v>1559400.028815716</v>
      </c>
      <c r="D13" s="4">
        <f>((Table14[[#This Row],[Teva]]-Table14[[#This Row],[Teva Attorney Fees]])*0.15)*0.25</f>
        <v>389850.00720392901</v>
      </c>
      <c r="E13" s="4">
        <f>((Table14[[#This Row],[Teva]]-Table14[[#This Row],[Teva Attorney Fees]])*0.15)*0.75</f>
        <v>1169550.0216117869</v>
      </c>
      <c r="F13" s="4">
        <f>Table6[[#This Row],[Teva Bellwether]]+Table6[[#This Row],[Teva Litigating Total Less Fees and Bellwether]]</f>
        <v>1559400.028815716</v>
      </c>
      <c r="G13" s="4">
        <f>((Table14[[#This Row],[Allergan]]-Table14[[#This Row],[Allergan Attorney Fees ]])*0.15)*0.25</f>
        <v>0</v>
      </c>
      <c r="H13" s="4">
        <f>((Table14[[#This Row],[Allergan]]-Table14[[#This Row],[Allergan Attorney Fees ]])*0.15)*0.75</f>
        <v>0</v>
      </c>
      <c r="I13" s="28">
        <f>Table6[[#This Row],[Allergan Bellwether]]+Table6[[#This Row],[Allergan Litigating Less Fees and Bellwether]]</f>
        <v>0</v>
      </c>
      <c r="J13" s="3"/>
      <c r="K13" s="3"/>
    </row>
    <row r="14" spans="1:11" ht="15.6" x14ac:dyDescent="0.3">
      <c r="A14" s="21">
        <v>13</v>
      </c>
      <c r="B14" s="22">
        <v>50024</v>
      </c>
      <c r="C14" s="23">
        <f>Table14[[#This Row],[Teva/Allergan Litigating]]</f>
        <v>1559400.028815716</v>
      </c>
      <c r="D14" s="4">
        <f>((Table14[[#This Row],[Teva]]-Table14[[#This Row],[Teva Attorney Fees]])*0.15)*0.25</f>
        <v>389850.00720392901</v>
      </c>
      <c r="E14" s="4">
        <f>((Table14[[#This Row],[Teva]]-Table14[[#This Row],[Teva Attorney Fees]])*0.15)*0.75</f>
        <v>1169550.0216117869</v>
      </c>
      <c r="F14" s="4">
        <f>Table6[[#This Row],[Teva Bellwether]]+Table6[[#This Row],[Teva Litigating Total Less Fees and Bellwether]]</f>
        <v>1559400.028815716</v>
      </c>
      <c r="G14" s="4">
        <f>((Table14[[#This Row],[Allergan]]-Table14[[#This Row],[Allergan Attorney Fees ]])*0.15)*0.25</f>
        <v>0</v>
      </c>
      <c r="H14" s="4">
        <f>((Table14[[#This Row],[Allergan]]-Table14[[#This Row],[Allergan Attorney Fees ]])*0.15)*0.75</f>
        <v>0</v>
      </c>
      <c r="I14" s="28">
        <f>Table6[[#This Row],[Allergan Bellwether]]+Table6[[#This Row],[Allergan Litigating Less Fees and Bellwether]]</f>
        <v>0</v>
      </c>
      <c r="J14" s="3"/>
      <c r="K14" s="3"/>
    </row>
    <row r="15" spans="1:11" ht="15.6" x14ac:dyDescent="0.3">
      <c r="A15" s="25" t="s">
        <v>6</v>
      </c>
      <c r="B15" s="25"/>
      <c r="C15" s="25">
        <f>SUM(C2:C14)</f>
        <v>32313194.180979647</v>
      </c>
      <c r="D15" s="25">
        <f t="shared" ref="D15:I15" si="0">SUM(D2:D14)</f>
        <v>5073828.0967024844</v>
      </c>
      <c r="E15" s="25">
        <f t="shared" si="0"/>
        <v>15221484.290107453</v>
      </c>
      <c r="F15" s="25">
        <f t="shared" si="0"/>
        <v>20295312.386809938</v>
      </c>
      <c r="G15" s="25">
        <f t="shared" si="0"/>
        <v>3004470.4485424282</v>
      </c>
      <c r="H15" s="25">
        <f t="shared" si="0"/>
        <v>9013411.3456272874</v>
      </c>
      <c r="I15" s="25">
        <f t="shared" si="0"/>
        <v>12017881.794169713</v>
      </c>
      <c r="J15" s="3"/>
      <c r="K15" s="3"/>
    </row>
    <row r="16" spans="1:11" ht="15.6" x14ac:dyDescent="0.3">
      <c r="A16" s="3"/>
      <c r="B16" s="3"/>
      <c r="C16" s="3"/>
      <c r="D16" s="3"/>
      <c r="E16" s="3"/>
      <c r="F16" s="3"/>
      <c r="G16" s="3"/>
      <c r="H16" s="3"/>
      <c r="I16" s="3"/>
    </row>
    <row r="17" spans="1:9" ht="15.6" x14ac:dyDescent="0.3">
      <c r="A17" s="3" t="s">
        <v>232</v>
      </c>
      <c r="B17" s="3"/>
      <c r="C17" s="3"/>
      <c r="D17" s="3"/>
      <c r="E17" s="3"/>
      <c r="F17" s="3"/>
      <c r="G17" s="3"/>
      <c r="H17" s="3"/>
      <c r="I17" s="3"/>
    </row>
    <row r="18" spans="1:9" ht="15.6" x14ac:dyDescent="0.3">
      <c r="A18" s="3"/>
      <c r="B18" s="3"/>
      <c r="C18" s="3"/>
      <c r="D18" s="3"/>
      <c r="E18" s="3"/>
      <c r="F18" s="3"/>
      <c r="G18" s="3"/>
      <c r="H18" s="3"/>
      <c r="I18" s="3"/>
    </row>
    <row r="19" spans="1:9" ht="15.6" x14ac:dyDescent="0.3">
      <c r="A19" s="3"/>
      <c r="B19" s="3"/>
      <c r="C19" s="3"/>
      <c r="D19" s="3"/>
      <c r="E19" s="3"/>
      <c r="F19" s="3"/>
      <c r="G19" s="3"/>
      <c r="H19" s="3"/>
      <c r="I19" s="3"/>
    </row>
    <row r="20" spans="1:9" ht="15.6" x14ac:dyDescent="0.3">
      <c r="A20" s="3"/>
      <c r="B20" s="3"/>
      <c r="C20" s="3"/>
      <c r="D20" s="3"/>
      <c r="E20" s="3"/>
      <c r="F20" s="3"/>
      <c r="G20" s="3"/>
      <c r="H20" s="3"/>
      <c r="I20" s="3"/>
    </row>
    <row r="21" spans="1:9" ht="15.6" x14ac:dyDescent="0.3">
      <c r="A21" s="3"/>
      <c r="B21" s="3"/>
      <c r="C21" s="3"/>
      <c r="D21" s="3"/>
      <c r="E21" s="3"/>
      <c r="F21" s="3"/>
      <c r="G21" s="3"/>
      <c r="H21" s="3"/>
      <c r="I21" s="3"/>
    </row>
    <row r="22" spans="1:9" ht="15.6" x14ac:dyDescent="0.3">
      <c r="A22" s="3"/>
      <c r="B22" s="3"/>
      <c r="C22" s="3"/>
      <c r="D22" s="3"/>
      <c r="E22" s="3"/>
      <c r="F22" s="3"/>
      <c r="G22" s="3"/>
      <c r="H22" s="3"/>
      <c r="I22" s="3"/>
    </row>
    <row r="23" spans="1:9" ht="15.6" x14ac:dyDescent="0.3">
      <c r="A23" s="3"/>
      <c r="B23" s="3"/>
      <c r="C23" s="3"/>
      <c r="D23" s="3"/>
      <c r="E23" s="3"/>
      <c r="F23" s="3"/>
      <c r="G23" s="3"/>
      <c r="H23" s="3"/>
      <c r="I23" s="3"/>
    </row>
    <row r="24" spans="1:9" ht="15.6" x14ac:dyDescent="0.3">
      <c r="A24" s="3"/>
      <c r="B24" s="3"/>
      <c r="C24" s="3"/>
      <c r="D24" s="3"/>
      <c r="E24" s="3"/>
      <c r="F24" s="9"/>
      <c r="G24" s="3"/>
      <c r="H24" s="3"/>
      <c r="I24" s="3"/>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P99"/>
  <sheetViews>
    <sheetView workbookViewId="0"/>
  </sheetViews>
  <sheetFormatPr defaultRowHeight="14.4" x14ac:dyDescent="0.3"/>
  <cols>
    <col min="1" max="1" width="35.33203125" customWidth="1"/>
    <col min="2" max="2" width="20.33203125" customWidth="1"/>
    <col min="3" max="16" width="16.6640625" customWidth="1"/>
  </cols>
  <sheetData>
    <row r="1" spans="1:16" x14ac:dyDescent="0.3">
      <c r="A1" t="s">
        <v>117</v>
      </c>
      <c r="B1" t="s">
        <v>118</v>
      </c>
      <c r="C1" t="s">
        <v>93</v>
      </c>
      <c r="D1" t="s">
        <v>94</v>
      </c>
      <c r="E1" t="s">
        <v>95</v>
      </c>
      <c r="F1" t="s">
        <v>96</v>
      </c>
      <c r="G1" t="s">
        <v>97</v>
      </c>
      <c r="H1" t="s">
        <v>98</v>
      </c>
      <c r="I1" t="s">
        <v>99</v>
      </c>
      <c r="J1" t="s">
        <v>100</v>
      </c>
      <c r="K1" t="s">
        <v>101</v>
      </c>
      <c r="L1" t="s">
        <v>102</v>
      </c>
      <c r="M1" t="s">
        <v>103</v>
      </c>
      <c r="N1" t="s">
        <v>104</v>
      </c>
      <c r="O1" t="s">
        <v>105</v>
      </c>
      <c r="P1" t="s">
        <v>6</v>
      </c>
    </row>
    <row r="2" spans="1:16" x14ac:dyDescent="0.3">
      <c r="A2" t="s">
        <v>119</v>
      </c>
      <c r="B2">
        <v>8.3142266292569583E-3</v>
      </c>
      <c r="C2" s="17">
        <f>Table7[[#This Row],[Teva Adjusted %]]*$C$92</f>
        <v>6035.6126161460143</v>
      </c>
      <c r="D2" s="17">
        <f>Table7[[#This Row],[Teva Adjusted %]]*$D$92</f>
        <v>11773.068925964188</v>
      </c>
      <c r="E2" s="17">
        <f>Table7[[#This Row],[Teva Adjusted %]]*$E$92</f>
        <v>12635.301324394151</v>
      </c>
      <c r="F2" s="17">
        <f>Table7[[#This Row],[Teva Adjusted %]]*$F$92</f>
        <v>9159.8278418306472</v>
      </c>
      <c r="G2" s="17">
        <f>Table7[[#This Row],[Teva Adjusted %]]*$G$92</f>
        <v>9159.8278418306472</v>
      </c>
      <c r="H2" s="17">
        <f>Table7[[#This Row],[Teva Adjusted %]]*$H$92</f>
        <v>9723.9039339327701</v>
      </c>
      <c r="I2" s="17">
        <f>Table7[[#This Row],[Teva Adjusted %]]*$I$92</f>
        <v>9723.9039339327701</v>
      </c>
      <c r="J2" s="17">
        <f>Table7[[#This Row],[Teva Adjusted %]]*$J$92</f>
        <v>9723.9039339327701</v>
      </c>
      <c r="K2" s="17">
        <f>Table7[[#This Row],[Teva Adjusted %]]*$K$92</f>
        <v>9723.9039339327701</v>
      </c>
      <c r="L2" s="17">
        <f>Table7[[#This Row],[Teva Adjusted %]]*$L$92</f>
        <v>9723.9039339327701</v>
      </c>
      <c r="M2" s="17">
        <f>Table7[[#This Row],[Teva Adjusted %]]*$M$92</f>
        <v>9723.9039339327701</v>
      </c>
      <c r="N2" s="17">
        <f>Table7[[#This Row],[Teva Adjusted %]]*$N$92</f>
        <v>9723.9039339327701</v>
      </c>
      <c r="O2" s="17">
        <f>Table7[[#This Row],[Teva Adjusted %]]*$O$92</f>
        <v>9723.9039339327701</v>
      </c>
      <c r="P2" s="17">
        <f>SUM(Table7[[#This Row],[Payment 1]:[Payment 13]])</f>
        <v>126554.87002162782</v>
      </c>
    </row>
    <row r="3" spans="1:16" x14ac:dyDescent="0.3">
      <c r="A3" t="s">
        <v>120</v>
      </c>
      <c r="B3">
        <v>8.3142266292569585E-4</v>
      </c>
      <c r="C3" s="17">
        <f>Table7[[#This Row],[Teva Adjusted %]]*$C$92</f>
        <v>603.56126161460145</v>
      </c>
      <c r="D3" s="17">
        <f>Table7[[#This Row],[Teva Adjusted %]]*$D$92</f>
        <v>1177.3068925964187</v>
      </c>
      <c r="E3" s="17">
        <f>Table7[[#This Row],[Teva Adjusted %]]*$E$92</f>
        <v>1263.5301324394152</v>
      </c>
      <c r="F3" s="17">
        <f>Table7[[#This Row],[Teva Adjusted %]]*$F$92</f>
        <v>915.98278418306484</v>
      </c>
      <c r="G3" s="17">
        <f>Table7[[#This Row],[Teva Adjusted %]]*$G$92</f>
        <v>915.98278418306484</v>
      </c>
      <c r="H3" s="17">
        <f>Table7[[#This Row],[Teva Adjusted %]]*$H$92</f>
        <v>972.39039339327701</v>
      </c>
      <c r="I3" s="17">
        <f>Table7[[#This Row],[Teva Adjusted %]]*$I$92</f>
        <v>972.39039339327701</v>
      </c>
      <c r="J3" s="17">
        <f>Table7[[#This Row],[Teva Adjusted %]]*$J$92</f>
        <v>972.39039339327701</v>
      </c>
      <c r="K3" s="17">
        <f>Table7[[#This Row],[Teva Adjusted %]]*$K$92</f>
        <v>972.39039339327701</v>
      </c>
      <c r="L3" s="17">
        <f>Table7[[#This Row],[Teva Adjusted %]]*$L$92</f>
        <v>972.39039339327701</v>
      </c>
      <c r="M3" s="17">
        <f>Table7[[#This Row],[Teva Adjusted %]]*$M$92</f>
        <v>972.39039339327701</v>
      </c>
      <c r="N3" s="17">
        <f>Table7[[#This Row],[Teva Adjusted %]]*$N$92</f>
        <v>972.39039339327701</v>
      </c>
      <c r="O3" s="17">
        <f>Table7[[#This Row],[Teva Adjusted %]]*$O$92</f>
        <v>972.39039339327701</v>
      </c>
      <c r="P3" s="17">
        <f>SUM(Table7[[#This Row],[Payment 1]:[Payment 13]])</f>
        <v>12655.487002162783</v>
      </c>
    </row>
    <row r="4" spans="1:16" x14ac:dyDescent="0.3">
      <c r="A4" t="s">
        <v>121</v>
      </c>
      <c r="B4">
        <v>8.3567450572428037E-2</v>
      </c>
      <c r="C4" s="17">
        <f>Table7[[#This Row],[Teva Adjusted %]]*$C$92</f>
        <v>60664.783564984631</v>
      </c>
      <c r="D4" s="17">
        <f>Table7[[#This Row],[Teva Adjusted %]]*$D$92</f>
        <v>118332.75654217125</v>
      </c>
      <c r="E4" s="17">
        <f>Table7[[#This Row],[Teva Adjusted %]]*$E$92</f>
        <v>126999.1745448017</v>
      </c>
      <c r="F4" s="17">
        <f>Table7[[#This Row],[Teva Adjusted %]]*$F$92</f>
        <v>92066.706208192729</v>
      </c>
      <c r="G4" s="17">
        <f>Table7[[#This Row],[Teva Adjusted %]]*$G$92</f>
        <v>92066.706208192729</v>
      </c>
      <c r="H4" s="17">
        <f>Table7[[#This Row],[Teva Adjusted %]]*$H$92</f>
        <v>97736.31362302514</v>
      </c>
      <c r="I4" s="17">
        <f>Table7[[#This Row],[Teva Adjusted %]]*$I$92</f>
        <v>97736.31362302514</v>
      </c>
      <c r="J4" s="17">
        <f>Table7[[#This Row],[Teva Adjusted %]]*$J$92</f>
        <v>97736.31362302514</v>
      </c>
      <c r="K4" s="17">
        <f>Table7[[#This Row],[Teva Adjusted %]]*$K$92</f>
        <v>97736.31362302514</v>
      </c>
      <c r="L4" s="17">
        <f>Table7[[#This Row],[Teva Adjusted %]]*$L$92</f>
        <v>97736.31362302514</v>
      </c>
      <c r="M4" s="17">
        <f>Table7[[#This Row],[Teva Adjusted %]]*$M$92</f>
        <v>97736.31362302514</v>
      </c>
      <c r="N4" s="17">
        <f>Table7[[#This Row],[Teva Adjusted %]]*$N$92</f>
        <v>97736.31362302514</v>
      </c>
      <c r="O4" s="17">
        <f>Table7[[#This Row],[Teva Adjusted %]]*$O$92</f>
        <v>97736.31362302514</v>
      </c>
      <c r="P4" s="17">
        <f>SUM(Table7[[#This Row],[Payment 1]:[Payment 13]])</f>
        <v>1272020.6360525438</v>
      </c>
    </row>
    <row r="5" spans="1:16" x14ac:dyDescent="0.3">
      <c r="A5" t="s">
        <v>122</v>
      </c>
      <c r="B5">
        <v>8.4093481712353858E-3</v>
      </c>
      <c r="C5" s="17">
        <f>Table7[[#This Row],[Teva Adjusted %]]*$C$92</f>
        <v>6104.6649531140729</v>
      </c>
      <c r="D5" s="17">
        <f>Table7[[#This Row],[Teva Adjusted %]]*$D$92</f>
        <v>11907.762448283545</v>
      </c>
      <c r="E5" s="17">
        <f>Table7[[#This Row],[Teva Adjusted %]]*$E$92</f>
        <v>12779.859489444538</v>
      </c>
      <c r="F5" s="17">
        <f>Table7[[#This Row],[Teva Adjusted %]]*$F$92</f>
        <v>9264.6237521929961</v>
      </c>
      <c r="G5" s="17">
        <f>Table7[[#This Row],[Teva Adjusted %]]*$G$92</f>
        <v>9264.6237521929961</v>
      </c>
      <c r="H5" s="17">
        <f>Table7[[#This Row],[Teva Adjusted %]]*$H$92</f>
        <v>9835.1533354093863</v>
      </c>
      <c r="I5" s="17">
        <f>Table7[[#This Row],[Teva Adjusted %]]*$I$92</f>
        <v>9835.1533354093863</v>
      </c>
      <c r="J5" s="17">
        <f>Table7[[#This Row],[Teva Adjusted %]]*$J$92</f>
        <v>9835.1533354093863</v>
      </c>
      <c r="K5" s="17">
        <f>Table7[[#This Row],[Teva Adjusted %]]*$K$92</f>
        <v>9835.1533354093863</v>
      </c>
      <c r="L5" s="17">
        <f>Table7[[#This Row],[Teva Adjusted %]]*$L$92</f>
        <v>9835.1533354093863</v>
      </c>
      <c r="M5" s="17">
        <f>Table7[[#This Row],[Teva Adjusted %]]*$M$92</f>
        <v>9835.1533354093863</v>
      </c>
      <c r="N5" s="17">
        <f>Table7[[#This Row],[Teva Adjusted %]]*$N$92</f>
        <v>9835.1533354093863</v>
      </c>
      <c r="O5" s="17">
        <f>Table7[[#This Row],[Teva Adjusted %]]*$O$92</f>
        <v>9835.1533354093863</v>
      </c>
      <c r="P5" s="17">
        <f>SUM(Table7[[#This Row],[Payment 1]:[Payment 13]])</f>
        <v>128002.76107850323</v>
      </c>
    </row>
    <row r="6" spans="1:16" x14ac:dyDescent="0.3">
      <c r="A6" t="s">
        <v>123</v>
      </c>
      <c r="B6">
        <v>4.3807862641332546E-3</v>
      </c>
      <c r="C6" s="17">
        <f>Table7[[#This Row],[Teva Adjusted %]]*$C$92</f>
        <v>3180.1789899976352</v>
      </c>
      <c r="D6" s="17">
        <f>Table7[[#This Row],[Teva Adjusted %]]*$D$92</f>
        <v>6203.2586958923494</v>
      </c>
      <c r="E6" s="17">
        <f>Table7[[#This Row],[Teva Adjusted %]]*$E$92</f>
        <v>6657.5710469943579</v>
      </c>
      <c r="F6" s="17">
        <f>Table7[[#This Row],[Teva Adjusted %]]*$F$92</f>
        <v>4826.33560289458</v>
      </c>
      <c r="G6" s="17">
        <f>Table7[[#This Row],[Teva Adjusted %]]*$G$92</f>
        <v>4826.33560289458</v>
      </c>
      <c r="H6" s="17">
        <f>Table7[[#This Row],[Teva Adjusted %]]*$H$92</f>
        <v>5123.5486698936675</v>
      </c>
      <c r="I6" s="17">
        <f>Table7[[#This Row],[Teva Adjusted %]]*$I$92</f>
        <v>5123.5486698936675</v>
      </c>
      <c r="J6" s="17">
        <f>Table7[[#This Row],[Teva Adjusted %]]*$J$92</f>
        <v>5123.5486698936675</v>
      </c>
      <c r="K6" s="17">
        <f>Table7[[#This Row],[Teva Adjusted %]]*$K$92</f>
        <v>5123.5486698936675</v>
      </c>
      <c r="L6" s="17">
        <f>Table7[[#This Row],[Teva Adjusted %]]*$L$92</f>
        <v>5123.5486698936675</v>
      </c>
      <c r="M6" s="17">
        <f>Table7[[#This Row],[Teva Adjusted %]]*$M$92</f>
        <v>5123.5486698936675</v>
      </c>
      <c r="N6" s="17">
        <f>Table7[[#This Row],[Teva Adjusted %]]*$N$92</f>
        <v>5123.5486698936675</v>
      </c>
      <c r="O6" s="17">
        <f>Table7[[#This Row],[Teva Adjusted %]]*$O$92</f>
        <v>5123.5486698936675</v>
      </c>
      <c r="P6" s="17">
        <f>SUM(Table7[[#This Row],[Payment 1]:[Payment 13]])</f>
        <v>66682.069297822833</v>
      </c>
    </row>
    <row r="7" spans="1:16" x14ac:dyDescent="0.3">
      <c r="A7" t="s">
        <v>124</v>
      </c>
      <c r="B7">
        <v>1.1240641285902181E-2</v>
      </c>
      <c r="C7" s="17">
        <f>Table7[[#This Row],[Teva Adjusted %]]*$C$92</f>
        <v>8160.008066177309</v>
      </c>
      <c r="D7" s="17">
        <f>Table7[[#This Row],[Teva Adjusted %]]*$D$92</f>
        <v>15916.915731558791</v>
      </c>
      <c r="E7" s="17">
        <f>Table7[[#This Row],[Teva Adjusted %]]*$E$92</f>
        <v>17082.63390692449</v>
      </c>
      <c r="F7" s="17">
        <f>Table7[[#This Row],[Teva Adjusted %]]*$F$92</f>
        <v>12383.874484287373</v>
      </c>
      <c r="G7" s="17">
        <f>Table7[[#This Row],[Teva Adjusted %]]*$G$92</f>
        <v>12383.874484287373</v>
      </c>
      <c r="H7" s="17">
        <f>Table7[[#This Row],[Teva Adjusted %]]*$H$92</f>
        <v>13146.492258857241</v>
      </c>
      <c r="I7" s="17">
        <f>Table7[[#This Row],[Teva Adjusted %]]*$I$92</f>
        <v>13146.492258857241</v>
      </c>
      <c r="J7" s="17">
        <f>Table7[[#This Row],[Teva Adjusted %]]*$J$92</f>
        <v>13146.492258857241</v>
      </c>
      <c r="K7" s="17">
        <f>Table7[[#This Row],[Teva Adjusted %]]*$K$92</f>
        <v>13146.492258857241</v>
      </c>
      <c r="L7" s="17">
        <f>Table7[[#This Row],[Teva Adjusted %]]*$L$92</f>
        <v>13146.492258857241</v>
      </c>
      <c r="M7" s="17">
        <f>Table7[[#This Row],[Teva Adjusted %]]*$M$92</f>
        <v>13146.492258857241</v>
      </c>
      <c r="N7" s="17">
        <f>Table7[[#This Row],[Teva Adjusted %]]*$N$92</f>
        <v>13146.492258857241</v>
      </c>
      <c r="O7" s="17">
        <f>Table7[[#This Row],[Teva Adjusted %]]*$O$92</f>
        <v>13146.492258857241</v>
      </c>
      <c r="P7" s="17">
        <f>SUM(Table7[[#This Row],[Payment 1]:[Payment 13]])</f>
        <v>171099.24474409324</v>
      </c>
    </row>
    <row r="8" spans="1:16" x14ac:dyDescent="0.3">
      <c r="A8" t="s">
        <v>125</v>
      </c>
      <c r="B8">
        <v>3.179240795763566E-3</v>
      </c>
      <c r="C8" s="17">
        <f>Table7[[#This Row],[Teva Adjusted %]]*$C$92</f>
        <v>2307.9315385935734</v>
      </c>
      <c r="D8" s="17">
        <f>Table7[[#This Row],[Teva Adjusted %]]*$D$92</f>
        <v>4501.8523898604335</v>
      </c>
      <c r="E8" s="17">
        <f>Table7[[#This Row],[Teva Adjusted %]]*$E$92</f>
        <v>4831.5576695880072</v>
      </c>
      <c r="F8" s="17">
        <f>Table7[[#This Row],[Teva Adjusted %]]*$F$92</f>
        <v>3502.5865489934936</v>
      </c>
      <c r="G8" s="17">
        <f>Table7[[#This Row],[Teva Adjusted %]]*$G$92</f>
        <v>3502.5865489934936</v>
      </c>
      <c r="H8" s="17">
        <f>Table7[[#This Row],[Teva Adjusted %]]*$H$92</f>
        <v>3718.2811413943532</v>
      </c>
      <c r="I8" s="17">
        <f>Table7[[#This Row],[Teva Adjusted %]]*$I$92</f>
        <v>3718.2811413943532</v>
      </c>
      <c r="J8" s="17">
        <f>Table7[[#This Row],[Teva Adjusted %]]*$J$92</f>
        <v>3718.2811413943532</v>
      </c>
      <c r="K8" s="17">
        <f>Table7[[#This Row],[Teva Adjusted %]]*$K$92</f>
        <v>3718.2811413943532</v>
      </c>
      <c r="L8" s="17">
        <f>Table7[[#This Row],[Teva Adjusted %]]*$L$92</f>
        <v>3718.2811413943532</v>
      </c>
      <c r="M8" s="17">
        <f>Table7[[#This Row],[Teva Adjusted %]]*$M$92</f>
        <v>3718.2811413943532</v>
      </c>
      <c r="N8" s="17">
        <f>Table7[[#This Row],[Teva Adjusted %]]*$N$92</f>
        <v>3718.2811413943532</v>
      </c>
      <c r="O8" s="17">
        <f>Table7[[#This Row],[Teva Adjusted %]]*$O$92</f>
        <v>3718.2811413943532</v>
      </c>
      <c r="P8" s="17">
        <f>SUM(Table7[[#This Row],[Payment 1]:[Payment 13]])</f>
        <v>48392.763827183837</v>
      </c>
    </row>
    <row r="9" spans="1:16" x14ac:dyDescent="0.3">
      <c r="A9" t="s">
        <v>126</v>
      </c>
      <c r="B9">
        <v>4.1568621851328195E-3</v>
      </c>
      <c r="C9" s="17">
        <f>Table7[[#This Row],[Teva Adjusted %]]*$C$92</f>
        <v>3017.6240036423151</v>
      </c>
      <c r="D9" s="17">
        <f>Table7[[#This Row],[Teva Adjusted %]]*$D$92</f>
        <v>5886.1788598702733</v>
      </c>
      <c r="E9" s="17">
        <f>Table7[[#This Row],[Teva Adjusted %]]*$E$92</f>
        <v>6317.2690155340015</v>
      </c>
      <c r="F9" s="17">
        <f>Table7[[#This Row],[Teva Adjusted %]]*$F$92</f>
        <v>4579.6372502099393</v>
      </c>
      <c r="G9" s="17">
        <f>Table7[[#This Row],[Teva Adjusted %]]*$G$92</f>
        <v>4579.6372502099393</v>
      </c>
      <c r="H9" s="17">
        <f>Table7[[#This Row],[Teva Adjusted %]]*$H$92</f>
        <v>4861.6582584593089</v>
      </c>
      <c r="I9" s="17">
        <f>Table7[[#This Row],[Teva Adjusted %]]*$I$92</f>
        <v>4861.6582584593089</v>
      </c>
      <c r="J9" s="17">
        <f>Table7[[#This Row],[Teva Adjusted %]]*$J$92</f>
        <v>4861.6582584593089</v>
      </c>
      <c r="K9" s="17">
        <f>Table7[[#This Row],[Teva Adjusted %]]*$K$92</f>
        <v>4861.6582584593089</v>
      </c>
      <c r="L9" s="17">
        <f>Table7[[#This Row],[Teva Adjusted %]]*$L$92</f>
        <v>4861.6582584593089</v>
      </c>
      <c r="M9" s="17">
        <f>Table7[[#This Row],[Teva Adjusted %]]*$M$92</f>
        <v>4861.6582584593089</v>
      </c>
      <c r="N9" s="17">
        <f>Table7[[#This Row],[Teva Adjusted %]]*$N$92</f>
        <v>4861.6582584593089</v>
      </c>
      <c r="O9" s="17">
        <f>Table7[[#This Row],[Teva Adjusted %]]*$O$92</f>
        <v>4861.6582584593089</v>
      </c>
      <c r="P9" s="17">
        <f>SUM(Table7[[#This Row],[Payment 1]:[Payment 13]])</f>
        <v>63273.612447140957</v>
      </c>
    </row>
    <row r="10" spans="1:16" x14ac:dyDescent="0.3">
      <c r="A10" t="s">
        <v>127</v>
      </c>
      <c r="B10">
        <v>4.1571133146284791E-3</v>
      </c>
      <c r="C10" s="17">
        <f>Table7[[#This Row],[Teva Adjusted %]]*$C$92</f>
        <v>3017.8063080730071</v>
      </c>
      <c r="D10" s="17">
        <f>Table7[[#This Row],[Teva Adjusted %]]*$D$92</f>
        <v>5886.5344629820938</v>
      </c>
      <c r="E10" s="17">
        <f>Table7[[#This Row],[Teva Adjusted %]]*$E$92</f>
        <v>6317.6506621970757</v>
      </c>
      <c r="F10" s="17">
        <f>Table7[[#This Row],[Teva Adjusted %]]*$F$92</f>
        <v>4579.9139209153236</v>
      </c>
      <c r="G10" s="17">
        <f>Table7[[#This Row],[Teva Adjusted %]]*$G$92</f>
        <v>4579.9139209153236</v>
      </c>
      <c r="H10" s="17">
        <f>Table7[[#This Row],[Teva Adjusted %]]*$H$92</f>
        <v>4861.951966966385</v>
      </c>
      <c r="I10" s="17">
        <f>Table7[[#This Row],[Teva Adjusted %]]*$I$92</f>
        <v>4861.951966966385</v>
      </c>
      <c r="J10" s="17">
        <f>Table7[[#This Row],[Teva Adjusted %]]*$J$92</f>
        <v>4861.951966966385</v>
      </c>
      <c r="K10" s="17">
        <f>Table7[[#This Row],[Teva Adjusted %]]*$K$92</f>
        <v>4861.951966966385</v>
      </c>
      <c r="L10" s="17">
        <f>Table7[[#This Row],[Teva Adjusted %]]*$L$92</f>
        <v>4861.951966966385</v>
      </c>
      <c r="M10" s="17">
        <f>Table7[[#This Row],[Teva Adjusted %]]*$M$92</f>
        <v>4861.951966966385</v>
      </c>
      <c r="N10" s="17">
        <f>Table7[[#This Row],[Teva Adjusted %]]*$N$92</f>
        <v>4861.951966966385</v>
      </c>
      <c r="O10" s="17">
        <f>Table7[[#This Row],[Teva Adjusted %]]*$O$92</f>
        <v>4861.951966966385</v>
      </c>
      <c r="P10" s="17">
        <f>SUM(Table7[[#This Row],[Payment 1]:[Payment 13]])</f>
        <v>63277.435010813912</v>
      </c>
    </row>
    <row r="11" spans="1:16" x14ac:dyDescent="0.3">
      <c r="A11" t="s">
        <v>128</v>
      </c>
      <c r="B11">
        <v>4.1571133146284791E-3</v>
      </c>
      <c r="C11" s="17">
        <f>Table7[[#This Row],[Teva Adjusted %]]*$C$92</f>
        <v>3017.8063080730071</v>
      </c>
      <c r="D11" s="17">
        <f>Table7[[#This Row],[Teva Adjusted %]]*$D$92</f>
        <v>5886.5344629820938</v>
      </c>
      <c r="E11" s="17">
        <f>Table7[[#This Row],[Teva Adjusted %]]*$E$92</f>
        <v>6317.6506621970757</v>
      </c>
      <c r="F11" s="17">
        <f>Table7[[#This Row],[Teva Adjusted %]]*$F$92</f>
        <v>4579.9139209153236</v>
      </c>
      <c r="G11" s="17">
        <f>Table7[[#This Row],[Teva Adjusted %]]*$G$92</f>
        <v>4579.9139209153236</v>
      </c>
      <c r="H11" s="17">
        <f>Table7[[#This Row],[Teva Adjusted %]]*$H$92</f>
        <v>4861.951966966385</v>
      </c>
      <c r="I11" s="17">
        <f>Table7[[#This Row],[Teva Adjusted %]]*$I$92</f>
        <v>4861.951966966385</v>
      </c>
      <c r="J11" s="17">
        <f>Table7[[#This Row],[Teva Adjusted %]]*$J$92</f>
        <v>4861.951966966385</v>
      </c>
      <c r="K11" s="17">
        <f>Table7[[#This Row],[Teva Adjusted %]]*$K$92</f>
        <v>4861.951966966385</v>
      </c>
      <c r="L11" s="17">
        <f>Table7[[#This Row],[Teva Adjusted %]]*$L$92</f>
        <v>4861.951966966385</v>
      </c>
      <c r="M11" s="17">
        <f>Table7[[#This Row],[Teva Adjusted %]]*$M$92</f>
        <v>4861.951966966385</v>
      </c>
      <c r="N11" s="17">
        <f>Table7[[#This Row],[Teva Adjusted %]]*$N$92</f>
        <v>4861.951966966385</v>
      </c>
      <c r="O11" s="17">
        <f>Table7[[#This Row],[Teva Adjusted %]]*$O$92</f>
        <v>4861.951966966385</v>
      </c>
      <c r="P11" s="17">
        <f>SUM(Table7[[#This Row],[Payment 1]:[Payment 13]])</f>
        <v>63277.435010813912</v>
      </c>
    </row>
    <row r="12" spans="1:16" x14ac:dyDescent="0.3">
      <c r="A12" t="s">
        <v>129</v>
      </c>
      <c r="B12">
        <v>4.3203648519481767E-2</v>
      </c>
      <c r="C12" s="17">
        <f>Table7[[#This Row],[Teva Adjusted %]]*$C$92</f>
        <v>31363.167940374795</v>
      </c>
      <c r="D12" s="17">
        <f>Table7[[#This Row],[Teva Adjusted %]]*$D$92</f>
        <v>61177.010749639208</v>
      </c>
      <c r="E12" s="17">
        <f>Table7[[#This Row],[Teva Adjusted %]]*$E$92</f>
        <v>65657.473833576951</v>
      </c>
      <c r="F12" s="17">
        <f>Table7[[#This Row],[Teva Adjusted %]]*$F$92</f>
        <v>47597.690106840593</v>
      </c>
      <c r="G12" s="17">
        <f>Table7[[#This Row],[Teva Adjusted %]]*$G$92</f>
        <v>47597.690106840593</v>
      </c>
      <c r="H12" s="17">
        <f>Table7[[#This Row],[Teva Adjusted %]]*$H$92</f>
        <v>50528.828059667947</v>
      </c>
      <c r="I12" s="17">
        <f>Table7[[#This Row],[Teva Adjusted %]]*$I$92</f>
        <v>50528.828059667947</v>
      </c>
      <c r="J12" s="17">
        <f>Table7[[#This Row],[Teva Adjusted %]]*$J$92</f>
        <v>50528.828059667947</v>
      </c>
      <c r="K12" s="17">
        <f>Table7[[#This Row],[Teva Adjusted %]]*$K$92</f>
        <v>50528.828059667947</v>
      </c>
      <c r="L12" s="17">
        <f>Table7[[#This Row],[Teva Adjusted %]]*$L$92</f>
        <v>50528.828059667947</v>
      </c>
      <c r="M12" s="17">
        <f>Table7[[#This Row],[Teva Adjusted %]]*$M$92</f>
        <v>50528.828059667947</v>
      </c>
      <c r="N12" s="17">
        <f>Table7[[#This Row],[Teva Adjusted %]]*$N$92</f>
        <v>50528.828059667947</v>
      </c>
      <c r="O12" s="17">
        <f>Table7[[#This Row],[Teva Adjusted %]]*$O$92</f>
        <v>50528.828059667947</v>
      </c>
      <c r="P12" s="17">
        <f>SUM(Table7[[#This Row],[Payment 1]:[Payment 13]])</f>
        <v>657623.65721461573</v>
      </c>
    </row>
    <row r="13" spans="1:16" x14ac:dyDescent="0.3">
      <c r="A13" t="s">
        <v>130</v>
      </c>
      <c r="B13">
        <v>8.9190076611000008E-3</v>
      </c>
      <c r="C13" s="17">
        <f>Table7[[#This Row],[Teva Adjusted %]]*$C$92</f>
        <v>6474.6461172238996</v>
      </c>
      <c r="D13" s="17">
        <f>Table7[[#This Row],[Teva Adjusted %]]*$D$92</f>
        <v>12629.447888253817</v>
      </c>
      <c r="E13" s="17">
        <f>Table7[[#This Row],[Teva Adjusted %]]*$E$92</f>
        <v>13554.399505543657</v>
      </c>
      <c r="F13" s="17">
        <f>Table7[[#This Row],[Teva Adjusted %]]*$F$92</f>
        <v>9826.1183316993429</v>
      </c>
      <c r="G13" s="17">
        <f>Table7[[#This Row],[Teva Adjusted %]]*$G$92</f>
        <v>9826.1183316993429</v>
      </c>
      <c r="H13" s="17">
        <f>Table7[[#This Row],[Teva Adjusted %]]*$H$92</f>
        <v>10431.225602795199</v>
      </c>
      <c r="I13" s="17">
        <f>Table7[[#This Row],[Teva Adjusted %]]*$I$92</f>
        <v>10431.225602795199</v>
      </c>
      <c r="J13" s="17">
        <f>Table7[[#This Row],[Teva Adjusted %]]*$J$92</f>
        <v>10431.225602795199</v>
      </c>
      <c r="K13" s="17">
        <f>Table7[[#This Row],[Teva Adjusted %]]*$K$92</f>
        <v>10431.225602795199</v>
      </c>
      <c r="L13" s="17">
        <f>Table7[[#This Row],[Teva Adjusted %]]*$L$92</f>
        <v>10431.225602795199</v>
      </c>
      <c r="M13" s="17">
        <f>Table7[[#This Row],[Teva Adjusted %]]*$M$92</f>
        <v>10431.225602795199</v>
      </c>
      <c r="N13" s="17">
        <f>Table7[[#This Row],[Teva Adjusted %]]*$N$92</f>
        <v>10431.225602795199</v>
      </c>
      <c r="O13" s="17">
        <f>Table7[[#This Row],[Teva Adjusted %]]*$O$92</f>
        <v>10431.225602795199</v>
      </c>
      <c r="P13" s="17">
        <f>SUM(Table7[[#This Row],[Payment 1]:[Payment 13]])</f>
        <v>135760.53499678164</v>
      </c>
    </row>
    <row r="14" spans="1:16" x14ac:dyDescent="0.3">
      <c r="A14" t="s">
        <v>131</v>
      </c>
      <c r="B14">
        <v>4.3267264074005321E-3</v>
      </c>
      <c r="C14" s="17">
        <f>Table7[[#This Row],[Teva Adjusted %]]*$C$92</f>
        <v>3140.9348885468876</v>
      </c>
      <c r="D14" s="17">
        <f>Table7[[#This Row],[Teva Adjusted %]]*$D$92</f>
        <v>6126.7091323764253</v>
      </c>
      <c r="E14" s="17">
        <f>Table7[[#This Row],[Teva Adjusted %]]*$E$92</f>
        <v>6575.4151701064347</v>
      </c>
      <c r="F14" s="17">
        <f>Table7[[#This Row],[Teva Adjusted %]]*$F$92</f>
        <v>4766.7775702709232</v>
      </c>
      <c r="G14" s="17">
        <f>Table7[[#This Row],[Teva Adjusted %]]*$G$92</f>
        <v>4766.7775702709232</v>
      </c>
      <c r="H14" s="17">
        <f>Table7[[#This Row],[Teva Adjusted %]]*$H$92</f>
        <v>5060.322963283581</v>
      </c>
      <c r="I14" s="17">
        <f>Table7[[#This Row],[Teva Adjusted %]]*$I$92</f>
        <v>5060.322963283581</v>
      </c>
      <c r="J14" s="17">
        <f>Table7[[#This Row],[Teva Adjusted %]]*$J$92</f>
        <v>5060.322963283581</v>
      </c>
      <c r="K14" s="17">
        <f>Table7[[#This Row],[Teva Adjusted %]]*$K$92</f>
        <v>5060.322963283581</v>
      </c>
      <c r="L14" s="17">
        <f>Table7[[#This Row],[Teva Adjusted %]]*$L$92</f>
        <v>5060.322963283581</v>
      </c>
      <c r="M14" s="17">
        <f>Table7[[#This Row],[Teva Adjusted %]]*$M$92</f>
        <v>5060.322963283581</v>
      </c>
      <c r="N14" s="17">
        <f>Table7[[#This Row],[Teva Adjusted %]]*$N$92</f>
        <v>5060.322963283581</v>
      </c>
      <c r="O14" s="17">
        <f>Table7[[#This Row],[Teva Adjusted %]]*$O$92</f>
        <v>5060.322963283581</v>
      </c>
      <c r="P14" s="17">
        <f>SUM(Table7[[#This Row],[Payment 1]:[Payment 13]])</f>
        <v>65859.198037840237</v>
      </c>
    </row>
    <row r="15" spans="1:16" x14ac:dyDescent="0.3">
      <c r="A15" t="s">
        <v>132</v>
      </c>
      <c r="B15">
        <v>3.5711112751674011E-2</v>
      </c>
      <c r="C15" s="17">
        <f>Table7[[#This Row],[Teva Adjusted %]]*$C$92</f>
        <v>25924.051901851886</v>
      </c>
      <c r="D15" s="17">
        <f>Table7[[#This Row],[Teva Adjusted %]]*$D$92</f>
        <v>50567.468340216568</v>
      </c>
      <c r="E15" s="17">
        <f>Table7[[#This Row],[Teva Adjusted %]]*$E$92</f>
        <v>54270.913022627225</v>
      </c>
      <c r="F15" s="17">
        <f>Table7[[#This Row],[Teva Adjusted %]]*$F$92</f>
        <v>39343.123471577856</v>
      </c>
      <c r="G15" s="17">
        <f>Table7[[#This Row],[Teva Adjusted %]]*$G$92</f>
        <v>39343.123471577856</v>
      </c>
      <c r="H15" s="17">
        <f>Table7[[#This Row],[Teva Adjusted %]]*$H$92</f>
        <v>41765.9326905013</v>
      </c>
      <c r="I15" s="17">
        <f>Table7[[#This Row],[Teva Adjusted %]]*$I$92</f>
        <v>41765.9326905013</v>
      </c>
      <c r="J15" s="17">
        <f>Table7[[#This Row],[Teva Adjusted %]]*$J$92</f>
        <v>41765.9326905013</v>
      </c>
      <c r="K15" s="17">
        <f>Table7[[#This Row],[Teva Adjusted %]]*$K$92</f>
        <v>41765.9326905013</v>
      </c>
      <c r="L15" s="17">
        <f>Table7[[#This Row],[Teva Adjusted %]]*$L$92</f>
        <v>41765.9326905013</v>
      </c>
      <c r="M15" s="17">
        <f>Table7[[#This Row],[Teva Adjusted %]]*$M$92</f>
        <v>41765.9326905013</v>
      </c>
      <c r="N15" s="17">
        <f>Table7[[#This Row],[Teva Adjusted %]]*$N$92</f>
        <v>41765.9326905013</v>
      </c>
      <c r="O15" s="17">
        <f>Table7[[#This Row],[Teva Adjusted %]]*$O$92</f>
        <v>41765.9326905013</v>
      </c>
      <c r="P15" s="17">
        <f>SUM(Table7[[#This Row],[Payment 1]:[Payment 13]])</f>
        <v>543576.14173186198</v>
      </c>
    </row>
    <row r="16" spans="1:16" x14ac:dyDescent="0.3">
      <c r="A16" t="s">
        <v>133</v>
      </c>
      <c r="B16">
        <v>2.4885576323650286E-3</v>
      </c>
      <c r="C16" s="17">
        <f>Table7[[#This Row],[Teva Adjusted %]]*$C$92</f>
        <v>1806.5384204292677</v>
      </c>
      <c r="D16" s="17">
        <f>Table7[[#This Row],[Teva Adjusted %]]*$D$92</f>
        <v>3523.8347279314044</v>
      </c>
      <c r="E16" s="17">
        <f>Table7[[#This Row],[Teva Adjusted %]]*$E$92</f>
        <v>3781.9122511534351</v>
      </c>
      <c r="F16" s="17">
        <f>Table7[[#This Row],[Teva Adjusted %]]*$F$92</f>
        <v>2741.6572224197976</v>
      </c>
      <c r="G16" s="17">
        <f>Table7[[#This Row],[Teva Adjusted %]]*$G$92</f>
        <v>2741.6572224197976</v>
      </c>
      <c r="H16" s="17">
        <f>Table7[[#This Row],[Teva Adjusted %]]*$H$92</f>
        <v>2910.4926327146964</v>
      </c>
      <c r="I16" s="17">
        <f>Table7[[#This Row],[Teva Adjusted %]]*$I$92</f>
        <v>2910.4926327146964</v>
      </c>
      <c r="J16" s="17">
        <f>Table7[[#This Row],[Teva Adjusted %]]*$J$92</f>
        <v>2910.4926327146964</v>
      </c>
      <c r="K16" s="17">
        <f>Table7[[#This Row],[Teva Adjusted %]]*$K$92</f>
        <v>2910.4926327146964</v>
      </c>
      <c r="L16" s="17">
        <f>Table7[[#This Row],[Teva Adjusted %]]*$L$92</f>
        <v>2910.4926327146964</v>
      </c>
      <c r="M16" s="17">
        <f>Table7[[#This Row],[Teva Adjusted %]]*$M$92</f>
        <v>2910.4926327146964</v>
      </c>
      <c r="N16" s="17">
        <f>Table7[[#This Row],[Teva Adjusted %]]*$N$92</f>
        <v>2910.4926327146964</v>
      </c>
      <c r="O16" s="17">
        <f>Table7[[#This Row],[Teva Adjusted %]]*$O$92</f>
        <v>2910.4926327146964</v>
      </c>
      <c r="P16" s="17">
        <f>SUM(Table7[[#This Row],[Payment 1]:[Payment 13]])</f>
        <v>37879.54090607127</v>
      </c>
    </row>
    <row r="17" spans="1:16" x14ac:dyDescent="0.3">
      <c r="A17" t="s">
        <v>134</v>
      </c>
      <c r="B17">
        <v>5.3833994784939013E-3</v>
      </c>
      <c r="C17" s="17">
        <f>Table7[[#This Row],[Teva Adjusted %]]*$C$92</f>
        <v>3908.0139691904792</v>
      </c>
      <c r="D17" s="17">
        <f>Table7[[#This Row],[Teva Adjusted %]]*$D$92</f>
        <v>7622.9739628798825</v>
      </c>
      <c r="E17" s="17">
        <f>Table7[[#This Row],[Teva Adjusted %]]*$E$92</f>
        <v>8181.2629837389695</v>
      </c>
      <c r="F17" s="17">
        <f>Table7[[#This Row],[Teva Adjusted %]]*$F$92</f>
        <v>5930.9199310594149</v>
      </c>
      <c r="G17" s="17">
        <f>Table7[[#This Row],[Teva Adjusted %]]*$G$92</f>
        <v>5930.9199310594149</v>
      </c>
      <c r="H17" s="17">
        <f>Table7[[#This Row],[Teva Adjusted %]]*$H$92</f>
        <v>6296.1549764174242</v>
      </c>
      <c r="I17" s="17">
        <f>Table7[[#This Row],[Teva Adjusted %]]*$I$92</f>
        <v>6296.1549764174242</v>
      </c>
      <c r="J17" s="17">
        <f>Table7[[#This Row],[Teva Adjusted %]]*$J$92</f>
        <v>6296.1549764174242</v>
      </c>
      <c r="K17" s="17">
        <f>Table7[[#This Row],[Teva Adjusted %]]*$K$92</f>
        <v>6296.1549764174242</v>
      </c>
      <c r="L17" s="17">
        <f>Table7[[#This Row],[Teva Adjusted %]]*$L$92</f>
        <v>6296.1549764174242</v>
      </c>
      <c r="M17" s="17">
        <f>Table7[[#This Row],[Teva Adjusted %]]*$M$92</f>
        <v>6296.1549764174242</v>
      </c>
      <c r="N17" s="17">
        <f>Table7[[#This Row],[Teva Adjusted %]]*$N$92</f>
        <v>6296.1549764174242</v>
      </c>
      <c r="O17" s="17">
        <f>Table7[[#This Row],[Teva Adjusted %]]*$O$92</f>
        <v>6296.1549764174242</v>
      </c>
      <c r="P17" s="17">
        <f>SUM(Table7[[#This Row],[Payment 1]:[Payment 13]])</f>
        <v>81943.330589267571</v>
      </c>
    </row>
    <row r="18" spans="1:16" x14ac:dyDescent="0.3">
      <c r="A18" t="s">
        <v>135</v>
      </c>
      <c r="B18">
        <v>2.5025236522131602E-3</v>
      </c>
      <c r="C18" s="17">
        <f>Table7[[#This Row],[Teva Adjusted %]]*$C$92</f>
        <v>1816.676884215678</v>
      </c>
      <c r="D18" s="17">
        <f>Table7[[#This Row],[Teva Adjusted %]]*$D$92</f>
        <v>3543.6108203601152</v>
      </c>
      <c r="E18" s="17">
        <f>Table7[[#This Row],[Teva Adjusted %]]*$E$92</f>
        <v>3803.1366989526628</v>
      </c>
      <c r="F18" s="17">
        <f>Table7[[#This Row],[Teva Adjusted %]]*$F$92</f>
        <v>2757.0436610086031</v>
      </c>
      <c r="G18" s="17">
        <f>Table7[[#This Row],[Teva Adjusted %]]*$G$92</f>
        <v>2757.0436610086031</v>
      </c>
      <c r="H18" s="17">
        <f>Table7[[#This Row],[Teva Adjusted %]]*$H$92</f>
        <v>2926.8265915299094</v>
      </c>
      <c r="I18" s="17">
        <f>Table7[[#This Row],[Teva Adjusted %]]*$I$92</f>
        <v>2926.8265915299094</v>
      </c>
      <c r="J18" s="17">
        <f>Table7[[#This Row],[Teva Adjusted %]]*$J$92</f>
        <v>2926.8265915299094</v>
      </c>
      <c r="K18" s="17">
        <f>Table7[[#This Row],[Teva Adjusted %]]*$K$92</f>
        <v>2926.8265915299094</v>
      </c>
      <c r="L18" s="17">
        <f>Table7[[#This Row],[Teva Adjusted %]]*$L$92</f>
        <v>2926.8265915299094</v>
      </c>
      <c r="M18" s="17">
        <f>Table7[[#This Row],[Teva Adjusted %]]*$M$92</f>
        <v>2926.8265915299094</v>
      </c>
      <c r="N18" s="17">
        <f>Table7[[#This Row],[Teva Adjusted %]]*$N$92</f>
        <v>2926.8265915299094</v>
      </c>
      <c r="O18" s="17">
        <f>Table7[[#This Row],[Teva Adjusted %]]*$O$92</f>
        <v>2926.8265915299094</v>
      </c>
      <c r="P18" s="17">
        <f>SUM(Table7[[#This Row],[Payment 1]:[Payment 13]])</f>
        <v>38092.124457784943</v>
      </c>
    </row>
    <row r="19" spans="1:16" x14ac:dyDescent="0.3">
      <c r="A19" t="s">
        <v>136</v>
      </c>
      <c r="B19">
        <v>2.0785566573142396E-3</v>
      </c>
      <c r="C19" s="17">
        <f>Table7[[#This Row],[Teva Adjusted %]]*$C$92</f>
        <v>1508.9031540365036</v>
      </c>
      <c r="D19" s="17">
        <f>Table7[[#This Row],[Teva Adjusted %]]*$D$92</f>
        <v>2943.2672314910469</v>
      </c>
      <c r="E19" s="17">
        <f>Table7[[#This Row],[Teva Adjusted %]]*$E$92</f>
        <v>3158.8253310985378</v>
      </c>
      <c r="F19" s="17">
        <f>Table7[[#This Row],[Teva Adjusted %]]*$F$92</f>
        <v>2289.9569604576618</v>
      </c>
      <c r="G19" s="17">
        <f>Table7[[#This Row],[Teva Adjusted %]]*$G$92</f>
        <v>2289.9569604576618</v>
      </c>
      <c r="H19" s="17">
        <f>Table7[[#This Row],[Teva Adjusted %]]*$H$92</f>
        <v>2430.9759834831925</v>
      </c>
      <c r="I19" s="17">
        <f>Table7[[#This Row],[Teva Adjusted %]]*$I$92</f>
        <v>2430.9759834831925</v>
      </c>
      <c r="J19" s="17">
        <f>Table7[[#This Row],[Teva Adjusted %]]*$J$92</f>
        <v>2430.9759834831925</v>
      </c>
      <c r="K19" s="17">
        <f>Table7[[#This Row],[Teva Adjusted %]]*$K$92</f>
        <v>2430.9759834831925</v>
      </c>
      <c r="L19" s="17">
        <f>Table7[[#This Row],[Teva Adjusted %]]*$L$92</f>
        <v>2430.9759834831925</v>
      </c>
      <c r="M19" s="17">
        <f>Table7[[#This Row],[Teva Adjusted %]]*$M$92</f>
        <v>2430.9759834831925</v>
      </c>
      <c r="N19" s="17">
        <f>Table7[[#This Row],[Teva Adjusted %]]*$N$92</f>
        <v>2430.9759834831925</v>
      </c>
      <c r="O19" s="17">
        <f>Table7[[#This Row],[Teva Adjusted %]]*$O$92</f>
        <v>2430.9759834831925</v>
      </c>
      <c r="P19" s="17">
        <f>SUM(Table7[[#This Row],[Payment 1]:[Payment 13]])</f>
        <v>31638.717505406956</v>
      </c>
    </row>
    <row r="20" spans="1:16" x14ac:dyDescent="0.3">
      <c r="A20" t="s">
        <v>137</v>
      </c>
      <c r="B20">
        <v>4.3252563000480979E-3</v>
      </c>
      <c r="C20" s="17">
        <f>Table7[[#This Row],[Teva Adjusted %]]*$C$92</f>
        <v>3139.8676818325293</v>
      </c>
      <c r="D20" s="17">
        <f>Table7[[#This Row],[Teva Adjusted %]]*$D$92</f>
        <v>6124.6274384365624</v>
      </c>
      <c r="E20" s="17">
        <f>Table7[[#This Row],[Teva Adjusted %]]*$E$92</f>
        <v>6573.1810177065172</v>
      </c>
      <c r="F20" s="17">
        <f>Table7[[#This Row],[Teva Adjusted %]]*$F$92</f>
        <v>4765.1579451563121</v>
      </c>
      <c r="G20" s="17">
        <f>Table7[[#This Row],[Teva Adjusted %]]*$G$92</f>
        <v>4765.1579451563121</v>
      </c>
      <c r="H20" s="17">
        <f>Table7[[#This Row],[Teva Adjusted %]]*$H$92</f>
        <v>5058.6035991977706</v>
      </c>
      <c r="I20" s="17">
        <f>Table7[[#This Row],[Teva Adjusted %]]*$I$92</f>
        <v>5058.6035991977706</v>
      </c>
      <c r="J20" s="17">
        <f>Table7[[#This Row],[Teva Adjusted %]]*$J$92</f>
        <v>5058.6035991977706</v>
      </c>
      <c r="K20" s="17">
        <f>Table7[[#This Row],[Teva Adjusted %]]*$K$92</f>
        <v>5058.6035991977706</v>
      </c>
      <c r="L20" s="17">
        <f>Table7[[#This Row],[Teva Adjusted %]]*$L$92</f>
        <v>5058.6035991977706</v>
      </c>
      <c r="M20" s="17">
        <f>Table7[[#This Row],[Teva Adjusted %]]*$M$92</f>
        <v>5058.6035991977706</v>
      </c>
      <c r="N20" s="17">
        <f>Table7[[#This Row],[Teva Adjusted %]]*$N$92</f>
        <v>5058.6035991977706</v>
      </c>
      <c r="O20" s="17">
        <f>Table7[[#This Row],[Teva Adjusted %]]*$O$92</f>
        <v>5058.6035991977706</v>
      </c>
      <c r="P20" s="17">
        <f>SUM(Table7[[#This Row],[Payment 1]:[Payment 13]])</f>
        <v>65836.820821870395</v>
      </c>
    </row>
    <row r="21" spans="1:16" x14ac:dyDescent="0.3">
      <c r="A21" t="s">
        <v>138</v>
      </c>
      <c r="B21">
        <v>1.733851293767948E-2</v>
      </c>
      <c r="C21" s="17">
        <f>Table7[[#This Row],[Teva Adjusted %]]*$C$92</f>
        <v>12586.684498546269</v>
      </c>
      <c r="D21" s="17">
        <f>Table7[[#This Row],[Teva Adjusted %]]*$D$92</f>
        <v>24551.592949212787</v>
      </c>
      <c r="E21" s="17">
        <f>Table7[[#This Row],[Teva Adjusted %]]*$E$92</f>
        <v>26349.694957023992</v>
      </c>
      <c r="F21" s="17">
        <f>Table7[[#This Row],[Teva Adjusted %]]*$F$92</f>
        <v>19101.932221047831</v>
      </c>
      <c r="G21" s="17">
        <f>Table7[[#This Row],[Teva Adjusted %]]*$G$92</f>
        <v>19101.932221047831</v>
      </c>
      <c r="H21" s="17">
        <f>Table7[[#This Row],[Teva Adjusted %]]*$H$92</f>
        <v>20278.258180979283</v>
      </c>
      <c r="I21" s="17">
        <f>Table7[[#This Row],[Teva Adjusted %]]*$I$92</f>
        <v>20278.258180979283</v>
      </c>
      <c r="J21" s="17">
        <f>Table7[[#This Row],[Teva Adjusted %]]*$J$92</f>
        <v>20278.258180979283</v>
      </c>
      <c r="K21" s="17">
        <f>Table7[[#This Row],[Teva Adjusted %]]*$K$92</f>
        <v>20278.258180979283</v>
      </c>
      <c r="L21" s="17">
        <f>Table7[[#This Row],[Teva Adjusted %]]*$L$92</f>
        <v>20278.258180979283</v>
      </c>
      <c r="M21" s="17">
        <f>Table7[[#This Row],[Teva Adjusted %]]*$M$92</f>
        <v>20278.258180979283</v>
      </c>
      <c r="N21" s="17">
        <f>Table7[[#This Row],[Teva Adjusted %]]*$N$92</f>
        <v>20278.258180979283</v>
      </c>
      <c r="O21" s="17">
        <f>Table7[[#This Row],[Teva Adjusted %]]*$O$92</f>
        <v>20278.258180979283</v>
      </c>
      <c r="P21" s="17">
        <f>SUM(Table7[[#This Row],[Payment 1]:[Payment 13]])</f>
        <v>263917.90229471301</v>
      </c>
    </row>
    <row r="22" spans="1:16" x14ac:dyDescent="0.3">
      <c r="A22" t="s">
        <v>139</v>
      </c>
      <c r="B22">
        <v>1.913819162930578E-2</v>
      </c>
      <c r="C22" s="17">
        <f>Table7[[#This Row],[Teva Adjusted %]]*$C$92</f>
        <v>13893.139554506128</v>
      </c>
      <c r="D22" s="17">
        <f>Table7[[#This Row],[Teva Adjusted %]]*$D$92</f>
        <v>27099.964821414091</v>
      </c>
      <c r="E22" s="17">
        <f>Table7[[#This Row],[Teva Adjusted %]]*$E$92</f>
        <v>29084.703704051852</v>
      </c>
      <c r="F22" s="17">
        <f>Table7[[#This Row],[Teva Adjusted %]]*$F$92</f>
        <v>21084.647838625504</v>
      </c>
      <c r="G22" s="17">
        <f>Table7[[#This Row],[Teva Adjusted %]]*$G$92</f>
        <v>21084.647838625504</v>
      </c>
      <c r="H22" s="17">
        <f>Table7[[#This Row],[Teva Adjusted %]]*$H$92</f>
        <v>22383.072433665093</v>
      </c>
      <c r="I22" s="17">
        <f>Table7[[#This Row],[Teva Adjusted %]]*$I$92</f>
        <v>22383.072433665093</v>
      </c>
      <c r="J22" s="17">
        <f>Table7[[#This Row],[Teva Adjusted %]]*$J$92</f>
        <v>22383.072433665093</v>
      </c>
      <c r="K22" s="17">
        <f>Table7[[#This Row],[Teva Adjusted %]]*$K$92</f>
        <v>22383.072433665093</v>
      </c>
      <c r="L22" s="17">
        <f>Table7[[#This Row],[Teva Adjusted %]]*$L$92</f>
        <v>22383.072433665093</v>
      </c>
      <c r="M22" s="17">
        <f>Table7[[#This Row],[Teva Adjusted %]]*$M$92</f>
        <v>22383.072433665093</v>
      </c>
      <c r="N22" s="17">
        <f>Table7[[#This Row],[Teva Adjusted %]]*$N$92</f>
        <v>22383.072433665093</v>
      </c>
      <c r="O22" s="17">
        <f>Table7[[#This Row],[Teva Adjusted %]]*$O$92</f>
        <v>22383.072433665093</v>
      </c>
      <c r="P22" s="17">
        <f>SUM(Table7[[#This Row],[Payment 1]:[Payment 13]])</f>
        <v>291311.68322654389</v>
      </c>
    </row>
    <row r="23" spans="1:16" x14ac:dyDescent="0.3">
      <c r="A23" t="s">
        <v>140</v>
      </c>
      <c r="B23">
        <v>3.8545546550230105E-2</v>
      </c>
      <c r="C23" s="17">
        <f>Table7[[#This Row],[Teva Adjusted %]]*$C$92</f>
        <v>27981.674956532166</v>
      </c>
      <c r="D23" s="17">
        <f>Table7[[#This Row],[Teva Adjusted %]]*$D$92</f>
        <v>54581.06887872699</v>
      </c>
      <c r="E23" s="17">
        <f>Table7[[#This Row],[Teva Adjusted %]]*$E$92</f>
        <v>58578.460402052464</v>
      </c>
      <c r="F23" s="17">
        <f>Table7[[#This Row],[Teva Adjusted %]]*$F$92</f>
        <v>42465.834311871637</v>
      </c>
      <c r="G23" s="17">
        <f>Table7[[#This Row],[Teva Adjusted %]]*$G$92</f>
        <v>42465.834311871637</v>
      </c>
      <c r="H23" s="17">
        <f>Table7[[#This Row],[Teva Adjusted %]]*$H$92</f>
        <v>45080.944800859754</v>
      </c>
      <c r="I23" s="17">
        <f>Table7[[#This Row],[Teva Adjusted %]]*$I$92</f>
        <v>45080.944800859754</v>
      </c>
      <c r="J23" s="17">
        <f>Table7[[#This Row],[Teva Adjusted %]]*$J$92</f>
        <v>45080.944800859754</v>
      </c>
      <c r="K23" s="17">
        <f>Table7[[#This Row],[Teva Adjusted %]]*$K$92</f>
        <v>45080.944800859754</v>
      </c>
      <c r="L23" s="17">
        <f>Table7[[#This Row],[Teva Adjusted %]]*$L$92</f>
        <v>45080.944800859754</v>
      </c>
      <c r="M23" s="17">
        <f>Table7[[#This Row],[Teva Adjusted %]]*$M$92</f>
        <v>45080.944800859754</v>
      </c>
      <c r="N23" s="17">
        <f>Table7[[#This Row],[Teva Adjusted %]]*$N$92</f>
        <v>45080.944800859754</v>
      </c>
      <c r="O23" s="17">
        <f>Table7[[#This Row],[Teva Adjusted %]]*$O$92</f>
        <v>45080.944800859754</v>
      </c>
      <c r="P23" s="17">
        <f>SUM(Table7[[#This Row],[Payment 1]:[Payment 13]])</f>
        <v>586720.43126793311</v>
      </c>
    </row>
    <row r="24" spans="1:16" x14ac:dyDescent="0.3">
      <c r="A24" t="s">
        <v>141</v>
      </c>
      <c r="B24">
        <v>0</v>
      </c>
      <c r="C24" s="17">
        <f>Table7[[#This Row],[Teva Adjusted %]]*$C$92</f>
        <v>0</v>
      </c>
      <c r="D24" s="17">
        <f>Table7[[#This Row],[Teva Adjusted %]]*$D$92</f>
        <v>0</v>
      </c>
      <c r="E24" s="17">
        <f>Table7[[#This Row],[Teva Adjusted %]]*$E$92</f>
        <v>0</v>
      </c>
      <c r="F24" s="17">
        <f>Table7[[#This Row],[Teva Adjusted %]]*$F$92</f>
        <v>0</v>
      </c>
      <c r="G24" s="17">
        <f>Table7[[#This Row],[Teva Adjusted %]]*$G$92</f>
        <v>0</v>
      </c>
      <c r="H24" s="17">
        <f>Table7[[#This Row],[Teva Adjusted %]]*$H$92</f>
        <v>0</v>
      </c>
      <c r="I24" s="17">
        <f>Table7[[#This Row],[Teva Adjusted %]]*$I$92</f>
        <v>0</v>
      </c>
      <c r="J24" s="17">
        <f>Table7[[#This Row],[Teva Adjusted %]]*$J$92</f>
        <v>0</v>
      </c>
      <c r="K24" s="17">
        <f>Table7[[#This Row],[Teva Adjusted %]]*$K$92</f>
        <v>0</v>
      </c>
      <c r="L24" s="17">
        <f>Table7[[#This Row],[Teva Adjusted %]]*$L$92</f>
        <v>0</v>
      </c>
      <c r="M24" s="17">
        <f>Table7[[#This Row],[Teva Adjusted %]]*$M$92</f>
        <v>0</v>
      </c>
      <c r="N24" s="17">
        <f>Table7[[#This Row],[Teva Adjusted %]]*$N$92</f>
        <v>0</v>
      </c>
      <c r="O24" s="17">
        <f>Table7[[#This Row],[Teva Adjusted %]]*$O$92</f>
        <v>0</v>
      </c>
      <c r="P24" s="17">
        <f>SUM(Table7[[#This Row],[Payment 1]:[Payment 13]])</f>
        <v>0</v>
      </c>
    </row>
    <row r="25" spans="1:16" x14ac:dyDescent="0.3">
      <c r="A25" t="s">
        <v>142</v>
      </c>
      <c r="B25">
        <v>1.7733279812563826E-2</v>
      </c>
      <c r="C25" s="17">
        <f>Table7[[#This Row],[Teva Adjusted %]]*$C$92</f>
        <v>12873.260753528801</v>
      </c>
      <c r="D25" s="17">
        <f>Table7[[#This Row],[Teva Adjusted %]]*$D$92</f>
        <v>25110.588732578417</v>
      </c>
      <c r="E25" s="17">
        <f>Table7[[#This Row],[Teva Adjusted %]]*$E$92</f>
        <v>26949.63030152144</v>
      </c>
      <c r="F25" s="17">
        <f>Table7[[#This Row],[Teva Adjusted %]]*$F$92</f>
        <v>19536.848993568052</v>
      </c>
      <c r="G25" s="17">
        <f>Table7[[#This Row],[Teva Adjusted %]]*$G$92</f>
        <v>19536.848993568052</v>
      </c>
      <c r="H25" s="17">
        <f>Table7[[#This Row],[Teva Adjusted %]]*$H$92</f>
        <v>20739.957788031887</v>
      </c>
      <c r="I25" s="17">
        <f>Table7[[#This Row],[Teva Adjusted %]]*$I$92</f>
        <v>20739.957788031887</v>
      </c>
      <c r="J25" s="17">
        <f>Table7[[#This Row],[Teva Adjusted %]]*$J$92</f>
        <v>20739.957788031887</v>
      </c>
      <c r="K25" s="17">
        <f>Table7[[#This Row],[Teva Adjusted %]]*$K$92</f>
        <v>20739.957788031887</v>
      </c>
      <c r="L25" s="17">
        <f>Table7[[#This Row],[Teva Adjusted %]]*$L$92</f>
        <v>20739.957788031887</v>
      </c>
      <c r="M25" s="17">
        <f>Table7[[#This Row],[Teva Adjusted %]]*$M$92</f>
        <v>20739.957788031887</v>
      </c>
      <c r="N25" s="17">
        <f>Table7[[#This Row],[Teva Adjusted %]]*$N$92</f>
        <v>20739.957788031887</v>
      </c>
      <c r="O25" s="17">
        <f>Table7[[#This Row],[Teva Adjusted %]]*$O$92</f>
        <v>20739.957788031887</v>
      </c>
      <c r="P25" s="17">
        <f>SUM(Table7[[#This Row],[Payment 1]:[Payment 13]])</f>
        <v>269926.84007901989</v>
      </c>
    </row>
    <row r="26" spans="1:16" x14ac:dyDescent="0.3">
      <c r="A26" t="s">
        <v>143</v>
      </c>
      <c r="B26">
        <v>2.6734909638253531E-2</v>
      </c>
      <c r="C26" s="17">
        <f>Table7[[#This Row],[Teva Adjusted %]]*$C$92</f>
        <v>19407.885435351374</v>
      </c>
      <c r="D26" s="17">
        <f>Table7[[#This Row],[Teva Adjusted %]]*$D$92</f>
        <v>37857.030838322535</v>
      </c>
      <c r="E26" s="17">
        <f>Table7[[#This Row],[Teva Adjusted %]]*$E$92</f>
        <v>40629.592411046935</v>
      </c>
      <c r="F26" s="17">
        <f>Table7[[#This Row],[Teva Adjusted %]]*$F$92</f>
        <v>29453.992604864412</v>
      </c>
      <c r="G26" s="17">
        <f>Table7[[#This Row],[Teva Adjusted %]]*$G$92</f>
        <v>29453.992604864412</v>
      </c>
      <c r="H26" s="17">
        <f>Table7[[#This Row],[Teva Adjusted %]]*$H$92</f>
        <v>31267.814145208587</v>
      </c>
      <c r="I26" s="17">
        <f>Table7[[#This Row],[Teva Adjusted %]]*$I$92</f>
        <v>31267.814145208587</v>
      </c>
      <c r="J26" s="17">
        <f>Table7[[#This Row],[Teva Adjusted %]]*$J$92</f>
        <v>31267.814145208587</v>
      </c>
      <c r="K26" s="17">
        <f>Table7[[#This Row],[Teva Adjusted %]]*$K$92</f>
        <v>31267.814145208587</v>
      </c>
      <c r="L26" s="17">
        <f>Table7[[#This Row],[Teva Adjusted %]]*$L$92</f>
        <v>31267.814145208587</v>
      </c>
      <c r="M26" s="17">
        <f>Table7[[#This Row],[Teva Adjusted %]]*$M$92</f>
        <v>31267.814145208587</v>
      </c>
      <c r="N26" s="17">
        <f>Table7[[#This Row],[Teva Adjusted %]]*$N$92</f>
        <v>31267.814145208587</v>
      </c>
      <c r="O26" s="17">
        <f>Table7[[#This Row],[Teva Adjusted %]]*$O$92</f>
        <v>31267.814145208587</v>
      </c>
      <c r="P26" s="17">
        <f>SUM(Table7[[#This Row],[Payment 1]:[Payment 13]])</f>
        <v>406945.00705611834</v>
      </c>
    </row>
    <row r="27" spans="1:16" x14ac:dyDescent="0.3">
      <c r="A27" t="s">
        <v>144</v>
      </c>
      <c r="B27">
        <v>2.2098443192059843E-2</v>
      </c>
      <c r="C27" s="17">
        <f>Table7[[#This Row],[Teva Adjusted %]]*$C$92</f>
        <v>16042.098498715368</v>
      </c>
      <c r="D27" s="17">
        <f>Table7[[#This Row],[Teva Adjusted %]]*$D$92</f>
        <v>31291.725190786103</v>
      </c>
      <c r="E27" s="17">
        <f>Table7[[#This Row],[Teva Adjusted %]]*$E$92</f>
        <v>33583.458929196473</v>
      </c>
      <c r="F27" s="17">
        <f>Table7[[#This Row],[Teva Adjusted %]]*$F$92</f>
        <v>24345.972781094704</v>
      </c>
      <c r="G27" s="17">
        <f>Table7[[#This Row],[Teva Adjusted %]]*$G$92</f>
        <v>24345.972781094704</v>
      </c>
      <c r="H27" s="17">
        <f>Table7[[#This Row],[Teva Adjusted %]]*$H$92</f>
        <v>25845.234712860434</v>
      </c>
      <c r="I27" s="17">
        <f>Table7[[#This Row],[Teva Adjusted %]]*$I$92</f>
        <v>25845.234712860434</v>
      </c>
      <c r="J27" s="17">
        <f>Table7[[#This Row],[Teva Adjusted %]]*$J$92</f>
        <v>25845.234712860434</v>
      </c>
      <c r="K27" s="17">
        <f>Table7[[#This Row],[Teva Adjusted %]]*$K$92</f>
        <v>25845.234712860434</v>
      </c>
      <c r="L27" s="17">
        <f>Table7[[#This Row],[Teva Adjusted %]]*$L$92</f>
        <v>25845.234712860434</v>
      </c>
      <c r="M27" s="17">
        <f>Table7[[#This Row],[Teva Adjusted %]]*$M$92</f>
        <v>25845.234712860434</v>
      </c>
      <c r="N27" s="17">
        <f>Table7[[#This Row],[Teva Adjusted %]]*$N$92</f>
        <v>25845.234712860434</v>
      </c>
      <c r="O27" s="17">
        <f>Table7[[#This Row],[Teva Adjusted %]]*$O$92</f>
        <v>25845.234712860434</v>
      </c>
      <c r="P27" s="17">
        <f>SUM(Table7[[#This Row],[Payment 1]:[Payment 13]])</f>
        <v>336371.1058837708</v>
      </c>
    </row>
    <row r="28" spans="1:16" x14ac:dyDescent="0.3">
      <c r="A28" t="s">
        <v>145</v>
      </c>
      <c r="B28">
        <v>3.3313088948785392E-3</v>
      </c>
      <c r="C28" s="17">
        <f>Table7[[#This Row],[Teva Adjusted %]]*$C$92</f>
        <v>2418.3235423792221</v>
      </c>
      <c r="D28" s="17">
        <f>Table7[[#This Row],[Teva Adjusted %]]*$D$92</f>
        <v>4717.1830865269176</v>
      </c>
      <c r="E28" s="17">
        <f>Table7[[#This Row],[Teva Adjusted %]]*$E$92</f>
        <v>5062.6586895414703</v>
      </c>
      <c r="F28" s="17">
        <f>Table7[[#This Row],[Teva Adjusted %]]*$F$92</f>
        <v>3670.1207852177085</v>
      </c>
      <c r="G28" s="17">
        <f>Table7[[#This Row],[Teva Adjusted %]]*$G$92</f>
        <v>3670.1207852177085</v>
      </c>
      <c r="H28" s="17">
        <f>Table7[[#This Row],[Teva Adjusted %]]*$H$92</f>
        <v>3896.1323900007333</v>
      </c>
      <c r="I28" s="17">
        <f>Table7[[#This Row],[Teva Adjusted %]]*$I$92</f>
        <v>3896.1323900007333</v>
      </c>
      <c r="J28" s="17">
        <f>Table7[[#This Row],[Teva Adjusted %]]*$J$92</f>
        <v>3896.1323900007333</v>
      </c>
      <c r="K28" s="17">
        <f>Table7[[#This Row],[Teva Adjusted %]]*$K$92</f>
        <v>3896.1323900007333</v>
      </c>
      <c r="L28" s="17">
        <f>Table7[[#This Row],[Teva Adjusted %]]*$L$92</f>
        <v>3896.1323900007333</v>
      </c>
      <c r="M28" s="17">
        <f>Table7[[#This Row],[Teva Adjusted %]]*$M$92</f>
        <v>3896.1323900007333</v>
      </c>
      <c r="N28" s="17">
        <f>Table7[[#This Row],[Teva Adjusted %]]*$N$92</f>
        <v>3896.1323900007333</v>
      </c>
      <c r="O28" s="17">
        <f>Table7[[#This Row],[Teva Adjusted %]]*$O$92</f>
        <v>3896.1323900007333</v>
      </c>
      <c r="P28" s="17">
        <f>SUM(Table7[[#This Row],[Payment 1]:[Payment 13]])</f>
        <v>50707.466008888892</v>
      </c>
    </row>
    <row r="29" spans="1:16" x14ac:dyDescent="0.3">
      <c r="A29" t="s">
        <v>146</v>
      </c>
      <c r="B29">
        <v>1.1842930895485573E-2</v>
      </c>
      <c r="C29" s="17">
        <f>Table7[[#This Row],[Teva Adjusted %]]*$C$92</f>
        <v>8597.2329492931131</v>
      </c>
      <c r="D29" s="17">
        <f>Table7[[#This Row],[Teva Adjusted %]]*$D$92</f>
        <v>16769.766802765524</v>
      </c>
      <c r="E29" s="17">
        <f>Table7[[#This Row],[Teva Adjusted %]]*$E$92</f>
        <v>17997.945822389796</v>
      </c>
      <c r="F29" s="17">
        <f>Table7[[#This Row],[Teva Adjusted %]]*$F$92</f>
        <v>13047.420160958482</v>
      </c>
      <c r="G29" s="17">
        <f>Table7[[#This Row],[Teva Adjusted %]]*$G$92</f>
        <v>13047.420160958482</v>
      </c>
      <c r="H29" s="17">
        <f>Table7[[#This Row],[Teva Adjusted %]]*$H$92</f>
        <v>13850.90008476205</v>
      </c>
      <c r="I29" s="17">
        <f>Table7[[#This Row],[Teva Adjusted %]]*$I$92</f>
        <v>13850.90008476205</v>
      </c>
      <c r="J29" s="17">
        <f>Table7[[#This Row],[Teva Adjusted %]]*$J$92</f>
        <v>13850.90008476205</v>
      </c>
      <c r="K29" s="17">
        <f>Table7[[#This Row],[Teva Adjusted %]]*$K$92</f>
        <v>13850.90008476205</v>
      </c>
      <c r="L29" s="17">
        <f>Table7[[#This Row],[Teva Adjusted %]]*$L$92</f>
        <v>13850.90008476205</v>
      </c>
      <c r="M29" s="17">
        <f>Table7[[#This Row],[Teva Adjusted %]]*$M$92</f>
        <v>13850.90008476205</v>
      </c>
      <c r="N29" s="17">
        <f>Table7[[#This Row],[Teva Adjusted %]]*$N$92</f>
        <v>13850.90008476205</v>
      </c>
      <c r="O29" s="17">
        <f>Table7[[#This Row],[Teva Adjusted %]]*$O$92</f>
        <v>13850.90008476205</v>
      </c>
      <c r="P29" s="17">
        <f>SUM(Table7[[#This Row],[Payment 1]:[Payment 13]])</f>
        <v>180266.9865744618</v>
      </c>
    </row>
    <row r="30" spans="1:16" x14ac:dyDescent="0.3">
      <c r="A30" t="s">
        <v>147</v>
      </c>
      <c r="B30">
        <v>2.3852423100627941E-2</v>
      </c>
      <c r="C30" s="17">
        <f>Table7[[#This Row],[Teva Adjusted %]]*$C$92</f>
        <v>17315.379073888522</v>
      </c>
      <c r="D30" s="17">
        <f>Table7[[#This Row],[Teva Adjusted %]]*$D$92</f>
        <v>33775.386904512336</v>
      </c>
      <c r="E30" s="17">
        <f>Table7[[#This Row],[Teva Adjusted %]]*$E$92</f>
        <v>36249.018295079652</v>
      </c>
      <c r="F30" s="17">
        <f>Table7[[#This Row],[Teva Adjusted %]]*$F$92</f>
        <v>26278.34180553029</v>
      </c>
      <c r="G30" s="17">
        <f>Table7[[#This Row],[Teva Adjusted %]]*$G$92</f>
        <v>26278.34180553029</v>
      </c>
      <c r="H30" s="17">
        <f>Table7[[#This Row],[Teva Adjusted %]]*$H$92</f>
        <v>27896.601952832894</v>
      </c>
      <c r="I30" s="17">
        <f>Table7[[#This Row],[Teva Adjusted %]]*$I$92</f>
        <v>27896.601952832894</v>
      </c>
      <c r="J30" s="17">
        <f>Table7[[#This Row],[Teva Adjusted %]]*$J$92</f>
        <v>27896.601952832894</v>
      </c>
      <c r="K30" s="17">
        <f>Table7[[#This Row],[Teva Adjusted %]]*$K$92</f>
        <v>27896.601952832894</v>
      </c>
      <c r="L30" s="17">
        <f>Table7[[#This Row],[Teva Adjusted %]]*$L$92</f>
        <v>27896.601952832894</v>
      </c>
      <c r="M30" s="17">
        <f>Table7[[#This Row],[Teva Adjusted %]]*$M$92</f>
        <v>27896.601952832894</v>
      </c>
      <c r="N30" s="17">
        <f>Table7[[#This Row],[Teva Adjusted %]]*$N$92</f>
        <v>27896.601952832894</v>
      </c>
      <c r="O30" s="17">
        <f>Table7[[#This Row],[Teva Adjusted %]]*$O$92</f>
        <v>27896.601952832894</v>
      </c>
      <c r="P30" s="17">
        <f>SUM(Table7[[#This Row],[Payment 1]:[Payment 13]])</f>
        <v>363069.28350720421</v>
      </c>
    </row>
    <row r="31" spans="1:16" x14ac:dyDescent="0.3">
      <c r="A31" t="s">
        <v>148</v>
      </c>
      <c r="B31">
        <v>9.3460507824176791E-3</v>
      </c>
      <c r="C31" s="17">
        <f>Table7[[#This Row],[Teva Adjusted %]]*$C$92</f>
        <v>6784.6529243024434</v>
      </c>
      <c r="D31" s="17">
        <f>Table7[[#This Row],[Teva Adjusted %]]*$D$92</f>
        <v>13234.147318016803</v>
      </c>
      <c r="E31" s="17">
        <f>Table7[[#This Row],[Teva Adjusted %]]*$E$92</f>
        <v>14203.385726026429</v>
      </c>
      <c r="F31" s="17">
        <f>Table7[[#This Row],[Teva Adjusted %]]*$F$92</f>
        <v>10296.594017139916</v>
      </c>
      <c r="G31" s="17">
        <f>Table7[[#This Row],[Teva Adjusted %]]*$G$92</f>
        <v>10296.594017139916</v>
      </c>
      <c r="H31" s="17">
        <f>Table7[[#This Row],[Teva Adjusted %]]*$H$92</f>
        <v>10930.673894561454</v>
      </c>
      <c r="I31" s="17">
        <f>Table7[[#This Row],[Teva Adjusted %]]*$I$92</f>
        <v>10930.673894561454</v>
      </c>
      <c r="J31" s="17">
        <f>Table7[[#This Row],[Teva Adjusted %]]*$J$92</f>
        <v>10930.673894561454</v>
      </c>
      <c r="K31" s="17">
        <f>Table7[[#This Row],[Teva Adjusted %]]*$K$92</f>
        <v>10930.673894561454</v>
      </c>
      <c r="L31" s="17">
        <f>Table7[[#This Row],[Teva Adjusted %]]*$L$92</f>
        <v>10930.673894561454</v>
      </c>
      <c r="M31" s="17">
        <f>Table7[[#This Row],[Teva Adjusted %]]*$M$92</f>
        <v>10930.673894561454</v>
      </c>
      <c r="N31" s="17">
        <f>Table7[[#This Row],[Teva Adjusted %]]*$N$92</f>
        <v>10930.673894561454</v>
      </c>
      <c r="O31" s="17">
        <f>Table7[[#This Row],[Teva Adjusted %]]*$O$92</f>
        <v>10930.673894561454</v>
      </c>
      <c r="P31" s="17">
        <f>SUM(Table7[[#This Row],[Payment 1]:[Payment 13]])</f>
        <v>142260.76515911709</v>
      </c>
    </row>
    <row r="32" spans="1:16" x14ac:dyDescent="0.3">
      <c r="A32" t="s">
        <v>149</v>
      </c>
      <c r="B32">
        <v>1.5488258307130175E-2</v>
      </c>
      <c r="C32" s="17">
        <f>Table7[[#This Row],[Teva Adjusted %]]*$C$92</f>
        <v>11243.514449280485</v>
      </c>
      <c r="D32" s="17">
        <f>Table7[[#This Row],[Teva Adjusted %]]*$D$92</f>
        <v>21931.604793081886</v>
      </c>
      <c r="E32" s="17">
        <f>Table7[[#This Row],[Teva Adjusted %]]*$E$92</f>
        <v>23537.824914706493</v>
      </c>
      <c r="F32" s="17">
        <f>Table7[[#This Row],[Teva Adjusted %]]*$F$92</f>
        <v>17063.496821687513</v>
      </c>
      <c r="G32" s="17">
        <f>Table7[[#This Row],[Teva Adjusted %]]*$G$92</f>
        <v>17063.496821687513</v>
      </c>
      <c r="H32" s="17">
        <f>Table7[[#This Row],[Teva Adjusted %]]*$H$92</f>
        <v>18114.292837833036</v>
      </c>
      <c r="I32" s="17">
        <f>Table7[[#This Row],[Teva Adjusted %]]*$I$92</f>
        <v>18114.292837833036</v>
      </c>
      <c r="J32" s="17">
        <f>Table7[[#This Row],[Teva Adjusted %]]*$J$92</f>
        <v>18114.292837833036</v>
      </c>
      <c r="K32" s="17">
        <f>Table7[[#This Row],[Teva Adjusted %]]*$K$92</f>
        <v>18114.292837833036</v>
      </c>
      <c r="L32" s="17">
        <f>Table7[[#This Row],[Teva Adjusted %]]*$L$92</f>
        <v>18114.292837833036</v>
      </c>
      <c r="M32" s="17">
        <f>Table7[[#This Row],[Teva Adjusted %]]*$M$92</f>
        <v>18114.292837833036</v>
      </c>
      <c r="N32" s="17">
        <f>Table7[[#This Row],[Teva Adjusted %]]*$N$92</f>
        <v>18114.292837833036</v>
      </c>
      <c r="O32" s="17">
        <f>Table7[[#This Row],[Teva Adjusted %]]*$O$92</f>
        <v>18114.292837833036</v>
      </c>
      <c r="P32" s="17">
        <f>SUM(Table7[[#This Row],[Payment 1]:[Payment 13]])</f>
        <v>235754.28050310814</v>
      </c>
    </row>
    <row r="33" spans="1:16" x14ac:dyDescent="0.3">
      <c r="A33" t="s">
        <v>150</v>
      </c>
      <c r="B33">
        <v>1.2940796528898662E-2</v>
      </c>
      <c r="C33" s="17">
        <f>Table7[[#This Row],[Teva Adjusted %]]*$C$92</f>
        <v>9394.2152740885304</v>
      </c>
      <c r="D33" s="17">
        <f>Table7[[#This Row],[Teva Adjusted %]]*$D$92</f>
        <v>18324.360915961443</v>
      </c>
      <c r="E33" s="17">
        <f>Table7[[#This Row],[Teva Adjusted %]]*$E$92</f>
        <v>19666.394820767768</v>
      </c>
      <c r="F33" s="17">
        <f>Table7[[#This Row],[Teva Adjusted %]]*$F$92</f>
        <v>14256.944587456461</v>
      </c>
      <c r="G33" s="17">
        <f>Table7[[#This Row],[Teva Adjusted %]]*$G$92</f>
        <v>14256.944587456461</v>
      </c>
      <c r="H33" s="17">
        <f>Table7[[#This Row],[Teva Adjusted %]]*$H$92</f>
        <v>15134.908860047168</v>
      </c>
      <c r="I33" s="17">
        <f>Table7[[#This Row],[Teva Adjusted %]]*$I$92</f>
        <v>15134.908860047168</v>
      </c>
      <c r="J33" s="17">
        <f>Table7[[#This Row],[Teva Adjusted %]]*$J$92</f>
        <v>15134.908860047168</v>
      </c>
      <c r="K33" s="17">
        <f>Table7[[#This Row],[Teva Adjusted %]]*$K$92</f>
        <v>15134.908860047168</v>
      </c>
      <c r="L33" s="17">
        <f>Table7[[#This Row],[Teva Adjusted %]]*$L$92</f>
        <v>15134.908860047168</v>
      </c>
      <c r="M33" s="17">
        <f>Table7[[#This Row],[Teva Adjusted %]]*$M$92</f>
        <v>15134.908860047168</v>
      </c>
      <c r="N33" s="17">
        <f>Table7[[#This Row],[Teva Adjusted %]]*$N$92</f>
        <v>15134.908860047168</v>
      </c>
      <c r="O33" s="17">
        <f>Table7[[#This Row],[Teva Adjusted %]]*$O$92</f>
        <v>15134.908860047168</v>
      </c>
      <c r="P33" s="17">
        <f>SUM(Table7[[#This Row],[Payment 1]:[Payment 13]])</f>
        <v>196978.13106610804</v>
      </c>
    </row>
    <row r="34" spans="1:16" x14ac:dyDescent="0.3">
      <c r="A34" t="s">
        <v>151</v>
      </c>
      <c r="B34">
        <v>6.6318403362373296E-2</v>
      </c>
      <c r="C34" s="17">
        <f>Table7[[#This Row],[Teva Adjusted %]]*$C$92</f>
        <v>48143.045633141803</v>
      </c>
      <c r="D34" s="17">
        <f>Table7[[#This Row],[Teva Adjusted %]]*$D$92</f>
        <v>93907.848397788199</v>
      </c>
      <c r="E34" s="17">
        <f>Table7[[#This Row],[Teva Adjusted %]]*$E$92</f>
        <v>100785.44249535193</v>
      </c>
      <c r="F34" s="17">
        <f>Table7[[#This Row],[Teva Adjusted %]]*$F$92</f>
        <v>73063.338856654576</v>
      </c>
      <c r="G34" s="17">
        <f>Table7[[#This Row],[Teva Adjusted %]]*$G$92</f>
        <v>73063.338856654576</v>
      </c>
      <c r="H34" s="17">
        <f>Table7[[#This Row],[Teva Adjusted %]]*$H$92</f>
        <v>77562.69008572289</v>
      </c>
      <c r="I34" s="17">
        <f>Table7[[#This Row],[Teva Adjusted %]]*$I$92</f>
        <v>77562.69008572289</v>
      </c>
      <c r="J34" s="17">
        <f>Table7[[#This Row],[Teva Adjusted %]]*$J$92</f>
        <v>77562.69008572289</v>
      </c>
      <c r="K34" s="17">
        <f>Table7[[#This Row],[Teva Adjusted %]]*$K$92</f>
        <v>77562.69008572289</v>
      </c>
      <c r="L34" s="17">
        <f>Table7[[#This Row],[Teva Adjusted %]]*$L$92</f>
        <v>77562.69008572289</v>
      </c>
      <c r="M34" s="17">
        <f>Table7[[#This Row],[Teva Adjusted %]]*$M$92</f>
        <v>77562.69008572289</v>
      </c>
      <c r="N34" s="17">
        <f>Table7[[#This Row],[Teva Adjusted %]]*$N$92</f>
        <v>77562.69008572289</v>
      </c>
      <c r="O34" s="17">
        <f>Table7[[#This Row],[Teva Adjusted %]]*$O$92</f>
        <v>77562.69008572289</v>
      </c>
      <c r="P34" s="17">
        <f>SUM(Table7[[#This Row],[Payment 1]:[Payment 13]])</f>
        <v>1009464.534925374</v>
      </c>
    </row>
    <row r="35" spans="1:16" x14ac:dyDescent="0.3">
      <c r="A35" t="s">
        <v>152</v>
      </c>
      <c r="B35">
        <v>1.4665624073189684E-2</v>
      </c>
      <c r="C35" s="17">
        <f>Table7[[#This Row],[Teva Adjusted %]]*$C$92</f>
        <v>10646.333041767111</v>
      </c>
      <c r="D35" s="17">
        <f>Table7[[#This Row],[Teva Adjusted %]]*$D$92</f>
        <v>20766.742447020879</v>
      </c>
      <c r="E35" s="17">
        <f>Table7[[#This Row],[Teva Adjusted %]]*$E$92</f>
        <v>22287.650738671411</v>
      </c>
      <c r="F35" s="17">
        <f>Table7[[#This Row],[Teva Adjusted %]]*$F$92</f>
        <v>16157.196296612152</v>
      </c>
      <c r="G35" s="17">
        <f>Table7[[#This Row],[Teva Adjusted %]]*$G$92</f>
        <v>16157.196296612152</v>
      </c>
      <c r="H35" s="17">
        <f>Table7[[#This Row],[Teva Adjusted %]]*$H$92</f>
        <v>17152.180951749338</v>
      </c>
      <c r="I35" s="17">
        <f>Table7[[#This Row],[Teva Adjusted %]]*$I$92</f>
        <v>17152.180951749338</v>
      </c>
      <c r="J35" s="17">
        <f>Table7[[#This Row],[Teva Adjusted %]]*$J$92</f>
        <v>17152.180951749338</v>
      </c>
      <c r="K35" s="17">
        <f>Table7[[#This Row],[Teva Adjusted %]]*$K$92</f>
        <v>17152.180951749338</v>
      </c>
      <c r="L35" s="17">
        <f>Table7[[#This Row],[Teva Adjusted %]]*$L$92</f>
        <v>17152.180951749338</v>
      </c>
      <c r="M35" s="17">
        <f>Table7[[#This Row],[Teva Adjusted %]]*$M$92</f>
        <v>17152.180951749338</v>
      </c>
      <c r="N35" s="17">
        <f>Table7[[#This Row],[Teva Adjusted %]]*$N$92</f>
        <v>17152.180951749338</v>
      </c>
      <c r="O35" s="17">
        <f>Table7[[#This Row],[Teva Adjusted %]]*$O$92</f>
        <v>17152.180951749338</v>
      </c>
      <c r="P35" s="17">
        <f>SUM(Table7[[#This Row],[Payment 1]:[Payment 13]])</f>
        <v>223232.56643467833</v>
      </c>
    </row>
    <row r="36" spans="1:16" x14ac:dyDescent="0.3">
      <c r="A36" t="s">
        <v>153</v>
      </c>
      <c r="B36">
        <v>2.2855273268378349E-3</v>
      </c>
      <c r="C36" s="17">
        <f>Table7[[#This Row],[Teva Adjusted %]]*$C$92</f>
        <v>1659.1510171093003</v>
      </c>
      <c r="D36" s="17">
        <f>Table7[[#This Row],[Teva Adjusted %]]*$D$92</f>
        <v>3236.3407868088443</v>
      </c>
      <c r="E36" s="17">
        <f>Table7[[#This Row],[Teva Adjusted %]]*$E$92</f>
        <v>3473.3629172571609</v>
      </c>
      <c r="F36" s="17">
        <f>Table7[[#This Row],[Teva Adjusted %]]*$F$92</f>
        <v>2517.9776514589594</v>
      </c>
      <c r="G36" s="17">
        <f>Table7[[#This Row],[Teva Adjusted %]]*$G$92</f>
        <v>2517.9776514589594</v>
      </c>
      <c r="H36" s="17">
        <f>Table7[[#This Row],[Teva Adjusted %]]*$H$92</f>
        <v>2673.0385344975193</v>
      </c>
      <c r="I36" s="17">
        <f>Table7[[#This Row],[Teva Adjusted %]]*$I$92</f>
        <v>2673.0385344975193</v>
      </c>
      <c r="J36" s="17">
        <f>Table7[[#This Row],[Teva Adjusted %]]*$J$92</f>
        <v>2673.0385344975193</v>
      </c>
      <c r="K36" s="17">
        <f>Table7[[#This Row],[Teva Adjusted %]]*$K$92</f>
        <v>2673.0385344975193</v>
      </c>
      <c r="L36" s="17">
        <f>Table7[[#This Row],[Teva Adjusted %]]*$L$92</f>
        <v>2673.0385344975193</v>
      </c>
      <c r="M36" s="17">
        <f>Table7[[#This Row],[Teva Adjusted %]]*$M$92</f>
        <v>2673.0385344975193</v>
      </c>
      <c r="N36" s="17">
        <f>Table7[[#This Row],[Teva Adjusted %]]*$N$92</f>
        <v>2673.0385344975193</v>
      </c>
      <c r="O36" s="17">
        <f>Table7[[#This Row],[Teva Adjusted %]]*$O$92</f>
        <v>2673.0385344975193</v>
      </c>
      <c r="P36" s="17">
        <f>SUM(Table7[[#This Row],[Payment 1]:[Payment 13]])</f>
        <v>34789.118300073373</v>
      </c>
    </row>
    <row r="37" spans="1:16" x14ac:dyDescent="0.3">
      <c r="A37" t="s">
        <v>154</v>
      </c>
      <c r="B37">
        <v>8.3142266292569585E-4</v>
      </c>
      <c r="C37" s="17">
        <f>Table7[[#This Row],[Teva Adjusted %]]*$C$92</f>
        <v>603.56126161460145</v>
      </c>
      <c r="D37" s="17">
        <f>Table7[[#This Row],[Teva Adjusted %]]*$D$92</f>
        <v>1177.3068925964187</v>
      </c>
      <c r="E37" s="17">
        <f>Table7[[#This Row],[Teva Adjusted %]]*$E$92</f>
        <v>1263.5301324394152</v>
      </c>
      <c r="F37" s="17">
        <f>Table7[[#This Row],[Teva Adjusted %]]*$F$92</f>
        <v>915.98278418306484</v>
      </c>
      <c r="G37" s="17">
        <f>Table7[[#This Row],[Teva Adjusted %]]*$G$92</f>
        <v>915.98278418306484</v>
      </c>
      <c r="H37" s="17">
        <f>Table7[[#This Row],[Teva Adjusted %]]*$H$92</f>
        <v>972.39039339327701</v>
      </c>
      <c r="I37" s="17">
        <f>Table7[[#This Row],[Teva Adjusted %]]*$I$92</f>
        <v>972.39039339327701</v>
      </c>
      <c r="J37" s="17">
        <f>Table7[[#This Row],[Teva Adjusted %]]*$J$92</f>
        <v>972.39039339327701</v>
      </c>
      <c r="K37" s="17">
        <f>Table7[[#This Row],[Teva Adjusted %]]*$K$92</f>
        <v>972.39039339327701</v>
      </c>
      <c r="L37" s="17">
        <f>Table7[[#This Row],[Teva Adjusted %]]*$L$92</f>
        <v>972.39039339327701</v>
      </c>
      <c r="M37" s="17">
        <f>Table7[[#This Row],[Teva Adjusted %]]*$M$92</f>
        <v>972.39039339327701</v>
      </c>
      <c r="N37" s="17">
        <f>Table7[[#This Row],[Teva Adjusted %]]*$N$92</f>
        <v>972.39039339327701</v>
      </c>
      <c r="O37" s="17">
        <f>Table7[[#This Row],[Teva Adjusted %]]*$O$92</f>
        <v>972.39039339327701</v>
      </c>
      <c r="P37" s="17">
        <f>SUM(Table7[[#This Row],[Payment 1]:[Payment 13]])</f>
        <v>12655.487002162783</v>
      </c>
    </row>
    <row r="38" spans="1:16" x14ac:dyDescent="0.3">
      <c r="A38" t="s">
        <v>155</v>
      </c>
      <c r="B38">
        <v>1.8100763599917011E-2</v>
      </c>
      <c r="C38" s="17">
        <f>Table7[[#This Row],[Teva Adjusted %]]*$C$92</f>
        <v>13140.031179941416</v>
      </c>
      <c r="D38" s="17">
        <f>Table7[[#This Row],[Teva Adjusted %]]*$D$92</f>
        <v>25630.951257032488</v>
      </c>
      <c r="E38" s="17">
        <f>Table7[[#This Row],[Teva Adjusted %]]*$E$92</f>
        <v>27508.102976381884</v>
      </c>
      <c r="F38" s="17">
        <f>Table7[[#This Row],[Teva Adjusted %]]*$F$92</f>
        <v>19941.707842973738</v>
      </c>
      <c r="G38" s="17">
        <f>Table7[[#This Row],[Teva Adjusted %]]*$G$92</f>
        <v>19941.707842973738</v>
      </c>
      <c r="H38" s="17">
        <f>Table7[[#This Row],[Teva Adjusted %]]*$H$92</f>
        <v>21169.748459472787</v>
      </c>
      <c r="I38" s="17">
        <f>Table7[[#This Row],[Teva Adjusted %]]*$I$92</f>
        <v>21169.748459472787</v>
      </c>
      <c r="J38" s="17">
        <f>Table7[[#This Row],[Teva Adjusted %]]*$J$92</f>
        <v>21169.748459472787</v>
      </c>
      <c r="K38" s="17">
        <f>Table7[[#This Row],[Teva Adjusted %]]*$K$92</f>
        <v>21169.748459472787</v>
      </c>
      <c r="L38" s="17">
        <f>Table7[[#This Row],[Teva Adjusted %]]*$L$92</f>
        <v>21169.748459472787</v>
      </c>
      <c r="M38" s="17">
        <f>Table7[[#This Row],[Teva Adjusted %]]*$M$92</f>
        <v>21169.748459472787</v>
      </c>
      <c r="N38" s="17">
        <f>Table7[[#This Row],[Teva Adjusted %]]*$N$92</f>
        <v>21169.748459472787</v>
      </c>
      <c r="O38" s="17">
        <f>Table7[[#This Row],[Teva Adjusted %]]*$O$92</f>
        <v>21169.748459472787</v>
      </c>
      <c r="P38" s="17">
        <f>SUM(Table7[[#This Row],[Payment 1]:[Payment 13]])</f>
        <v>275520.48877508554</v>
      </c>
    </row>
    <row r="39" spans="1:16" x14ac:dyDescent="0.3">
      <c r="A39" t="s">
        <v>156</v>
      </c>
      <c r="B39">
        <v>8.3142266292569585E-4</v>
      </c>
      <c r="C39" s="17">
        <f>Table7[[#This Row],[Teva Adjusted %]]*$C$92</f>
        <v>603.56126161460145</v>
      </c>
      <c r="D39" s="17">
        <f>Table7[[#This Row],[Teva Adjusted %]]*$D$92</f>
        <v>1177.3068925964187</v>
      </c>
      <c r="E39" s="17">
        <f>Table7[[#This Row],[Teva Adjusted %]]*$E$92</f>
        <v>1263.5301324394152</v>
      </c>
      <c r="F39" s="17">
        <f>Table7[[#This Row],[Teva Adjusted %]]*$F$92</f>
        <v>915.98278418306484</v>
      </c>
      <c r="G39" s="17">
        <f>Table7[[#This Row],[Teva Adjusted %]]*$G$92</f>
        <v>915.98278418306484</v>
      </c>
      <c r="H39" s="17">
        <f>Table7[[#This Row],[Teva Adjusted %]]*$H$92</f>
        <v>972.39039339327701</v>
      </c>
      <c r="I39" s="17">
        <f>Table7[[#This Row],[Teva Adjusted %]]*$I$92</f>
        <v>972.39039339327701</v>
      </c>
      <c r="J39" s="17">
        <f>Table7[[#This Row],[Teva Adjusted %]]*$J$92</f>
        <v>972.39039339327701</v>
      </c>
      <c r="K39" s="17">
        <f>Table7[[#This Row],[Teva Adjusted %]]*$K$92</f>
        <v>972.39039339327701</v>
      </c>
      <c r="L39" s="17">
        <f>Table7[[#This Row],[Teva Adjusted %]]*$L$92</f>
        <v>972.39039339327701</v>
      </c>
      <c r="M39" s="17">
        <f>Table7[[#This Row],[Teva Adjusted %]]*$M$92</f>
        <v>972.39039339327701</v>
      </c>
      <c r="N39" s="17">
        <f>Table7[[#This Row],[Teva Adjusted %]]*$N$92</f>
        <v>972.39039339327701</v>
      </c>
      <c r="O39" s="17">
        <f>Table7[[#This Row],[Teva Adjusted %]]*$O$92</f>
        <v>972.39039339327701</v>
      </c>
      <c r="P39" s="17">
        <f>SUM(Table7[[#This Row],[Payment 1]:[Payment 13]])</f>
        <v>12655.487002162783</v>
      </c>
    </row>
    <row r="40" spans="1:16" x14ac:dyDescent="0.3">
      <c r="A40" t="s">
        <v>157</v>
      </c>
      <c r="B40">
        <v>2.0785566573142396E-3</v>
      </c>
      <c r="C40" s="17">
        <f>Table7[[#This Row],[Teva Adjusted %]]*$C$92</f>
        <v>1508.9031540365036</v>
      </c>
      <c r="D40" s="17">
        <f>Table7[[#This Row],[Teva Adjusted %]]*$D$92</f>
        <v>2943.2672314910469</v>
      </c>
      <c r="E40" s="17">
        <f>Table7[[#This Row],[Teva Adjusted %]]*$E$92</f>
        <v>3158.8253310985378</v>
      </c>
      <c r="F40" s="17">
        <f>Table7[[#This Row],[Teva Adjusted %]]*$F$92</f>
        <v>2289.9569604576618</v>
      </c>
      <c r="G40" s="17">
        <f>Table7[[#This Row],[Teva Adjusted %]]*$G$92</f>
        <v>2289.9569604576618</v>
      </c>
      <c r="H40" s="17">
        <f>Table7[[#This Row],[Teva Adjusted %]]*$H$92</f>
        <v>2430.9759834831925</v>
      </c>
      <c r="I40" s="17">
        <f>Table7[[#This Row],[Teva Adjusted %]]*$I$92</f>
        <v>2430.9759834831925</v>
      </c>
      <c r="J40" s="17">
        <f>Table7[[#This Row],[Teva Adjusted %]]*$J$92</f>
        <v>2430.9759834831925</v>
      </c>
      <c r="K40" s="17">
        <f>Table7[[#This Row],[Teva Adjusted %]]*$K$92</f>
        <v>2430.9759834831925</v>
      </c>
      <c r="L40" s="17">
        <f>Table7[[#This Row],[Teva Adjusted %]]*$L$92</f>
        <v>2430.9759834831925</v>
      </c>
      <c r="M40" s="17">
        <f>Table7[[#This Row],[Teva Adjusted %]]*$M$92</f>
        <v>2430.9759834831925</v>
      </c>
      <c r="N40" s="17">
        <f>Table7[[#This Row],[Teva Adjusted %]]*$N$92</f>
        <v>2430.9759834831925</v>
      </c>
      <c r="O40" s="17">
        <f>Table7[[#This Row],[Teva Adjusted %]]*$O$92</f>
        <v>2430.9759834831925</v>
      </c>
      <c r="P40" s="17">
        <f>SUM(Table7[[#This Row],[Payment 1]:[Payment 13]])</f>
        <v>31638.717505406956</v>
      </c>
    </row>
    <row r="41" spans="1:16" x14ac:dyDescent="0.3">
      <c r="A41" t="s">
        <v>158</v>
      </c>
      <c r="B41">
        <v>8.6070776101378893E-3</v>
      </c>
      <c r="C41" s="17">
        <f>Table7[[#This Row],[Teva Adjusted %]]*$C$92</f>
        <v>6248.2042561953604</v>
      </c>
      <c r="D41" s="17">
        <f>Table7[[#This Row],[Teva Adjusted %]]*$D$92</f>
        <v>12187.750283195312</v>
      </c>
      <c r="E41" s="17">
        <f>Table7[[#This Row],[Teva Adjusted %]]*$E$92</f>
        <v>13080.352987233615</v>
      </c>
      <c r="F41" s="17">
        <f>Table7[[#This Row],[Teva Adjusted %]]*$F$92</f>
        <v>9482.4633301082031</v>
      </c>
      <c r="G41" s="17">
        <f>Table7[[#This Row],[Teva Adjusted %]]*$G$92</f>
        <v>9482.4633301082031</v>
      </c>
      <c r="H41" s="17">
        <f>Table7[[#This Row],[Teva Adjusted %]]*$H$92</f>
        <v>10066.407804951095</v>
      </c>
      <c r="I41" s="17">
        <f>Table7[[#This Row],[Teva Adjusted %]]*$I$92</f>
        <v>10066.407804951095</v>
      </c>
      <c r="J41" s="17">
        <f>Table7[[#This Row],[Teva Adjusted %]]*$J$92</f>
        <v>10066.407804951095</v>
      </c>
      <c r="K41" s="17">
        <f>Table7[[#This Row],[Teva Adjusted %]]*$K$92</f>
        <v>10066.407804951095</v>
      </c>
      <c r="L41" s="17">
        <f>Table7[[#This Row],[Teva Adjusted %]]*$L$92</f>
        <v>10066.407804951095</v>
      </c>
      <c r="M41" s="17">
        <f>Table7[[#This Row],[Teva Adjusted %]]*$M$92</f>
        <v>10066.407804951095</v>
      </c>
      <c r="N41" s="17">
        <f>Table7[[#This Row],[Teva Adjusted %]]*$N$92</f>
        <v>10066.407804951095</v>
      </c>
      <c r="O41" s="17">
        <f>Table7[[#This Row],[Teva Adjusted %]]*$O$92</f>
        <v>10066.407804951095</v>
      </c>
      <c r="P41" s="17">
        <f>SUM(Table7[[#This Row],[Payment 1]:[Payment 13]])</f>
        <v>131012.49662644949</v>
      </c>
    </row>
    <row r="42" spans="1:16" x14ac:dyDescent="0.3">
      <c r="A42" t="s">
        <v>159</v>
      </c>
      <c r="B42">
        <v>8.3142266292569585E-4</v>
      </c>
      <c r="C42" s="17">
        <f>Table7[[#This Row],[Teva Adjusted %]]*$C$92</f>
        <v>603.56126161460145</v>
      </c>
      <c r="D42" s="17">
        <f>Table7[[#This Row],[Teva Adjusted %]]*$D$92</f>
        <v>1177.3068925964187</v>
      </c>
      <c r="E42" s="17">
        <f>Table7[[#This Row],[Teva Adjusted %]]*$E$92</f>
        <v>1263.5301324394152</v>
      </c>
      <c r="F42" s="17">
        <f>Table7[[#This Row],[Teva Adjusted %]]*$F$92</f>
        <v>915.98278418306484</v>
      </c>
      <c r="G42" s="17">
        <f>Table7[[#This Row],[Teva Adjusted %]]*$G$92</f>
        <v>915.98278418306484</v>
      </c>
      <c r="H42" s="17">
        <f>Table7[[#This Row],[Teva Adjusted %]]*$H$92</f>
        <v>972.39039339327701</v>
      </c>
      <c r="I42" s="17">
        <f>Table7[[#This Row],[Teva Adjusted %]]*$I$92</f>
        <v>972.39039339327701</v>
      </c>
      <c r="J42" s="17">
        <f>Table7[[#This Row],[Teva Adjusted %]]*$J$92</f>
        <v>972.39039339327701</v>
      </c>
      <c r="K42" s="17">
        <f>Table7[[#This Row],[Teva Adjusted %]]*$K$92</f>
        <v>972.39039339327701</v>
      </c>
      <c r="L42" s="17">
        <f>Table7[[#This Row],[Teva Adjusted %]]*$L$92</f>
        <v>972.39039339327701</v>
      </c>
      <c r="M42" s="17">
        <f>Table7[[#This Row],[Teva Adjusted %]]*$M$92</f>
        <v>972.39039339327701</v>
      </c>
      <c r="N42" s="17">
        <f>Table7[[#This Row],[Teva Adjusted %]]*$N$92</f>
        <v>972.39039339327701</v>
      </c>
      <c r="O42" s="17">
        <f>Table7[[#This Row],[Teva Adjusted %]]*$O$92</f>
        <v>972.39039339327701</v>
      </c>
      <c r="P42" s="17">
        <f>SUM(Table7[[#This Row],[Payment 1]:[Payment 13]])</f>
        <v>12655.487002162783</v>
      </c>
    </row>
    <row r="43" spans="1:16" x14ac:dyDescent="0.3">
      <c r="A43" t="s">
        <v>160</v>
      </c>
      <c r="B43">
        <v>1.0419853621813153E-2</v>
      </c>
      <c r="C43" s="17">
        <f>Table7[[#This Row],[Teva Adjusted %]]*$C$92</f>
        <v>7564.1671537922339</v>
      </c>
      <c r="D43" s="17">
        <f>Table7[[#This Row],[Teva Adjusted %]]*$D$92</f>
        <v>14754.668155951766</v>
      </c>
      <c r="E43" s="17">
        <f>Table7[[#This Row],[Teva Adjusted %]]*$E$92</f>
        <v>15835.266001097109</v>
      </c>
      <c r="F43" s="17">
        <f>Table7[[#This Row],[Teva Adjusted %]]*$F$92</f>
        <v>11479.60833507059</v>
      </c>
      <c r="G43" s="17">
        <f>Table7[[#This Row],[Teva Adjusted %]]*$G$92</f>
        <v>11479.60833507059</v>
      </c>
      <c r="H43" s="17">
        <f>Table7[[#This Row],[Teva Adjusted %]]*$H$92</f>
        <v>12186.540028583229</v>
      </c>
      <c r="I43" s="17">
        <f>Table7[[#This Row],[Teva Adjusted %]]*$I$92</f>
        <v>12186.540028583229</v>
      </c>
      <c r="J43" s="17">
        <f>Table7[[#This Row],[Teva Adjusted %]]*$J$92</f>
        <v>12186.540028583229</v>
      </c>
      <c r="K43" s="17">
        <f>Table7[[#This Row],[Teva Adjusted %]]*$K$92</f>
        <v>12186.540028583229</v>
      </c>
      <c r="L43" s="17">
        <f>Table7[[#This Row],[Teva Adjusted %]]*$L$92</f>
        <v>12186.540028583229</v>
      </c>
      <c r="M43" s="17">
        <f>Table7[[#This Row],[Teva Adjusted %]]*$M$92</f>
        <v>12186.540028583229</v>
      </c>
      <c r="N43" s="17">
        <f>Table7[[#This Row],[Teva Adjusted %]]*$N$92</f>
        <v>12186.540028583229</v>
      </c>
      <c r="O43" s="17">
        <f>Table7[[#This Row],[Teva Adjusted %]]*$O$92</f>
        <v>12186.540028583229</v>
      </c>
      <c r="P43" s="17">
        <f>SUM(Table7[[#This Row],[Payment 1]:[Payment 13]])</f>
        <v>158605.63820964811</v>
      </c>
    </row>
    <row r="44" spans="1:16" x14ac:dyDescent="0.3">
      <c r="A44" t="s">
        <v>161</v>
      </c>
      <c r="B44">
        <v>2.4025563522475828E-3</v>
      </c>
      <c r="C44" s="17">
        <f>Table7[[#This Row],[Teva Adjusted %]]*$C$92</f>
        <v>1744.1068276392655</v>
      </c>
      <c r="D44" s="17">
        <f>Table7[[#This Row],[Teva Adjusted %]]*$D$92</f>
        <v>3402.0556324493355</v>
      </c>
      <c r="E44" s="17">
        <f>Table7[[#This Row],[Teva Adjusted %]]*$E$92</f>
        <v>3651.2143357581858</v>
      </c>
      <c r="F44" s="17">
        <f>Table7[[#This Row],[Teva Adjusted %]]*$F$92</f>
        <v>2646.9091532150424</v>
      </c>
      <c r="G44" s="17">
        <f>Table7[[#This Row],[Teva Adjusted %]]*$G$92</f>
        <v>2646.9091532150424</v>
      </c>
      <c r="H44" s="17">
        <f>Table7[[#This Row],[Teva Adjusted %]]*$H$92</f>
        <v>2809.9098336946963</v>
      </c>
      <c r="I44" s="17">
        <f>Table7[[#This Row],[Teva Adjusted %]]*$I$92</f>
        <v>2809.9098336946963</v>
      </c>
      <c r="J44" s="17">
        <f>Table7[[#This Row],[Teva Adjusted %]]*$J$92</f>
        <v>2809.9098336946963</v>
      </c>
      <c r="K44" s="17">
        <f>Table7[[#This Row],[Teva Adjusted %]]*$K$92</f>
        <v>2809.9098336946963</v>
      </c>
      <c r="L44" s="17">
        <f>Table7[[#This Row],[Teva Adjusted %]]*$L$92</f>
        <v>2809.9098336946963</v>
      </c>
      <c r="M44" s="17">
        <f>Table7[[#This Row],[Teva Adjusted %]]*$M$92</f>
        <v>2809.9098336946963</v>
      </c>
      <c r="N44" s="17">
        <f>Table7[[#This Row],[Teva Adjusted %]]*$N$92</f>
        <v>2809.9098336946963</v>
      </c>
      <c r="O44" s="17">
        <f>Table7[[#This Row],[Teva Adjusted %]]*$O$92</f>
        <v>2809.9098336946963</v>
      </c>
      <c r="P44" s="17">
        <f>SUM(Table7[[#This Row],[Payment 1]:[Payment 13]])</f>
        <v>36570.47377183444</v>
      </c>
    </row>
    <row r="45" spans="1:16" x14ac:dyDescent="0.3">
      <c r="A45" t="s">
        <v>162</v>
      </c>
      <c r="B45">
        <v>2.0785566573142396E-3</v>
      </c>
      <c r="C45" s="17">
        <f>Table7[[#This Row],[Teva Adjusted %]]*$C$92</f>
        <v>1508.9031540365036</v>
      </c>
      <c r="D45" s="17">
        <f>Table7[[#This Row],[Teva Adjusted %]]*$D$92</f>
        <v>2943.2672314910469</v>
      </c>
      <c r="E45" s="17">
        <f>Table7[[#This Row],[Teva Adjusted %]]*$E$92</f>
        <v>3158.8253310985378</v>
      </c>
      <c r="F45" s="17">
        <f>Table7[[#This Row],[Teva Adjusted %]]*$F$92</f>
        <v>2289.9569604576618</v>
      </c>
      <c r="G45" s="17">
        <f>Table7[[#This Row],[Teva Adjusted %]]*$G$92</f>
        <v>2289.9569604576618</v>
      </c>
      <c r="H45" s="17">
        <f>Table7[[#This Row],[Teva Adjusted %]]*$H$92</f>
        <v>2430.9759834831925</v>
      </c>
      <c r="I45" s="17">
        <f>Table7[[#This Row],[Teva Adjusted %]]*$I$92</f>
        <v>2430.9759834831925</v>
      </c>
      <c r="J45" s="17">
        <f>Table7[[#This Row],[Teva Adjusted %]]*$J$92</f>
        <v>2430.9759834831925</v>
      </c>
      <c r="K45" s="17">
        <f>Table7[[#This Row],[Teva Adjusted %]]*$K$92</f>
        <v>2430.9759834831925</v>
      </c>
      <c r="L45" s="17">
        <f>Table7[[#This Row],[Teva Adjusted %]]*$L$92</f>
        <v>2430.9759834831925</v>
      </c>
      <c r="M45" s="17">
        <f>Table7[[#This Row],[Teva Adjusted %]]*$M$92</f>
        <v>2430.9759834831925</v>
      </c>
      <c r="N45" s="17">
        <f>Table7[[#This Row],[Teva Adjusted %]]*$N$92</f>
        <v>2430.9759834831925</v>
      </c>
      <c r="O45" s="17">
        <f>Table7[[#This Row],[Teva Adjusted %]]*$O$92</f>
        <v>2430.9759834831925</v>
      </c>
      <c r="P45" s="17">
        <f>SUM(Table7[[#This Row],[Payment 1]:[Payment 13]])</f>
        <v>31638.717505406956</v>
      </c>
    </row>
    <row r="46" spans="1:16" x14ac:dyDescent="0.3">
      <c r="A46" t="s">
        <v>163</v>
      </c>
      <c r="B46">
        <v>2.0785566573142396E-3</v>
      </c>
      <c r="C46" s="17">
        <f>Table7[[#This Row],[Teva Adjusted %]]*$C$92</f>
        <v>1508.9031540365036</v>
      </c>
      <c r="D46" s="17">
        <f>Table7[[#This Row],[Teva Adjusted %]]*$D$92</f>
        <v>2943.2672314910469</v>
      </c>
      <c r="E46" s="17">
        <f>Table7[[#This Row],[Teva Adjusted %]]*$E$92</f>
        <v>3158.8253310985378</v>
      </c>
      <c r="F46" s="17">
        <f>Table7[[#This Row],[Teva Adjusted %]]*$F$92</f>
        <v>2289.9569604576618</v>
      </c>
      <c r="G46" s="17">
        <f>Table7[[#This Row],[Teva Adjusted %]]*$G$92</f>
        <v>2289.9569604576618</v>
      </c>
      <c r="H46" s="17">
        <f>Table7[[#This Row],[Teva Adjusted %]]*$H$92</f>
        <v>2430.9759834831925</v>
      </c>
      <c r="I46" s="17">
        <f>Table7[[#This Row],[Teva Adjusted %]]*$I$92</f>
        <v>2430.9759834831925</v>
      </c>
      <c r="J46" s="17">
        <f>Table7[[#This Row],[Teva Adjusted %]]*$J$92</f>
        <v>2430.9759834831925</v>
      </c>
      <c r="K46" s="17">
        <f>Table7[[#This Row],[Teva Adjusted %]]*$K$92</f>
        <v>2430.9759834831925</v>
      </c>
      <c r="L46" s="17">
        <f>Table7[[#This Row],[Teva Adjusted %]]*$L$92</f>
        <v>2430.9759834831925</v>
      </c>
      <c r="M46" s="17">
        <f>Table7[[#This Row],[Teva Adjusted %]]*$M$92</f>
        <v>2430.9759834831925</v>
      </c>
      <c r="N46" s="17">
        <f>Table7[[#This Row],[Teva Adjusted %]]*$N$92</f>
        <v>2430.9759834831925</v>
      </c>
      <c r="O46" s="17">
        <f>Table7[[#This Row],[Teva Adjusted %]]*$O$92</f>
        <v>2430.9759834831925</v>
      </c>
      <c r="P46" s="17">
        <f>SUM(Table7[[#This Row],[Payment 1]:[Payment 13]])</f>
        <v>31638.717505406956</v>
      </c>
    </row>
    <row r="47" spans="1:16" x14ac:dyDescent="0.3">
      <c r="A47" t="s">
        <v>164</v>
      </c>
      <c r="B47">
        <v>2.9463624265255719E-3</v>
      </c>
      <c r="C47" s="17">
        <f>Table7[[#This Row],[Teva Adjusted %]]*$C$92</f>
        <v>2138.8762931598844</v>
      </c>
      <c r="D47" s="17">
        <f>Table7[[#This Row],[Teva Adjusted %]]*$D$92</f>
        <v>4172.0931452955465</v>
      </c>
      <c r="E47" s="17">
        <f>Table7[[#This Row],[Teva Adjusted %]]*$E$92</f>
        <v>4477.6476189645082</v>
      </c>
      <c r="F47" s="17">
        <f>Table7[[#This Row],[Teva Adjusted %]]*$F$92</f>
        <v>3246.0232069744015</v>
      </c>
      <c r="G47" s="17">
        <f>Table7[[#This Row],[Teva Adjusted %]]*$G$92</f>
        <v>3246.0232069744015</v>
      </c>
      <c r="H47" s="17">
        <f>Table7[[#This Row],[Teva Adjusted %]]*$H$92</f>
        <v>3445.9182396191395</v>
      </c>
      <c r="I47" s="17">
        <f>Table7[[#This Row],[Teva Adjusted %]]*$I$92</f>
        <v>3445.9182396191395</v>
      </c>
      <c r="J47" s="17">
        <f>Table7[[#This Row],[Teva Adjusted %]]*$J$92</f>
        <v>3445.9182396191395</v>
      </c>
      <c r="K47" s="17">
        <f>Table7[[#This Row],[Teva Adjusted %]]*$K$92</f>
        <v>3445.9182396191395</v>
      </c>
      <c r="L47" s="17">
        <f>Table7[[#This Row],[Teva Adjusted %]]*$L$92</f>
        <v>3445.9182396191395</v>
      </c>
      <c r="M47" s="17">
        <f>Table7[[#This Row],[Teva Adjusted %]]*$M$92</f>
        <v>3445.9182396191395</v>
      </c>
      <c r="N47" s="17">
        <f>Table7[[#This Row],[Teva Adjusted %]]*$N$92</f>
        <v>3445.9182396191395</v>
      </c>
      <c r="O47" s="17">
        <f>Table7[[#This Row],[Teva Adjusted %]]*$O$92</f>
        <v>3445.9182396191395</v>
      </c>
      <c r="P47" s="17">
        <f>SUM(Table7[[#This Row],[Payment 1]:[Payment 13]])</f>
        <v>44848.009388321858</v>
      </c>
    </row>
    <row r="48" spans="1:16" x14ac:dyDescent="0.3">
      <c r="A48" t="s">
        <v>165</v>
      </c>
      <c r="B48">
        <v>5.5627525754909672E-3</v>
      </c>
      <c r="C48" s="17">
        <f>Table7[[#This Row],[Teva Adjusted %]]*$C$92</f>
        <v>4038.213188342278</v>
      </c>
      <c r="D48" s="17">
        <f>Table7[[#This Row],[Teva Adjusted %]]*$D$92</f>
        <v>7876.9406235433416</v>
      </c>
      <c r="E48" s="17">
        <f>Table7[[#This Row],[Teva Adjusted %]]*$E$92</f>
        <v>8453.8295765290623</v>
      </c>
      <c r="F48" s="17">
        <f>Table7[[#This Row],[Teva Adjusted %]]*$F$92</f>
        <v>6128.5141950419802</v>
      </c>
      <c r="G48" s="17">
        <f>Table7[[#This Row],[Teva Adjusted %]]*$G$92</f>
        <v>6128.5141950419802</v>
      </c>
      <c r="H48" s="17">
        <f>Table7[[#This Row],[Teva Adjusted %]]*$H$92</f>
        <v>6505.9173948864836</v>
      </c>
      <c r="I48" s="17">
        <f>Table7[[#This Row],[Teva Adjusted %]]*$I$92</f>
        <v>6505.9173948864836</v>
      </c>
      <c r="J48" s="17">
        <f>Table7[[#This Row],[Teva Adjusted %]]*$J$92</f>
        <v>6505.9173948864836</v>
      </c>
      <c r="K48" s="17">
        <f>Table7[[#This Row],[Teva Adjusted %]]*$K$92</f>
        <v>6505.9173948864836</v>
      </c>
      <c r="L48" s="17">
        <f>Table7[[#This Row],[Teva Adjusted %]]*$L$92</f>
        <v>6505.9173948864836</v>
      </c>
      <c r="M48" s="17">
        <f>Table7[[#This Row],[Teva Adjusted %]]*$M$92</f>
        <v>6505.9173948864836</v>
      </c>
      <c r="N48" s="17">
        <f>Table7[[#This Row],[Teva Adjusted %]]*$N$92</f>
        <v>6505.9173948864836</v>
      </c>
      <c r="O48" s="17">
        <f>Table7[[#This Row],[Teva Adjusted %]]*$O$92</f>
        <v>6505.9173948864836</v>
      </c>
      <c r="P48" s="17">
        <f>SUM(Table7[[#This Row],[Payment 1]:[Payment 13]])</f>
        <v>84673.350937590498</v>
      </c>
    </row>
    <row r="49" spans="1:16" x14ac:dyDescent="0.3">
      <c r="A49" t="s">
        <v>166</v>
      </c>
      <c r="B49">
        <v>2.0785566573142396E-3</v>
      </c>
      <c r="C49" s="17">
        <f>Table7[[#This Row],[Teva Adjusted %]]*$C$92</f>
        <v>1508.9031540365036</v>
      </c>
      <c r="D49" s="17">
        <f>Table7[[#This Row],[Teva Adjusted %]]*$D$92</f>
        <v>2943.2672314910469</v>
      </c>
      <c r="E49" s="17">
        <f>Table7[[#This Row],[Teva Adjusted %]]*$E$92</f>
        <v>3158.8253310985378</v>
      </c>
      <c r="F49" s="17">
        <f>Table7[[#This Row],[Teva Adjusted %]]*$F$92</f>
        <v>2289.9569604576618</v>
      </c>
      <c r="G49" s="17">
        <f>Table7[[#This Row],[Teva Adjusted %]]*$G$92</f>
        <v>2289.9569604576618</v>
      </c>
      <c r="H49" s="17">
        <f>Table7[[#This Row],[Teva Adjusted %]]*$H$92</f>
        <v>2430.9759834831925</v>
      </c>
      <c r="I49" s="17">
        <f>Table7[[#This Row],[Teva Adjusted %]]*$I$92</f>
        <v>2430.9759834831925</v>
      </c>
      <c r="J49" s="17">
        <f>Table7[[#This Row],[Teva Adjusted %]]*$J$92</f>
        <v>2430.9759834831925</v>
      </c>
      <c r="K49" s="17">
        <f>Table7[[#This Row],[Teva Adjusted %]]*$K$92</f>
        <v>2430.9759834831925</v>
      </c>
      <c r="L49" s="17">
        <f>Table7[[#This Row],[Teva Adjusted %]]*$L$92</f>
        <v>2430.9759834831925</v>
      </c>
      <c r="M49" s="17">
        <f>Table7[[#This Row],[Teva Adjusted %]]*$M$92</f>
        <v>2430.9759834831925</v>
      </c>
      <c r="N49" s="17">
        <f>Table7[[#This Row],[Teva Adjusted %]]*$N$92</f>
        <v>2430.9759834831925</v>
      </c>
      <c r="O49" s="17">
        <f>Table7[[#This Row],[Teva Adjusted %]]*$O$92</f>
        <v>2430.9759834831925</v>
      </c>
      <c r="P49" s="17">
        <f>SUM(Table7[[#This Row],[Payment 1]:[Payment 13]])</f>
        <v>31638.717505406956</v>
      </c>
    </row>
    <row r="50" spans="1:16" x14ac:dyDescent="0.3">
      <c r="A50" t="s">
        <v>167</v>
      </c>
      <c r="B50">
        <v>1.4426831680059078E-2</v>
      </c>
      <c r="C50" s="17">
        <f>Table7[[#This Row],[Teva Adjusted %]]*$C$92</f>
        <v>10472.984581966035</v>
      </c>
      <c r="D50" s="17">
        <f>Table7[[#This Row],[Teva Adjusted %]]*$D$92</f>
        <v>20428.608856407678</v>
      </c>
      <c r="E50" s="17">
        <f>Table7[[#This Row],[Teva Adjusted %]]*$E$92</f>
        <v>21924.753024221205</v>
      </c>
      <c r="F50" s="17">
        <f>Table7[[#This Row],[Teva Adjusted %]]*$F$92</f>
        <v>15894.117442913575</v>
      </c>
      <c r="G50" s="17">
        <f>Table7[[#This Row],[Teva Adjusted %]]*$G$92</f>
        <v>15894.117442913575</v>
      </c>
      <c r="H50" s="17">
        <f>Table7[[#This Row],[Teva Adjusted %]]*$H$92</f>
        <v>16872.901303202707</v>
      </c>
      <c r="I50" s="17">
        <f>Table7[[#This Row],[Teva Adjusted %]]*$I$92</f>
        <v>16872.901303202707</v>
      </c>
      <c r="J50" s="17">
        <f>Table7[[#This Row],[Teva Adjusted %]]*$J$92</f>
        <v>16872.901303202707</v>
      </c>
      <c r="K50" s="17">
        <f>Table7[[#This Row],[Teva Adjusted %]]*$K$92</f>
        <v>16872.901303202707</v>
      </c>
      <c r="L50" s="17">
        <f>Table7[[#This Row],[Teva Adjusted %]]*$L$92</f>
        <v>16872.901303202707</v>
      </c>
      <c r="M50" s="17">
        <f>Table7[[#This Row],[Teva Adjusted %]]*$M$92</f>
        <v>16872.901303202707</v>
      </c>
      <c r="N50" s="17">
        <f>Table7[[#This Row],[Teva Adjusted %]]*$N$92</f>
        <v>16872.901303202707</v>
      </c>
      <c r="O50" s="17">
        <f>Table7[[#This Row],[Teva Adjusted %]]*$O$92</f>
        <v>16872.901303202707</v>
      </c>
      <c r="P50" s="17">
        <f>SUM(Table7[[#This Row],[Payment 1]:[Payment 13]])</f>
        <v>219597.79177404367</v>
      </c>
    </row>
    <row r="51" spans="1:16" x14ac:dyDescent="0.3">
      <c r="A51" t="s">
        <v>168</v>
      </c>
      <c r="B51">
        <v>5.7514609010944394E-3</v>
      </c>
      <c r="C51" s="17">
        <f>Table7[[#This Row],[Teva Adjusted %]]*$C$92</f>
        <v>4175.2037229490907</v>
      </c>
      <c r="D51" s="17">
        <f>Table7[[#This Row],[Teva Adjusted %]]*$D$92</f>
        <v>8144.1544274604867</v>
      </c>
      <c r="E51" s="17">
        <f>Table7[[#This Row],[Teva Adjusted %]]*$E$92</f>
        <v>8740.6135027731852</v>
      </c>
      <c r="F51" s="17">
        <f>Table7[[#This Row],[Teva Adjusted %]]*$F$92</f>
        <v>6336.4151642993465</v>
      </c>
      <c r="G51" s="17">
        <f>Table7[[#This Row],[Teva Adjusted %]]*$G$92</f>
        <v>6336.4151642993465</v>
      </c>
      <c r="H51" s="17">
        <f>Table7[[#This Row],[Teva Adjusted %]]*$H$92</f>
        <v>6726.6212211743486</v>
      </c>
      <c r="I51" s="17">
        <f>Table7[[#This Row],[Teva Adjusted %]]*$I$92</f>
        <v>6726.6212211743486</v>
      </c>
      <c r="J51" s="17">
        <f>Table7[[#This Row],[Teva Adjusted %]]*$J$92</f>
        <v>6726.6212211743486</v>
      </c>
      <c r="K51" s="17">
        <f>Table7[[#This Row],[Teva Adjusted %]]*$K$92</f>
        <v>6726.6212211743486</v>
      </c>
      <c r="L51" s="17">
        <f>Table7[[#This Row],[Teva Adjusted %]]*$L$92</f>
        <v>6726.6212211743486</v>
      </c>
      <c r="M51" s="17">
        <f>Table7[[#This Row],[Teva Adjusted %]]*$M$92</f>
        <v>6726.6212211743486</v>
      </c>
      <c r="N51" s="17">
        <f>Table7[[#This Row],[Teva Adjusted %]]*$N$92</f>
        <v>6726.6212211743486</v>
      </c>
      <c r="O51" s="17">
        <f>Table7[[#This Row],[Teva Adjusted %]]*$O$92</f>
        <v>6726.6212211743486</v>
      </c>
      <c r="P51" s="17">
        <f>SUM(Table7[[#This Row],[Payment 1]:[Payment 13]])</f>
        <v>87545.77175117626</v>
      </c>
    </row>
    <row r="52" spans="1:16" x14ac:dyDescent="0.3">
      <c r="A52" t="s">
        <v>169</v>
      </c>
      <c r="B52">
        <v>2.5029045436635641E-2</v>
      </c>
      <c r="C52" s="17">
        <f>Table7[[#This Row],[Teva Adjusted %]]*$C$92</f>
        <v>18169.533877734895</v>
      </c>
      <c r="D52" s="17">
        <f>Table7[[#This Row],[Teva Adjusted %]]*$D$92</f>
        <v>35441.501683354443</v>
      </c>
      <c r="E52" s="17">
        <f>Table7[[#This Row],[Teva Adjusted %]]*$E$92</f>
        <v>38037.155475290056</v>
      </c>
      <c r="F52" s="17">
        <f>Table7[[#This Row],[Teva Adjusted %]]*$F$92</f>
        <v>27574.632911519344</v>
      </c>
      <c r="G52" s="17">
        <f>Table7[[#This Row],[Teva Adjusted %]]*$G$92</f>
        <v>27574.632911519344</v>
      </c>
      <c r="H52" s="17">
        <f>Table7[[#This Row],[Teva Adjusted %]]*$H$92</f>
        <v>29272.720631339609</v>
      </c>
      <c r="I52" s="17">
        <f>Table7[[#This Row],[Teva Adjusted %]]*$I$92</f>
        <v>29272.720631339609</v>
      </c>
      <c r="J52" s="17">
        <f>Table7[[#This Row],[Teva Adjusted %]]*$J$92</f>
        <v>29272.720631339609</v>
      </c>
      <c r="K52" s="17">
        <f>Table7[[#This Row],[Teva Adjusted %]]*$K$92</f>
        <v>29272.720631339609</v>
      </c>
      <c r="L52" s="17">
        <f>Table7[[#This Row],[Teva Adjusted %]]*$L$92</f>
        <v>29272.720631339609</v>
      </c>
      <c r="M52" s="17">
        <f>Table7[[#This Row],[Teva Adjusted %]]*$M$92</f>
        <v>29272.720631339609</v>
      </c>
      <c r="N52" s="17">
        <f>Table7[[#This Row],[Teva Adjusted %]]*$N$92</f>
        <v>29272.720631339609</v>
      </c>
      <c r="O52" s="17">
        <f>Table7[[#This Row],[Teva Adjusted %]]*$O$92</f>
        <v>29272.720631339609</v>
      </c>
      <c r="P52" s="17">
        <f>SUM(Table7[[#This Row],[Payment 1]:[Payment 13]])</f>
        <v>380979.22191013489</v>
      </c>
    </row>
    <row r="53" spans="1:16" x14ac:dyDescent="0.3">
      <c r="A53" t="s">
        <v>170</v>
      </c>
      <c r="B53">
        <v>8.3142266292569661E-4</v>
      </c>
      <c r="C53" s="17">
        <f>Table7[[#This Row],[Teva Adjusted %]]*$C$92</f>
        <v>603.56126161460202</v>
      </c>
      <c r="D53" s="17">
        <f>Table7[[#This Row],[Teva Adjusted %]]*$D$92</f>
        <v>1177.3068925964199</v>
      </c>
      <c r="E53" s="17">
        <f>Table7[[#This Row],[Teva Adjusted %]]*$E$92</f>
        <v>1263.5301324394163</v>
      </c>
      <c r="F53" s="17">
        <f>Table7[[#This Row],[Teva Adjusted %]]*$F$92</f>
        <v>915.98278418306563</v>
      </c>
      <c r="G53" s="17">
        <f>Table7[[#This Row],[Teva Adjusted %]]*$G$92</f>
        <v>915.98278418306563</v>
      </c>
      <c r="H53" s="17">
        <f>Table7[[#This Row],[Teva Adjusted %]]*$H$92</f>
        <v>972.39039339327792</v>
      </c>
      <c r="I53" s="17">
        <f>Table7[[#This Row],[Teva Adjusted %]]*$I$92</f>
        <v>972.39039339327792</v>
      </c>
      <c r="J53" s="17">
        <f>Table7[[#This Row],[Teva Adjusted %]]*$J$92</f>
        <v>972.39039339327792</v>
      </c>
      <c r="K53" s="17">
        <f>Table7[[#This Row],[Teva Adjusted %]]*$K$92</f>
        <v>972.39039339327792</v>
      </c>
      <c r="L53" s="17">
        <f>Table7[[#This Row],[Teva Adjusted %]]*$L$92</f>
        <v>972.39039339327792</v>
      </c>
      <c r="M53" s="17">
        <f>Table7[[#This Row],[Teva Adjusted %]]*$M$92</f>
        <v>972.39039339327792</v>
      </c>
      <c r="N53" s="17">
        <f>Table7[[#This Row],[Teva Adjusted %]]*$N$92</f>
        <v>972.39039339327792</v>
      </c>
      <c r="O53" s="17">
        <f>Table7[[#This Row],[Teva Adjusted %]]*$O$92</f>
        <v>972.39039339327792</v>
      </c>
      <c r="P53" s="17">
        <f>SUM(Table7[[#This Row],[Payment 1]:[Payment 13]])</f>
        <v>12655.487002162794</v>
      </c>
    </row>
    <row r="54" spans="1:16" x14ac:dyDescent="0.3">
      <c r="A54" t="s">
        <v>171</v>
      </c>
      <c r="B54">
        <v>2.2171891797178283E-3</v>
      </c>
      <c r="C54" s="17">
        <f>Table7[[#This Row],[Teva Adjusted %]]*$C$92</f>
        <v>1609.5417628378159</v>
      </c>
      <c r="D54" s="17">
        <f>Table7[[#This Row],[Teva Adjusted %]]*$D$92</f>
        <v>3139.5729511227946</v>
      </c>
      <c r="E54" s="17">
        <f>Table7[[#This Row],[Teva Adjusted %]]*$E$92</f>
        <v>3369.5080286047896</v>
      </c>
      <c r="F54" s="17">
        <f>Table7[[#This Row],[Teva Adjusted %]]*$F$92</f>
        <v>2442.6891501272489</v>
      </c>
      <c r="G54" s="17">
        <f>Table7[[#This Row],[Teva Adjusted %]]*$G$92</f>
        <v>2442.6891501272489</v>
      </c>
      <c r="H54" s="17">
        <f>Table7[[#This Row],[Teva Adjusted %]]*$H$92</f>
        <v>2593.1136530564063</v>
      </c>
      <c r="I54" s="17">
        <f>Table7[[#This Row],[Teva Adjusted %]]*$I$92</f>
        <v>2593.1136530564063</v>
      </c>
      <c r="J54" s="17">
        <f>Table7[[#This Row],[Teva Adjusted %]]*$J$92</f>
        <v>2593.1136530564063</v>
      </c>
      <c r="K54" s="17">
        <f>Table7[[#This Row],[Teva Adjusted %]]*$K$92</f>
        <v>2593.1136530564063</v>
      </c>
      <c r="L54" s="17">
        <f>Table7[[#This Row],[Teva Adjusted %]]*$L$92</f>
        <v>2593.1136530564063</v>
      </c>
      <c r="M54" s="17">
        <f>Table7[[#This Row],[Teva Adjusted %]]*$M$92</f>
        <v>2593.1136530564063</v>
      </c>
      <c r="N54" s="17">
        <f>Table7[[#This Row],[Teva Adjusted %]]*$N$92</f>
        <v>2593.1136530564063</v>
      </c>
      <c r="O54" s="17">
        <f>Table7[[#This Row],[Teva Adjusted %]]*$O$92</f>
        <v>2593.1136530564063</v>
      </c>
      <c r="P54" s="17">
        <f>SUM(Table7[[#This Row],[Payment 1]:[Payment 13]])</f>
        <v>33748.910267271152</v>
      </c>
    </row>
    <row r="55" spans="1:16" x14ac:dyDescent="0.3">
      <c r="A55" t="s">
        <v>172</v>
      </c>
      <c r="B55">
        <v>2.0785566573142396E-3</v>
      </c>
      <c r="C55" s="17">
        <f>Table7[[#This Row],[Teva Adjusted %]]*$C$92</f>
        <v>1508.9031540365036</v>
      </c>
      <c r="D55" s="17">
        <f>Table7[[#This Row],[Teva Adjusted %]]*$D$92</f>
        <v>2943.2672314910469</v>
      </c>
      <c r="E55" s="17">
        <f>Table7[[#This Row],[Teva Adjusted %]]*$E$92</f>
        <v>3158.8253310985378</v>
      </c>
      <c r="F55" s="17">
        <f>Table7[[#This Row],[Teva Adjusted %]]*$F$92</f>
        <v>2289.9569604576618</v>
      </c>
      <c r="G55" s="17">
        <f>Table7[[#This Row],[Teva Adjusted %]]*$G$92</f>
        <v>2289.9569604576618</v>
      </c>
      <c r="H55" s="17">
        <f>Table7[[#This Row],[Teva Adjusted %]]*$H$92</f>
        <v>2430.9759834831925</v>
      </c>
      <c r="I55" s="17">
        <f>Table7[[#This Row],[Teva Adjusted %]]*$I$92</f>
        <v>2430.9759834831925</v>
      </c>
      <c r="J55" s="17">
        <f>Table7[[#This Row],[Teva Adjusted %]]*$J$92</f>
        <v>2430.9759834831925</v>
      </c>
      <c r="K55" s="17">
        <f>Table7[[#This Row],[Teva Adjusted %]]*$K$92</f>
        <v>2430.9759834831925</v>
      </c>
      <c r="L55" s="17">
        <f>Table7[[#This Row],[Teva Adjusted %]]*$L$92</f>
        <v>2430.9759834831925</v>
      </c>
      <c r="M55" s="17">
        <f>Table7[[#This Row],[Teva Adjusted %]]*$M$92</f>
        <v>2430.9759834831925</v>
      </c>
      <c r="N55" s="17">
        <f>Table7[[#This Row],[Teva Adjusted %]]*$N$92</f>
        <v>2430.9759834831925</v>
      </c>
      <c r="O55" s="17">
        <f>Table7[[#This Row],[Teva Adjusted %]]*$O$92</f>
        <v>2430.9759834831925</v>
      </c>
      <c r="P55" s="17">
        <f>SUM(Table7[[#This Row],[Payment 1]:[Payment 13]])</f>
        <v>31638.717505406956</v>
      </c>
    </row>
    <row r="56" spans="1:16" x14ac:dyDescent="0.3">
      <c r="A56" t="s">
        <v>173</v>
      </c>
      <c r="B56">
        <v>2.1757187877668671E-2</v>
      </c>
      <c r="C56" s="17">
        <f>Table7[[#This Row],[Teva Adjusted %]]*$C$92</f>
        <v>15794.368316136703</v>
      </c>
      <c r="D56" s="17">
        <f>Table7[[#This Row],[Teva Adjusted %]]*$D$92</f>
        <v>30808.50257528255</v>
      </c>
      <c r="E56" s="17">
        <f>Table7[[#This Row],[Teva Adjusted %]]*$E$92</f>
        <v>33064.846204507165</v>
      </c>
      <c r="F56" s="17">
        <f>Table7[[#This Row],[Teva Adjusted %]]*$F$92</f>
        <v>23970.009980305345</v>
      </c>
      <c r="G56" s="17">
        <f>Table7[[#This Row],[Teva Adjusted %]]*$G$92</f>
        <v>23970.009980305345</v>
      </c>
      <c r="H56" s="17">
        <f>Table7[[#This Row],[Teva Adjusted %]]*$H$92</f>
        <v>25446.119552539101</v>
      </c>
      <c r="I56" s="17">
        <f>Table7[[#This Row],[Teva Adjusted %]]*$I$92</f>
        <v>25446.119552539101</v>
      </c>
      <c r="J56" s="17">
        <f>Table7[[#This Row],[Teva Adjusted %]]*$J$92</f>
        <v>25446.119552539101</v>
      </c>
      <c r="K56" s="17">
        <f>Table7[[#This Row],[Teva Adjusted %]]*$K$92</f>
        <v>25446.119552539101</v>
      </c>
      <c r="L56" s="17">
        <f>Table7[[#This Row],[Teva Adjusted %]]*$L$92</f>
        <v>25446.119552539101</v>
      </c>
      <c r="M56" s="17">
        <f>Table7[[#This Row],[Teva Adjusted %]]*$M$92</f>
        <v>25446.119552539101</v>
      </c>
      <c r="N56" s="17">
        <f>Table7[[#This Row],[Teva Adjusted %]]*$N$92</f>
        <v>25446.119552539101</v>
      </c>
      <c r="O56" s="17">
        <f>Table7[[#This Row],[Teva Adjusted %]]*$O$92</f>
        <v>25446.119552539101</v>
      </c>
      <c r="P56" s="17">
        <f>SUM(Table7[[#This Row],[Payment 1]:[Payment 13]])</f>
        <v>331176.69347684988</v>
      </c>
    </row>
    <row r="57" spans="1:16" x14ac:dyDescent="0.3">
      <c r="A57" t="s">
        <v>174</v>
      </c>
      <c r="B57">
        <v>8.3142266292569583E-3</v>
      </c>
      <c r="C57" s="17">
        <f>Table7[[#This Row],[Teva Adjusted %]]*$C$92</f>
        <v>6035.6126161460143</v>
      </c>
      <c r="D57" s="17">
        <f>Table7[[#This Row],[Teva Adjusted %]]*$D$92</f>
        <v>11773.068925964188</v>
      </c>
      <c r="E57" s="17">
        <f>Table7[[#This Row],[Teva Adjusted %]]*$E$92</f>
        <v>12635.301324394151</v>
      </c>
      <c r="F57" s="17">
        <f>Table7[[#This Row],[Teva Adjusted %]]*$F$92</f>
        <v>9159.8278418306472</v>
      </c>
      <c r="G57" s="17">
        <f>Table7[[#This Row],[Teva Adjusted %]]*$G$92</f>
        <v>9159.8278418306472</v>
      </c>
      <c r="H57" s="17">
        <f>Table7[[#This Row],[Teva Adjusted %]]*$H$92</f>
        <v>9723.9039339327701</v>
      </c>
      <c r="I57" s="17">
        <f>Table7[[#This Row],[Teva Adjusted %]]*$I$92</f>
        <v>9723.9039339327701</v>
      </c>
      <c r="J57" s="17">
        <f>Table7[[#This Row],[Teva Adjusted %]]*$J$92</f>
        <v>9723.9039339327701</v>
      </c>
      <c r="K57" s="17">
        <f>Table7[[#This Row],[Teva Adjusted %]]*$K$92</f>
        <v>9723.9039339327701</v>
      </c>
      <c r="L57" s="17">
        <f>Table7[[#This Row],[Teva Adjusted %]]*$L$92</f>
        <v>9723.9039339327701</v>
      </c>
      <c r="M57" s="17">
        <f>Table7[[#This Row],[Teva Adjusted %]]*$M$92</f>
        <v>9723.9039339327701</v>
      </c>
      <c r="N57" s="17">
        <f>Table7[[#This Row],[Teva Adjusted %]]*$N$92</f>
        <v>9723.9039339327701</v>
      </c>
      <c r="O57" s="17">
        <f>Table7[[#This Row],[Teva Adjusted %]]*$O$92</f>
        <v>9723.9039339327701</v>
      </c>
      <c r="P57" s="17">
        <f>SUM(Table7[[#This Row],[Payment 1]:[Payment 13]])</f>
        <v>126554.87002162782</v>
      </c>
    </row>
    <row r="58" spans="1:16" x14ac:dyDescent="0.3">
      <c r="A58" t="s">
        <v>175</v>
      </c>
      <c r="B58">
        <v>8.3142266292569585E-4</v>
      </c>
      <c r="C58" s="17">
        <f>Table7[[#This Row],[Teva Adjusted %]]*$C$92</f>
        <v>603.56126161460145</v>
      </c>
      <c r="D58" s="17">
        <f>Table7[[#This Row],[Teva Adjusted %]]*$D$92</f>
        <v>1177.3068925964187</v>
      </c>
      <c r="E58" s="17">
        <f>Table7[[#This Row],[Teva Adjusted %]]*$E$92</f>
        <v>1263.5301324394152</v>
      </c>
      <c r="F58" s="17">
        <f>Table7[[#This Row],[Teva Adjusted %]]*$F$92</f>
        <v>915.98278418306484</v>
      </c>
      <c r="G58" s="17">
        <f>Table7[[#This Row],[Teva Adjusted %]]*$G$92</f>
        <v>915.98278418306484</v>
      </c>
      <c r="H58" s="17">
        <f>Table7[[#This Row],[Teva Adjusted %]]*$H$92</f>
        <v>972.39039339327701</v>
      </c>
      <c r="I58" s="17">
        <f>Table7[[#This Row],[Teva Adjusted %]]*$I$92</f>
        <v>972.39039339327701</v>
      </c>
      <c r="J58" s="17">
        <f>Table7[[#This Row],[Teva Adjusted %]]*$J$92</f>
        <v>972.39039339327701</v>
      </c>
      <c r="K58" s="17">
        <f>Table7[[#This Row],[Teva Adjusted %]]*$K$92</f>
        <v>972.39039339327701</v>
      </c>
      <c r="L58" s="17">
        <f>Table7[[#This Row],[Teva Adjusted %]]*$L$92</f>
        <v>972.39039339327701</v>
      </c>
      <c r="M58" s="17">
        <f>Table7[[#This Row],[Teva Adjusted %]]*$M$92</f>
        <v>972.39039339327701</v>
      </c>
      <c r="N58" s="17">
        <f>Table7[[#This Row],[Teva Adjusted %]]*$N$92</f>
        <v>972.39039339327701</v>
      </c>
      <c r="O58" s="17">
        <f>Table7[[#This Row],[Teva Adjusted %]]*$O$92</f>
        <v>972.39039339327701</v>
      </c>
      <c r="P58" s="17">
        <f>SUM(Table7[[#This Row],[Payment 1]:[Payment 13]])</f>
        <v>12655.487002162783</v>
      </c>
    </row>
    <row r="59" spans="1:16" x14ac:dyDescent="0.3">
      <c r="A59" t="s">
        <v>176</v>
      </c>
      <c r="B59">
        <v>8.3142266292569583E-3</v>
      </c>
      <c r="C59" s="17">
        <f>Table7[[#This Row],[Teva Adjusted %]]*$C$92</f>
        <v>6035.6126161460143</v>
      </c>
      <c r="D59" s="17">
        <f>Table7[[#This Row],[Teva Adjusted %]]*$D$92</f>
        <v>11773.068925964188</v>
      </c>
      <c r="E59" s="17">
        <f>Table7[[#This Row],[Teva Adjusted %]]*$E$92</f>
        <v>12635.301324394151</v>
      </c>
      <c r="F59" s="17">
        <f>Table7[[#This Row],[Teva Adjusted %]]*$F$92</f>
        <v>9159.8278418306472</v>
      </c>
      <c r="G59" s="17">
        <f>Table7[[#This Row],[Teva Adjusted %]]*$G$92</f>
        <v>9159.8278418306472</v>
      </c>
      <c r="H59" s="17">
        <f>Table7[[#This Row],[Teva Adjusted %]]*$H$92</f>
        <v>9723.9039339327701</v>
      </c>
      <c r="I59" s="17">
        <f>Table7[[#This Row],[Teva Adjusted %]]*$I$92</f>
        <v>9723.9039339327701</v>
      </c>
      <c r="J59" s="17">
        <f>Table7[[#This Row],[Teva Adjusted %]]*$J$92</f>
        <v>9723.9039339327701</v>
      </c>
      <c r="K59" s="17">
        <f>Table7[[#This Row],[Teva Adjusted %]]*$K$92</f>
        <v>9723.9039339327701</v>
      </c>
      <c r="L59" s="17">
        <f>Table7[[#This Row],[Teva Adjusted %]]*$L$92</f>
        <v>9723.9039339327701</v>
      </c>
      <c r="M59" s="17">
        <f>Table7[[#This Row],[Teva Adjusted %]]*$M$92</f>
        <v>9723.9039339327701</v>
      </c>
      <c r="N59" s="17">
        <f>Table7[[#This Row],[Teva Adjusted %]]*$N$92</f>
        <v>9723.9039339327701</v>
      </c>
      <c r="O59" s="17">
        <f>Table7[[#This Row],[Teva Adjusted %]]*$O$92</f>
        <v>9723.9039339327701</v>
      </c>
      <c r="P59" s="17">
        <f>SUM(Table7[[#This Row],[Payment 1]:[Payment 13]])</f>
        <v>126554.87002162782</v>
      </c>
    </row>
    <row r="60" spans="1:16" x14ac:dyDescent="0.3">
      <c r="A60" t="s">
        <v>177</v>
      </c>
      <c r="B60">
        <v>3.0765337502775408E-3</v>
      </c>
      <c r="C60" s="17">
        <f>Table7[[#This Row],[Teva Adjusted %]]*$C$92</f>
        <v>2233.3725967767641</v>
      </c>
      <c r="D60" s="17">
        <f>Table7[[#This Row],[Teva Adjusted %]]*$D$92</f>
        <v>4356.4176814253597</v>
      </c>
      <c r="E60" s="17">
        <f>Table7[[#This Row],[Teva Adjusted %]]*$E$92</f>
        <v>4675.4716587391349</v>
      </c>
      <c r="F60" s="17">
        <f>Table7[[#This Row],[Teva Adjusted %]]*$F$92</f>
        <v>3389.4336489408838</v>
      </c>
      <c r="G60" s="17">
        <f>Table7[[#This Row],[Teva Adjusted %]]*$G$92</f>
        <v>3389.4336489408838</v>
      </c>
      <c r="H60" s="17">
        <f>Table7[[#This Row],[Teva Adjusted %]]*$H$92</f>
        <v>3598.1601141264896</v>
      </c>
      <c r="I60" s="17">
        <f>Table7[[#This Row],[Teva Adjusted %]]*$I$92</f>
        <v>3598.1601141264896</v>
      </c>
      <c r="J60" s="17">
        <f>Table7[[#This Row],[Teva Adjusted %]]*$J$92</f>
        <v>3598.1601141264896</v>
      </c>
      <c r="K60" s="17">
        <f>Table7[[#This Row],[Teva Adjusted %]]*$K$92</f>
        <v>3598.1601141264896</v>
      </c>
      <c r="L60" s="17">
        <f>Table7[[#This Row],[Teva Adjusted %]]*$L$92</f>
        <v>3598.1601141264896</v>
      </c>
      <c r="M60" s="17">
        <f>Table7[[#This Row],[Teva Adjusted %]]*$M$92</f>
        <v>3598.1601141264896</v>
      </c>
      <c r="N60" s="17">
        <f>Table7[[#This Row],[Teva Adjusted %]]*$N$92</f>
        <v>3598.1601141264896</v>
      </c>
      <c r="O60" s="17">
        <f>Table7[[#This Row],[Teva Adjusted %]]*$O$92</f>
        <v>3598.1601141264896</v>
      </c>
      <c r="P60" s="17">
        <f>SUM(Table7[[#This Row],[Payment 1]:[Payment 13]])</f>
        <v>46829.410147834955</v>
      </c>
    </row>
    <row r="61" spans="1:16" x14ac:dyDescent="0.3">
      <c r="A61" t="s">
        <v>178</v>
      </c>
      <c r="B61">
        <v>1.1248125468787309E-2</v>
      </c>
      <c r="C61" s="17">
        <f>Table7[[#This Row],[Teva Adjusted %]]*$C$92</f>
        <v>8165.4411185413219</v>
      </c>
      <c r="D61" s="17">
        <f>Table7[[#This Row],[Teva Adjusted %]]*$D$92</f>
        <v>15927.513446161744</v>
      </c>
      <c r="E61" s="17">
        <f>Table7[[#This Row],[Teva Adjusted %]]*$E$92</f>
        <v>17094.007773687717</v>
      </c>
      <c r="F61" s="17">
        <f>Table7[[#This Row],[Teva Adjusted %]]*$F$92</f>
        <v>12392.119848507216</v>
      </c>
      <c r="G61" s="17">
        <f>Table7[[#This Row],[Teva Adjusted %]]*$G$92</f>
        <v>12392.119848507216</v>
      </c>
      <c r="H61" s="17">
        <f>Table7[[#This Row],[Teva Adjusted %]]*$H$92</f>
        <v>13155.245385112288</v>
      </c>
      <c r="I61" s="17">
        <f>Table7[[#This Row],[Teva Adjusted %]]*$I$92</f>
        <v>13155.245385112288</v>
      </c>
      <c r="J61" s="17">
        <f>Table7[[#This Row],[Teva Adjusted %]]*$J$92</f>
        <v>13155.245385112288</v>
      </c>
      <c r="K61" s="17">
        <f>Table7[[#This Row],[Teva Adjusted %]]*$K$92</f>
        <v>13155.245385112288</v>
      </c>
      <c r="L61" s="17">
        <f>Table7[[#This Row],[Teva Adjusted %]]*$L$92</f>
        <v>13155.245385112288</v>
      </c>
      <c r="M61" s="17">
        <f>Table7[[#This Row],[Teva Adjusted %]]*$M$92</f>
        <v>13155.245385112288</v>
      </c>
      <c r="N61" s="17">
        <f>Table7[[#This Row],[Teva Adjusted %]]*$N$92</f>
        <v>13155.245385112288</v>
      </c>
      <c r="O61" s="17">
        <f>Table7[[#This Row],[Teva Adjusted %]]*$O$92</f>
        <v>13155.245385112288</v>
      </c>
      <c r="P61" s="17">
        <f>SUM(Table7[[#This Row],[Payment 1]:[Payment 13]])</f>
        <v>171213.16511630354</v>
      </c>
    </row>
    <row r="62" spans="1:16" x14ac:dyDescent="0.3">
      <c r="A62" t="s">
        <v>179</v>
      </c>
      <c r="B62">
        <v>8.3142266292569585E-4</v>
      </c>
      <c r="C62" s="17">
        <f>Table7[[#This Row],[Teva Adjusted %]]*$C$92</f>
        <v>603.56126161460145</v>
      </c>
      <c r="D62" s="17">
        <f>Table7[[#This Row],[Teva Adjusted %]]*$D$92</f>
        <v>1177.3068925964187</v>
      </c>
      <c r="E62" s="17">
        <f>Table7[[#This Row],[Teva Adjusted %]]*$E$92</f>
        <v>1263.5301324394152</v>
      </c>
      <c r="F62" s="17">
        <f>Table7[[#This Row],[Teva Adjusted %]]*$F$92</f>
        <v>915.98278418306484</v>
      </c>
      <c r="G62" s="17">
        <f>Table7[[#This Row],[Teva Adjusted %]]*$G$92</f>
        <v>915.98278418306484</v>
      </c>
      <c r="H62" s="17">
        <f>Table7[[#This Row],[Teva Adjusted %]]*$H$92</f>
        <v>972.39039339327701</v>
      </c>
      <c r="I62" s="17">
        <f>Table7[[#This Row],[Teva Adjusted %]]*$I$92</f>
        <v>972.39039339327701</v>
      </c>
      <c r="J62" s="17">
        <f>Table7[[#This Row],[Teva Adjusted %]]*$J$92</f>
        <v>972.39039339327701</v>
      </c>
      <c r="K62" s="17">
        <f>Table7[[#This Row],[Teva Adjusted %]]*$K$92</f>
        <v>972.39039339327701</v>
      </c>
      <c r="L62" s="17">
        <f>Table7[[#This Row],[Teva Adjusted %]]*$L$92</f>
        <v>972.39039339327701</v>
      </c>
      <c r="M62" s="17">
        <f>Table7[[#This Row],[Teva Adjusted %]]*$M$92</f>
        <v>972.39039339327701</v>
      </c>
      <c r="N62" s="17">
        <f>Table7[[#This Row],[Teva Adjusted %]]*$N$92</f>
        <v>972.39039339327701</v>
      </c>
      <c r="O62" s="17">
        <f>Table7[[#This Row],[Teva Adjusted %]]*$O$92</f>
        <v>972.39039339327701</v>
      </c>
      <c r="P62" s="17">
        <f>SUM(Table7[[#This Row],[Payment 1]:[Payment 13]])</f>
        <v>12655.487002162783</v>
      </c>
    </row>
    <row r="63" spans="1:16" x14ac:dyDescent="0.3">
      <c r="A63" t="s">
        <v>180</v>
      </c>
      <c r="B63">
        <v>2.0785566573142396E-3</v>
      </c>
      <c r="C63" s="17">
        <f>Table7[[#This Row],[Teva Adjusted %]]*$C$92</f>
        <v>1508.9031540365036</v>
      </c>
      <c r="D63" s="17">
        <f>Table7[[#This Row],[Teva Adjusted %]]*$D$92</f>
        <v>2943.2672314910469</v>
      </c>
      <c r="E63" s="17">
        <f>Table7[[#This Row],[Teva Adjusted %]]*$E$92</f>
        <v>3158.8253310985378</v>
      </c>
      <c r="F63" s="17">
        <f>Table7[[#This Row],[Teva Adjusted %]]*$F$92</f>
        <v>2289.9569604576618</v>
      </c>
      <c r="G63" s="17">
        <f>Table7[[#This Row],[Teva Adjusted %]]*$G$92</f>
        <v>2289.9569604576618</v>
      </c>
      <c r="H63" s="17">
        <f>Table7[[#This Row],[Teva Adjusted %]]*$H$92</f>
        <v>2430.9759834831925</v>
      </c>
      <c r="I63" s="17">
        <f>Table7[[#This Row],[Teva Adjusted %]]*$I$92</f>
        <v>2430.9759834831925</v>
      </c>
      <c r="J63" s="17">
        <f>Table7[[#This Row],[Teva Adjusted %]]*$J$92</f>
        <v>2430.9759834831925</v>
      </c>
      <c r="K63" s="17">
        <f>Table7[[#This Row],[Teva Adjusted %]]*$K$92</f>
        <v>2430.9759834831925</v>
      </c>
      <c r="L63" s="17">
        <f>Table7[[#This Row],[Teva Adjusted %]]*$L$92</f>
        <v>2430.9759834831925</v>
      </c>
      <c r="M63" s="17">
        <f>Table7[[#This Row],[Teva Adjusted %]]*$M$92</f>
        <v>2430.9759834831925</v>
      </c>
      <c r="N63" s="17">
        <f>Table7[[#This Row],[Teva Adjusted %]]*$N$92</f>
        <v>2430.9759834831925</v>
      </c>
      <c r="O63" s="17">
        <f>Table7[[#This Row],[Teva Adjusted %]]*$O$92</f>
        <v>2430.9759834831925</v>
      </c>
      <c r="P63" s="17">
        <f>SUM(Table7[[#This Row],[Payment 1]:[Payment 13]])</f>
        <v>31638.717505406956</v>
      </c>
    </row>
    <row r="64" spans="1:16" x14ac:dyDescent="0.3">
      <c r="A64" t="s">
        <v>181</v>
      </c>
      <c r="B64">
        <v>2.0785566573142396E-3</v>
      </c>
      <c r="C64" s="17">
        <f>Table7[[#This Row],[Teva Adjusted %]]*$C$92</f>
        <v>1508.9031540365036</v>
      </c>
      <c r="D64" s="17">
        <f>Table7[[#This Row],[Teva Adjusted %]]*$D$92</f>
        <v>2943.2672314910469</v>
      </c>
      <c r="E64" s="17">
        <f>Table7[[#This Row],[Teva Adjusted %]]*$E$92</f>
        <v>3158.8253310985378</v>
      </c>
      <c r="F64" s="17">
        <f>Table7[[#This Row],[Teva Adjusted %]]*$F$92</f>
        <v>2289.9569604576618</v>
      </c>
      <c r="G64" s="17">
        <f>Table7[[#This Row],[Teva Adjusted %]]*$G$92</f>
        <v>2289.9569604576618</v>
      </c>
      <c r="H64" s="17">
        <f>Table7[[#This Row],[Teva Adjusted %]]*$H$92</f>
        <v>2430.9759834831925</v>
      </c>
      <c r="I64" s="17">
        <f>Table7[[#This Row],[Teva Adjusted %]]*$I$92</f>
        <v>2430.9759834831925</v>
      </c>
      <c r="J64" s="17">
        <f>Table7[[#This Row],[Teva Adjusted %]]*$J$92</f>
        <v>2430.9759834831925</v>
      </c>
      <c r="K64" s="17">
        <f>Table7[[#This Row],[Teva Adjusted %]]*$K$92</f>
        <v>2430.9759834831925</v>
      </c>
      <c r="L64" s="17">
        <f>Table7[[#This Row],[Teva Adjusted %]]*$L$92</f>
        <v>2430.9759834831925</v>
      </c>
      <c r="M64" s="17">
        <f>Table7[[#This Row],[Teva Adjusted %]]*$M$92</f>
        <v>2430.9759834831925</v>
      </c>
      <c r="N64" s="17">
        <f>Table7[[#This Row],[Teva Adjusted %]]*$N$92</f>
        <v>2430.9759834831925</v>
      </c>
      <c r="O64" s="17">
        <f>Table7[[#This Row],[Teva Adjusted %]]*$O$92</f>
        <v>2430.9759834831925</v>
      </c>
      <c r="P64" s="17">
        <f>SUM(Table7[[#This Row],[Payment 1]:[Payment 13]])</f>
        <v>31638.717505406956</v>
      </c>
    </row>
    <row r="65" spans="1:16" x14ac:dyDescent="0.3">
      <c r="A65" t="s">
        <v>182</v>
      </c>
      <c r="B65">
        <v>2.0785566573142396E-3</v>
      </c>
      <c r="C65" s="17">
        <f>Table7[[#This Row],[Teva Adjusted %]]*$C$92</f>
        <v>1508.9031540365036</v>
      </c>
      <c r="D65" s="17">
        <f>Table7[[#This Row],[Teva Adjusted %]]*$D$92</f>
        <v>2943.2672314910469</v>
      </c>
      <c r="E65" s="17">
        <f>Table7[[#This Row],[Teva Adjusted %]]*$E$92</f>
        <v>3158.8253310985378</v>
      </c>
      <c r="F65" s="17">
        <f>Table7[[#This Row],[Teva Adjusted %]]*$F$92</f>
        <v>2289.9569604576618</v>
      </c>
      <c r="G65" s="17">
        <f>Table7[[#This Row],[Teva Adjusted %]]*$G$92</f>
        <v>2289.9569604576618</v>
      </c>
      <c r="H65" s="17">
        <f>Table7[[#This Row],[Teva Adjusted %]]*$H$92</f>
        <v>2430.9759834831925</v>
      </c>
      <c r="I65" s="17">
        <f>Table7[[#This Row],[Teva Adjusted %]]*$I$92</f>
        <v>2430.9759834831925</v>
      </c>
      <c r="J65" s="17">
        <f>Table7[[#This Row],[Teva Adjusted %]]*$J$92</f>
        <v>2430.9759834831925</v>
      </c>
      <c r="K65" s="17">
        <f>Table7[[#This Row],[Teva Adjusted %]]*$K$92</f>
        <v>2430.9759834831925</v>
      </c>
      <c r="L65" s="17">
        <f>Table7[[#This Row],[Teva Adjusted %]]*$L$92</f>
        <v>2430.9759834831925</v>
      </c>
      <c r="M65" s="17">
        <f>Table7[[#This Row],[Teva Adjusted %]]*$M$92</f>
        <v>2430.9759834831925</v>
      </c>
      <c r="N65" s="17">
        <f>Table7[[#This Row],[Teva Adjusted %]]*$N$92</f>
        <v>2430.9759834831925</v>
      </c>
      <c r="O65" s="17">
        <f>Table7[[#This Row],[Teva Adjusted %]]*$O$92</f>
        <v>2430.9759834831925</v>
      </c>
      <c r="P65" s="17">
        <f>SUM(Table7[[#This Row],[Payment 1]:[Payment 13]])</f>
        <v>31638.717505406956</v>
      </c>
    </row>
    <row r="66" spans="1:16" x14ac:dyDescent="0.3">
      <c r="A66" t="s">
        <v>183</v>
      </c>
      <c r="B66">
        <v>2.3887908015838735E-3</v>
      </c>
      <c r="C66" s="17">
        <f>Table7[[#This Row],[Teva Adjusted %]]*$C$92</f>
        <v>1734.1138920411765</v>
      </c>
      <c r="D66" s="17">
        <f>Table7[[#This Row],[Teva Adjusted %]]*$D$92</f>
        <v>3382.5634073760593</v>
      </c>
      <c r="E66" s="17">
        <f>Table7[[#This Row],[Teva Adjusted %]]*$E$92</f>
        <v>3630.2945451044006</v>
      </c>
      <c r="F66" s="17">
        <f>Table7[[#This Row],[Teva Adjusted %]]*$F$92</f>
        <v>2631.7435725964101</v>
      </c>
      <c r="G66" s="17">
        <f>Table7[[#This Row],[Teva Adjusted %]]*$G$92</f>
        <v>2631.7435725964101</v>
      </c>
      <c r="H66" s="17">
        <f>Table7[[#This Row],[Teva Adjusted %]]*$H$92</f>
        <v>2793.8103336184572</v>
      </c>
      <c r="I66" s="17">
        <f>Table7[[#This Row],[Teva Adjusted %]]*$I$92</f>
        <v>2793.8103336184572</v>
      </c>
      <c r="J66" s="17">
        <f>Table7[[#This Row],[Teva Adjusted %]]*$J$92</f>
        <v>2793.8103336184572</v>
      </c>
      <c r="K66" s="17">
        <f>Table7[[#This Row],[Teva Adjusted %]]*$K$92</f>
        <v>2793.8103336184572</v>
      </c>
      <c r="L66" s="17">
        <f>Table7[[#This Row],[Teva Adjusted %]]*$L$92</f>
        <v>2793.8103336184572</v>
      </c>
      <c r="M66" s="17">
        <f>Table7[[#This Row],[Teva Adjusted %]]*$M$92</f>
        <v>2793.8103336184572</v>
      </c>
      <c r="N66" s="17">
        <f>Table7[[#This Row],[Teva Adjusted %]]*$N$92</f>
        <v>2793.8103336184572</v>
      </c>
      <c r="O66" s="17">
        <f>Table7[[#This Row],[Teva Adjusted %]]*$O$92</f>
        <v>2793.8103336184572</v>
      </c>
      <c r="P66" s="17">
        <f>SUM(Table7[[#This Row],[Payment 1]:[Payment 13]])</f>
        <v>36360.941658662116</v>
      </c>
    </row>
    <row r="67" spans="1:16" x14ac:dyDescent="0.3">
      <c r="A67" t="s">
        <v>184</v>
      </c>
      <c r="B67">
        <v>2.0912343911448888E-2</v>
      </c>
      <c r="C67" s="17">
        <f>Table7[[#This Row],[Teva Adjusted %]]*$C$92</f>
        <v>15181.064021153024</v>
      </c>
      <c r="D67" s="17">
        <f>Table7[[#This Row],[Teva Adjusted %]]*$D$92</f>
        <v>29612.190917023196</v>
      </c>
      <c r="E67" s="17">
        <f>Table7[[#This Row],[Teva Adjusted %]]*$E$92</f>
        <v>31780.919441226572</v>
      </c>
      <c r="F67" s="17">
        <f>Table7[[#This Row],[Teva Adjusted %]]*$F$92</f>
        <v>23039.240874667652</v>
      </c>
      <c r="G67" s="17">
        <f>Table7[[#This Row],[Teva Adjusted %]]*$G$92</f>
        <v>23039.240874667652</v>
      </c>
      <c r="H67" s="17">
        <f>Table7[[#This Row],[Teva Adjusted %]]*$H$92</f>
        <v>24458.032273588167</v>
      </c>
      <c r="I67" s="17">
        <f>Table7[[#This Row],[Teva Adjusted %]]*$I$92</f>
        <v>24458.032273588167</v>
      </c>
      <c r="J67" s="17">
        <f>Table7[[#This Row],[Teva Adjusted %]]*$J$92</f>
        <v>24458.032273588167</v>
      </c>
      <c r="K67" s="17">
        <f>Table7[[#This Row],[Teva Adjusted %]]*$K$92</f>
        <v>24458.032273588167</v>
      </c>
      <c r="L67" s="17">
        <f>Table7[[#This Row],[Teva Adjusted %]]*$L$92</f>
        <v>24458.032273588167</v>
      </c>
      <c r="M67" s="17">
        <f>Table7[[#This Row],[Teva Adjusted %]]*$M$92</f>
        <v>24458.032273588167</v>
      </c>
      <c r="N67" s="17">
        <f>Table7[[#This Row],[Teva Adjusted %]]*$N$92</f>
        <v>24458.032273588167</v>
      </c>
      <c r="O67" s="17">
        <f>Table7[[#This Row],[Teva Adjusted %]]*$O$92</f>
        <v>24458.032273588167</v>
      </c>
      <c r="P67" s="17">
        <f>SUM(Table7[[#This Row],[Payment 1]:[Payment 13]])</f>
        <v>318316.9143174435</v>
      </c>
    </row>
    <row r="68" spans="1:16" x14ac:dyDescent="0.3">
      <c r="A68" t="s">
        <v>185</v>
      </c>
      <c r="B68">
        <v>6.124133114936702E-3</v>
      </c>
      <c r="C68" s="17">
        <f>Table7[[#This Row],[Teva Adjusted %]]*$C$92</f>
        <v>4445.7406250390986</v>
      </c>
      <c r="D68" s="17">
        <f>Table7[[#This Row],[Teva Adjusted %]]*$D$92</f>
        <v>8671.8638412161145</v>
      </c>
      <c r="E68" s="17">
        <f>Table7[[#This Row],[Teva Adjusted %]]*$E$92</f>
        <v>9306.9711361525951</v>
      </c>
      <c r="F68" s="17">
        <f>Table7[[#This Row],[Teva Adjusted %]]*$F$92</f>
        <v>6746.9901308532826</v>
      </c>
      <c r="G68" s="17">
        <f>Table7[[#This Row],[Teva Adjusted %]]*$G$92</f>
        <v>6746.9901308532826</v>
      </c>
      <c r="H68" s="17">
        <f>Table7[[#This Row],[Teva Adjusted %]]*$H$92</f>
        <v>7162.4800169276796</v>
      </c>
      <c r="I68" s="17">
        <f>Table7[[#This Row],[Teva Adjusted %]]*$I$92</f>
        <v>7162.4800169276796</v>
      </c>
      <c r="J68" s="17">
        <f>Table7[[#This Row],[Teva Adjusted %]]*$J$92</f>
        <v>7162.4800169276796</v>
      </c>
      <c r="K68" s="17">
        <f>Table7[[#This Row],[Teva Adjusted %]]*$K$92</f>
        <v>7162.4800169276796</v>
      </c>
      <c r="L68" s="17">
        <f>Table7[[#This Row],[Teva Adjusted %]]*$L$92</f>
        <v>7162.4800169276796</v>
      </c>
      <c r="M68" s="17">
        <f>Table7[[#This Row],[Teva Adjusted %]]*$M$92</f>
        <v>7162.4800169276796</v>
      </c>
      <c r="N68" s="17">
        <f>Table7[[#This Row],[Teva Adjusted %]]*$N$92</f>
        <v>7162.4800169276796</v>
      </c>
      <c r="O68" s="17">
        <f>Table7[[#This Row],[Teva Adjusted %]]*$O$92</f>
        <v>7162.4800169276796</v>
      </c>
      <c r="P68" s="17">
        <f>SUM(Table7[[#This Row],[Payment 1]:[Payment 13]])</f>
        <v>93218.395999535831</v>
      </c>
    </row>
    <row r="69" spans="1:16" x14ac:dyDescent="0.3">
      <c r="A69" t="s">
        <v>186</v>
      </c>
      <c r="B69">
        <v>0.10717062552332471</v>
      </c>
      <c r="C69" s="17">
        <f>Table7[[#This Row],[Teva Adjusted %]]*$C$92</f>
        <v>77799.223948583502</v>
      </c>
      <c r="D69" s="17">
        <f>Table7[[#This Row],[Teva Adjusted %]]*$D$92</f>
        <v>151755.20434876083</v>
      </c>
      <c r="E69" s="17">
        <f>Table7[[#This Row],[Teva Adjusted %]]*$E$92</f>
        <v>162869.40529693419</v>
      </c>
      <c r="F69" s="17">
        <f>Table7[[#This Row],[Teva Adjusted %]]*$F$92</f>
        <v>118070.44999718599</v>
      </c>
      <c r="G69" s="17">
        <f>Table7[[#This Row],[Teva Adjusted %]]*$G$92</f>
        <v>118070.44999718599</v>
      </c>
      <c r="H69" s="17">
        <f>Table7[[#This Row],[Teva Adjusted %]]*$H$92</f>
        <v>125341.40739695313</v>
      </c>
      <c r="I69" s="17">
        <f>Table7[[#This Row],[Teva Adjusted %]]*$I$92</f>
        <v>125341.40739695313</v>
      </c>
      <c r="J69" s="17">
        <f>Table7[[#This Row],[Teva Adjusted %]]*$J$92</f>
        <v>125341.40739695313</v>
      </c>
      <c r="K69" s="17">
        <f>Table7[[#This Row],[Teva Adjusted %]]*$K$92</f>
        <v>125341.40739695313</v>
      </c>
      <c r="L69" s="17">
        <f>Table7[[#This Row],[Teva Adjusted %]]*$L$92</f>
        <v>125341.40739695313</v>
      </c>
      <c r="M69" s="17">
        <f>Table7[[#This Row],[Teva Adjusted %]]*$M$92</f>
        <v>125341.40739695313</v>
      </c>
      <c r="N69" s="17">
        <f>Table7[[#This Row],[Teva Adjusted %]]*$N$92</f>
        <v>125341.40739695313</v>
      </c>
      <c r="O69" s="17">
        <f>Table7[[#This Row],[Teva Adjusted %]]*$O$92</f>
        <v>125341.40739695313</v>
      </c>
      <c r="P69" s="17">
        <f>SUM(Table7[[#This Row],[Payment 1]:[Payment 13]])</f>
        <v>1631295.9927642753</v>
      </c>
    </row>
    <row r="70" spans="1:16" x14ac:dyDescent="0.3">
      <c r="A70" t="s">
        <v>187</v>
      </c>
      <c r="B70">
        <v>4.1571133146284791E-3</v>
      </c>
      <c r="C70" s="17">
        <f>Table7[[#This Row],[Teva Adjusted %]]*$C$92</f>
        <v>3017.8063080730071</v>
      </c>
      <c r="D70" s="17">
        <f>Table7[[#This Row],[Teva Adjusted %]]*$D$92</f>
        <v>5886.5344629820938</v>
      </c>
      <c r="E70" s="17">
        <f>Table7[[#This Row],[Teva Adjusted %]]*$E$92</f>
        <v>6317.6506621970757</v>
      </c>
      <c r="F70" s="17">
        <f>Table7[[#This Row],[Teva Adjusted %]]*$F$92</f>
        <v>4579.9139209153236</v>
      </c>
      <c r="G70" s="17">
        <f>Table7[[#This Row],[Teva Adjusted %]]*$G$92</f>
        <v>4579.9139209153236</v>
      </c>
      <c r="H70" s="17">
        <f>Table7[[#This Row],[Teva Adjusted %]]*$H$92</f>
        <v>4861.951966966385</v>
      </c>
      <c r="I70" s="17">
        <f>Table7[[#This Row],[Teva Adjusted %]]*$I$92</f>
        <v>4861.951966966385</v>
      </c>
      <c r="J70" s="17">
        <f>Table7[[#This Row],[Teva Adjusted %]]*$J$92</f>
        <v>4861.951966966385</v>
      </c>
      <c r="K70" s="17">
        <f>Table7[[#This Row],[Teva Adjusted %]]*$K$92</f>
        <v>4861.951966966385</v>
      </c>
      <c r="L70" s="17">
        <f>Table7[[#This Row],[Teva Adjusted %]]*$L$92</f>
        <v>4861.951966966385</v>
      </c>
      <c r="M70" s="17">
        <f>Table7[[#This Row],[Teva Adjusted %]]*$M$92</f>
        <v>4861.951966966385</v>
      </c>
      <c r="N70" s="17">
        <f>Table7[[#This Row],[Teva Adjusted %]]*$N$92</f>
        <v>4861.951966966385</v>
      </c>
      <c r="O70" s="17">
        <f>Table7[[#This Row],[Teva Adjusted %]]*$O$92</f>
        <v>4861.951966966385</v>
      </c>
      <c r="P70" s="17">
        <f>SUM(Table7[[#This Row],[Payment 1]:[Payment 13]])</f>
        <v>63277.435010813912</v>
      </c>
    </row>
    <row r="71" spans="1:16" x14ac:dyDescent="0.3">
      <c r="A71" t="s">
        <v>188</v>
      </c>
      <c r="B71">
        <v>2.024544975793521E-2</v>
      </c>
      <c r="C71" s="17">
        <f>Table7[[#This Row],[Teva Adjusted %]]*$C$92</f>
        <v>14696.940248002893</v>
      </c>
      <c r="D71" s="17">
        <f>Table7[[#This Row],[Teva Adjusted %]]*$D$92</f>
        <v>28667.858847939249</v>
      </c>
      <c r="E71" s="17">
        <f>Table7[[#This Row],[Teva Adjusted %]]*$E$92</f>
        <v>30767.426670717959</v>
      </c>
      <c r="F71" s="17">
        <f>Table7[[#This Row],[Teva Adjusted %]]*$F$92</f>
        <v>22304.520027221301</v>
      </c>
      <c r="G71" s="17">
        <f>Table7[[#This Row],[Teva Adjusted %]]*$G$92</f>
        <v>22304.520027221301</v>
      </c>
      <c r="H71" s="17">
        <f>Table7[[#This Row],[Teva Adjusted %]]*$H$92</f>
        <v>23678.06620193347</v>
      </c>
      <c r="I71" s="17">
        <f>Table7[[#This Row],[Teva Adjusted %]]*$I$92</f>
        <v>23678.06620193347</v>
      </c>
      <c r="J71" s="17">
        <f>Table7[[#This Row],[Teva Adjusted %]]*$J$92</f>
        <v>23678.06620193347</v>
      </c>
      <c r="K71" s="17">
        <f>Table7[[#This Row],[Teva Adjusted %]]*$K$92</f>
        <v>23678.06620193347</v>
      </c>
      <c r="L71" s="17">
        <f>Table7[[#This Row],[Teva Adjusted %]]*$L$92</f>
        <v>23678.06620193347</v>
      </c>
      <c r="M71" s="17">
        <f>Table7[[#This Row],[Teva Adjusted %]]*$M$92</f>
        <v>23678.06620193347</v>
      </c>
      <c r="N71" s="17">
        <f>Table7[[#This Row],[Teva Adjusted %]]*$N$92</f>
        <v>23678.06620193347</v>
      </c>
      <c r="O71" s="17">
        <f>Table7[[#This Row],[Teva Adjusted %]]*$O$92</f>
        <v>23678.06620193347</v>
      </c>
      <c r="P71" s="17">
        <f>SUM(Table7[[#This Row],[Payment 1]:[Payment 13]])</f>
        <v>308165.79543657054</v>
      </c>
    </row>
    <row r="72" spans="1:16" x14ac:dyDescent="0.3">
      <c r="A72" t="s">
        <v>189</v>
      </c>
      <c r="B72">
        <v>8.3142266292569585E-4</v>
      </c>
      <c r="C72" s="17">
        <f>Table7[[#This Row],[Teva Adjusted %]]*$C$92</f>
        <v>603.56126161460145</v>
      </c>
      <c r="D72" s="17">
        <f>Table7[[#This Row],[Teva Adjusted %]]*$D$92</f>
        <v>1177.3068925964187</v>
      </c>
      <c r="E72" s="17">
        <f>Table7[[#This Row],[Teva Adjusted %]]*$E$92</f>
        <v>1263.5301324394152</v>
      </c>
      <c r="F72" s="17">
        <f>Table7[[#This Row],[Teva Adjusted %]]*$F$92</f>
        <v>915.98278418306484</v>
      </c>
      <c r="G72" s="17">
        <f>Table7[[#This Row],[Teva Adjusted %]]*$G$92</f>
        <v>915.98278418306484</v>
      </c>
      <c r="H72" s="17">
        <f>Table7[[#This Row],[Teva Adjusted %]]*$H$92</f>
        <v>972.39039339327701</v>
      </c>
      <c r="I72" s="17">
        <f>Table7[[#This Row],[Teva Adjusted %]]*$I$92</f>
        <v>972.39039339327701</v>
      </c>
      <c r="J72" s="17">
        <f>Table7[[#This Row],[Teva Adjusted %]]*$J$92</f>
        <v>972.39039339327701</v>
      </c>
      <c r="K72" s="17">
        <f>Table7[[#This Row],[Teva Adjusted %]]*$K$92</f>
        <v>972.39039339327701</v>
      </c>
      <c r="L72" s="17">
        <f>Table7[[#This Row],[Teva Adjusted %]]*$L$92</f>
        <v>972.39039339327701</v>
      </c>
      <c r="M72" s="17">
        <f>Table7[[#This Row],[Teva Adjusted %]]*$M$92</f>
        <v>972.39039339327701</v>
      </c>
      <c r="N72" s="17">
        <f>Table7[[#This Row],[Teva Adjusted %]]*$N$92</f>
        <v>972.39039339327701</v>
      </c>
      <c r="O72" s="17">
        <f>Table7[[#This Row],[Teva Adjusted %]]*$O$92</f>
        <v>972.39039339327701</v>
      </c>
      <c r="P72" s="17">
        <f>SUM(Table7[[#This Row],[Payment 1]:[Payment 13]])</f>
        <v>12655.487002162783</v>
      </c>
    </row>
    <row r="73" spans="1:16" x14ac:dyDescent="0.3">
      <c r="A73" t="s">
        <v>190</v>
      </c>
      <c r="B73">
        <v>9.55897212083953E-3</v>
      </c>
      <c r="C73" s="17">
        <f>Table7[[#This Row],[Teva Adjusted %]]*$C$92</f>
        <v>6939.2206037428186</v>
      </c>
      <c r="D73" s="17">
        <f>Table7[[#This Row],[Teva Adjusted %]]*$D$92</f>
        <v>13535.647109257523</v>
      </c>
      <c r="E73" s="17">
        <f>Table7[[#This Row],[Teva Adjusted %]]*$E$92</f>
        <v>14526.96666618103</v>
      </c>
      <c r="F73" s="17">
        <f>Table7[[#This Row],[Teva Adjusted %]]*$F$92</f>
        <v>10531.170591818951</v>
      </c>
      <c r="G73" s="17">
        <f>Table7[[#This Row],[Teva Adjusted %]]*$G$92</f>
        <v>10531.170591818951</v>
      </c>
      <c r="H73" s="17">
        <f>Table7[[#This Row],[Teva Adjusted %]]*$H$92</f>
        <v>11179.696050514342</v>
      </c>
      <c r="I73" s="17">
        <f>Table7[[#This Row],[Teva Adjusted %]]*$I$92</f>
        <v>11179.696050514342</v>
      </c>
      <c r="J73" s="17">
        <f>Table7[[#This Row],[Teva Adjusted %]]*$J$92</f>
        <v>11179.696050514342</v>
      </c>
      <c r="K73" s="17">
        <f>Table7[[#This Row],[Teva Adjusted %]]*$K$92</f>
        <v>11179.696050514342</v>
      </c>
      <c r="L73" s="17">
        <f>Table7[[#This Row],[Teva Adjusted %]]*$L$92</f>
        <v>11179.696050514342</v>
      </c>
      <c r="M73" s="17">
        <f>Table7[[#This Row],[Teva Adjusted %]]*$M$92</f>
        <v>11179.696050514342</v>
      </c>
      <c r="N73" s="17">
        <f>Table7[[#This Row],[Teva Adjusted %]]*$N$92</f>
        <v>11179.696050514342</v>
      </c>
      <c r="O73" s="17">
        <f>Table7[[#This Row],[Teva Adjusted %]]*$O$92</f>
        <v>11179.696050514342</v>
      </c>
      <c r="P73" s="17">
        <f>SUM(Table7[[#This Row],[Payment 1]:[Payment 13]])</f>
        <v>145501.74396693398</v>
      </c>
    </row>
    <row r="74" spans="1:16" x14ac:dyDescent="0.3">
      <c r="A74" t="s">
        <v>191</v>
      </c>
      <c r="B74">
        <v>2.7631202273507009E-2</v>
      </c>
      <c r="C74" s="17">
        <f>Table7[[#This Row],[Teva Adjusted %]]*$C$92</f>
        <v>20058.538271546451</v>
      </c>
      <c r="D74" s="17">
        <f>Table7[[#This Row],[Teva Adjusted %]]*$D$92</f>
        <v>39126.194579366282</v>
      </c>
      <c r="E74" s="17">
        <f>Table7[[#This Row],[Teva Adjusted %]]*$E$92</f>
        <v>41991.706775528131</v>
      </c>
      <c r="F74" s="17">
        <f>Table7[[#This Row],[Teva Adjusted %]]*$F$92</f>
        <v>30441.442983704554</v>
      </c>
      <c r="G74" s="17">
        <f>Table7[[#This Row],[Teva Adjusted %]]*$G$92</f>
        <v>30441.442983704554</v>
      </c>
      <c r="H74" s="17">
        <f>Table7[[#This Row],[Teva Adjusted %]]*$H$92</f>
        <v>32316.073216139779</v>
      </c>
      <c r="I74" s="17">
        <f>Table7[[#This Row],[Teva Adjusted %]]*$I$92</f>
        <v>32316.073216139779</v>
      </c>
      <c r="J74" s="17">
        <f>Table7[[#This Row],[Teva Adjusted %]]*$J$92</f>
        <v>32316.073216139779</v>
      </c>
      <c r="K74" s="17">
        <f>Table7[[#This Row],[Teva Adjusted %]]*$K$92</f>
        <v>32316.073216139779</v>
      </c>
      <c r="L74" s="17">
        <f>Table7[[#This Row],[Teva Adjusted %]]*$L$92</f>
        <v>32316.073216139779</v>
      </c>
      <c r="M74" s="17">
        <f>Table7[[#This Row],[Teva Adjusted %]]*$M$92</f>
        <v>32316.073216139779</v>
      </c>
      <c r="N74" s="17">
        <f>Table7[[#This Row],[Teva Adjusted %]]*$N$92</f>
        <v>32316.073216139779</v>
      </c>
      <c r="O74" s="17">
        <f>Table7[[#This Row],[Teva Adjusted %]]*$O$92</f>
        <v>32316.073216139779</v>
      </c>
      <c r="P74" s="17">
        <f>SUM(Table7[[#This Row],[Payment 1]:[Payment 13]])</f>
        <v>420587.91132296831</v>
      </c>
    </row>
    <row r="75" spans="1:16" x14ac:dyDescent="0.3">
      <c r="A75" t="s">
        <v>192</v>
      </c>
      <c r="B75">
        <v>8.3142266292569585E-4</v>
      </c>
      <c r="C75" s="17">
        <f>Table7[[#This Row],[Teva Adjusted %]]*$C$92</f>
        <v>603.56126161460145</v>
      </c>
      <c r="D75" s="17">
        <f>Table7[[#This Row],[Teva Adjusted %]]*$D$92</f>
        <v>1177.3068925964187</v>
      </c>
      <c r="E75" s="17">
        <f>Table7[[#This Row],[Teva Adjusted %]]*$E$92</f>
        <v>1263.5301324394152</v>
      </c>
      <c r="F75" s="17">
        <f>Table7[[#This Row],[Teva Adjusted %]]*$F$92</f>
        <v>915.98278418306484</v>
      </c>
      <c r="G75" s="17">
        <f>Table7[[#This Row],[Teva Adjusted %]]*$G$92</f>
        <v>915.98278418306484</v>
      </c>
      <c r="H75" s="17">
        <f>Table7[[#This Row],[Teva Adjusted %]]*$H$92</f>
        <v>972.39039339327701</v>
      </c>
      <c r="I75" s="17">
        <f>Table7[[#This Row],[Teva Adjusted %]]*$I$92</f>
        <v>972.39039339327701</v>
      </c>
      <c r="J75" s="17">
        <f>Table7[[#This Row],[Teva Adjusted %]]*$J$92</f>
        <v>972.39039339327701</v>
      </c>
      <c r="K75" s="17">
        <f>Table7[[#This Row],[Teva Adjusted %]]*$K$92</f>
        <v>972.39039339327701</v>
      </c>
      <c r="L75" s="17">
        <f>Table7[[#This Row],[Teva Adjusted %]]*$L$92</f>
        <v>972.39039339327701</v>
      </c>
      <c r="M75" s="17">
        <f>Table7[[#This Row],[Teva Adjusted %]]*$M$92</f>
        <v>972.39039339327701</v>
      </c>
      <c r="N75" s="17">
        <f>Table7[[#This Row],[Teva Adjusted %]]*$N$92</f>
        <v>972.39039339327701</v>
      </c>
      <c r="O75" s="17">
        <f>Table7[[#This Row],[Teva Adjusted %]]*$O$92</f>
        <v>972.39039339327701</v>
      </c>
      <c r="P75" s="17">
        <f>SUM(Table7[[#This Row],[Payment 1]:[Payment 13]])</f>
        <v>12655.487002162783</v>
      </c>
    </row>
    <row r="76" spans="1:16" x14ac:dyDescent="0.3">
      <c r="A76" t="s">
        <v>193</v>
      </c>
      <c r="B76">
        <v>2.7427525582133291E-3</v>
      </c>
      <c r="C76" s="17">
        <f>Table7[[#This Row],[Teva Adjusted %]]*$C$92</f>
        <v>1991.068163221162</v>
      </c>
      <c r="D76" s="17">
        <f>Table7[[#This Row],[Teva Adjusted %]]*$D$92</f>
        <v>3883.7785346243245</v>
      </c>
      <c r="E76" s="17">
        <f>Table7[[#This Row],[Teva Adjusted %]]*$E$92</f>
        <v>4168.2175115757564</v>
      </c>
      <c r="F76" s="17">
        <f>Table7[[#This Row],[Teva Adjusted %]]*$F$92</f>
        <v>3021.7051286007513</v>
      </c>
      <c r="G76" s="17">
        <f>Table7[[#This Row],[Teva Adjusted %]]*$G$92</f>
        <v>3021.7051286007513</v>
      </c>
      <c r="H76" s="17">
        <f>Table7[[#This Row],[Teva Adjusted %]]*$H$92</f>
        <v>3207.7863137341828</v>
      </c>
      <c r="I76" s="17">
        <f>Table7[[#This Row],[Teva Adjusted %]]*$I$92</f>
        <v>3207.7863137341828</v>
      </c>
      <c r="J76" s="17">
        <f>Table7[[#This Row],[Teva Adjusted %]]*$J$92</f>
        <v>3207.7863137341828</v>
      </c>
      <c r="K76" s="17">
        <f>Table7[[#This Row],[Teva Adjusted %]]*$K$92</f>
        <v>3207.7863137341828</v>
      </c>
      <c r="L76" s="17">
        <f>Table7[[#This Row],[Teva Adjusted %]]*$L$92</f>
        <v>3207.7863137341828</v>
      </c>
      <c r="M76" s="17">
        <f>Table7[[#This Row],[Teva Adjusted %]]*$M$92</f>
        <v>3207.7863137341828</v>
      </c>
      <c r="N76" s="17">
        <f>Table7[[#This Row],[Teva Adjusted %]]*$N$92</f>
        <v>3207.7863137341828</v>
      </c>
      <c r="O76" s="17">
        <f>Table7[[#This Row],[Teva Adjusted %]]*$O$92</f>
        <v>3207.7863137341828</v>
      </c>
      <c r="P76" s="17">
        <f>SUM(Table7[[#This Row],[Payment 1]:[Payment 13]])</f>
        <v>41748.764976496219</v>
      </c>
    </row>
    <row r="77" spans="1:16" x14ac:dyDescent="0.3">
      <c r="A77" t="s">
        <v>194</v>
      </c>
      <c r="B77">
        <v>8.3142266292569585E-4</v>
      </c>
      <c r="C77" s="17">
        <f>Table7[[#This Row],[Teva Adjusted %]]*$C$92</f>
        <v>603.56126161460145</v>
      </c>
      <c r="D77" s="17">
        <f>Table7[[#This Row],[Teva Adjusted %]]*$D$92</f>
        <v>1177.3068925964187</v>
      </c>
      <c r="E77" s="17">
        <f>Table7[[#This Row],[Teva Adjusted %]]*$E$92</f>
        <v>1263.5301324394152</v>
      </c>
      <c r="F77" s="17">
        <f>Table7[[#This Row],[Teva Adjusted %]]*$F$92</f>
        <v>915.98278418306484</v>
      </c>
      <c r="G77" s="17">
        <f>Table7[[#This Row],[Teva Adjusted %]]*$G$92</f>
        <v>915.98278418306484</v>
      </c>
      <c r="H77" s="17">
        <f>Table7[[#This Row],[Teva Adjusted %]]*$H$92</f>
        <v>972.39039339327701</v>
      </c>
      <c r="I77" s="17">
        <f>Table7[[#This Row],[Teva Adjusted %]]*$I$92</f>
        <v>972.39039339327701</v>
      </c>
      <c r="J77" s="17">
        <f>Table7[[#This Row],[Teva Adjusted %]]*$J$92</f>
        <v>972.39039339327701</v>
      </c>
      <c r="K77" s="17">
        <f>Table7[[#This Row],[Teva Adjusted %]]*$K$92</f>
        <v>972.39039339327701</v>
      </c>
      <c r="L77" s="17">
        <f>Table7[[#This Row],[Teva Adjusted %]]*$L$92</f>
        <v>972.39039339327701</v>
      </c>
      <c r="M77" s="17">
        <f>Table7[[#This Row],[Teva Adjusted %]]*$M$92</f>
        <v>972.39039339327701</v>
      </c>
      <c r="N77" s="17">
        <f>Table7[[#This Row],[Teva Adjusted %]]*$N$92</f>
        <v>972.39039339327701</v>
      </c>
      <c r="O77" s="17">
        <f>Table7[[#This Row],[Teva Adjusted %]]*$O$92</f>
        <v>972.39039339327701</v>
      </c>
      <c r="P77" s="17">
        <f>SUM(Table7[[#This Row],[Payment 1]:[Payment 13]])</f>
        <v>12655.487002162783</v>
      </c>
    </row>
    <row r="78" spans="1:16" x14ac:dyDescent="0.3">
      <c r="A78" t="s">
        <v>195</v>
      </c>
      <c r="B78">
        <v>8.3142266292569585E-4</v>
      </c>
      <c r="C78" s="17">
        <f>Table7[[#This Row],[Teva Adjusted %]]*$C$92</f>
        <v>603.56126161460145</v>
      </c>
      <c r="D78" s="17">
        <f>Table7[[#This Row],[Teva Adjusted %]]*$D$92</f>
        <v>1177.3068925964187</v>
      </c>
      <c r="E78" s="17">
        <f>Table7[[#This Row],[Teva Adjusted %]]*$E$92</f>
        <v>1263.5301324394152</v>
      </c>
      <c r="F78" s="17">
        <f>Table7[[#This Row],[Teva Adjusted %]]*$F$92</f>
        <v>915.98278418306484</v>
      </c>
      <c r="G78" s="17">
        <f>Table7[[#This Row],[Teva Adjusted %]]*$G$92</f>
        <v>915.98278418306484</v>
      </c>
      <c r="H78" s="17">
        <f>Table7[[#This Row],[Teva Adjusted %]]*$H$92</f>
        <v>972.39039339327701</v>
      </c>
      <c r="I78" s="17">
        <f>Table7[[#This Row],[Teva Adjusted %]]*$I$92</f>
        <v>972.39039339327701</v>
      </c>
      <c r="J78" s="17">
        <f>Table7[[#This Row],[Teva Adjusted %]]*$J$92</f>
        <v>972.39039339327701</v>
      </c>
      <c r="K78" s="17">
        <f>Table7[[#This Row],[Teva Adjusted %]]*$K$92</f>
        <v>972.39039339327701</v>
      </c>
      <c r="L78" s="17">
        <f>Table7[[#This Row],[Teva Adjusted %]]*$L$92</f>
        <v>972.39039339327701</v>
      </c>
      <c r="M78" s="17">
        <f>Table7[[#This Row],[Teva Adjusted %]]*$M$92</f>
        <v>972.39039339327701</v>
      </c>
      <c r="N78" s="17">
        <f>Table7[[#This Row],[Teva Adjusted %]]*$N$92</f>
        <v>972.39039339327701</v>
      </c>
      <c r="O78" s="17">
        <f>Table7[[#This Row],[Teva Adjusted %]]*$O$92</f>
        <v>972.39039339327701</v>
      </c>
      <c r="P78" s="17">
        <f>SUM(Table7[[#This Row],[Payment 1]:[Payment 13]])</f>
        <v>12655.487002162783</v>
      </c>
    </row>
    <row r="79" spans="1:16" x14ac:dyDescent="0.3">
      <c r="A79" t="s">
        <v>196</v>
      </c>
      <c r="B79">
        <v>2.2454553347214645E-3</v>
      </c>
      <c r="C79" s="17">
        <f>Table7[[#This Row],[Teva Adjusted %]]*$C$92</f>
        <v>1630.0612373911733</v>
      </c>
      <c r="D79" s="17">
        <f>Table7[[#This Row],[Teva Adjusted %]]*$D$92</f>
        <v>3179.5982482392787</v>
      </c>
      <c r="E79" s="17">
        <f>Table7[[#This Row],[Teva Adjusted %]]*$E$92</f>
        <v>3412.4646861123197</v>
      </c>
      <c r="F79" s="17">
        <f>Table7[[#This Row],[Teva Adjusted %]]*$F$92</f>
        <v>2473.830123921819</v>
      </c>
      <c r="G79" s="17">
        <f>Table7[[#This Row],[Teva Adjusted %]]*$G$92</f>
        <v>2473.830123921819</v>
      </c>
      <c r="H79" s="17">
        <f>Table7[[#This Row],[Teva Adjusted %]]*$H$92</f>
        <v>2626.1723352517911</v>
      </c>
      <c r="I79" s="17">
        <f>Table7[[#This Row],[Teva Adjusted %]]*$I$92</f>
        <v>2626.1723352517911</v>
      </c>
      <c r="J79" s="17">
        <f>Table7[[#This Row],[Teva Adjusted %]]*$J$92</f>
        <v>2626.1723352517911</v>
      </c>
      <c r="K79" s="17">
        <f>Table7[[#This Row],[Teva Adjusted %]]*$K$92</f>
        <v>2626.1723352517911</v>
      </c>
      <c r="L79" s="17">
        <f>Table7[[#This Row],[Teva Adjusted %]]*$L$92</f>
        <v>2626.1723352517911</v>
      </c>
      <c r="M79" s="17">
        <f>Table7[[#This Row],[Teva Adjusted %]]*$M$92</f>
        <v>2626.1723352517911</v>
      </c>
      <c r="N79" s="17">
        <f>Table7[[#This Row],[Teva Adjusted %]]*$N$92</f>
        <v>2626.1723352517911</v>
      </c>
      <c r="O79" s="17">
        <f>Table7[[#This Row],[Teva Adjusted %]]*$O$92</f>
        <v>2626.1723352517911</v>
      </c>
      <c r="P79" s="17">
        <f>SUM(Table7[[#This Row],[Payment 1]:[Payment 13]])</f>
        <v>34179.163101600738</v>
      </c>
    </row>
    <row r="80" spans="1:16" x14ac:dyDescent="0.3">
      <c r="A80" t="s">
        <v>197</v>
      </c>
      <c r="B80">
        <v>2.0785566573142396E-3</v>
      </c>
      <c r="C80" s="17">
        <f>Table7[[#This Row],[Teva Adjusted %]]*$C$92</f>
        <v>1508.9031540365036</v>
      </c>
      <c r="D80" s="17">
        <f>Table7[[#This Row],[Teva Adjusted %]]*$D$92</f>
        <v>2943.2672314910469</v>
      </c>
      <c r="E80" s="17">
        <f>Table7[[#This Row],[Teva Adjusted %]]*$E$92</f>
        <v>3158.8253310985378</v>
      </c>
      <c r="F80" s="17">
        <f>Table7[[#This Row],[Teva Adjusted %]]*$F$92</f>
        <v>2289.9569604576618</v>
      </c>
      <c r="G80" s="17">
        <f>Table7[[#This Row],[Teva Adjusted %]]*$G$92</f>
        <v>2289.9569604576618</v>
      </c>
      <c r="H80" s="17">
        <f>Table7[[#This Row],[Teva Adjusted %]]*$H$92</f>
        <v>2430.9759834831925</v>
      </c>
      <c r="I80" s="17">
        <f>Table7[[#This Row],[Teva Adjusted %]]*$I$92</f>
        <v>2430.9759834831925</v>
      </c>
      <c r="J80" s="17">
        <f>Table7[[#This Row],[Teva Adjusted %]]*$J$92</f>
        <v>2430.9759834831925</v>
      </c>
      <c r="K80" s="17">
        <f>Table7[[#This Row],[Teva Adjusted %]]*$K$92</f>
        <v>2430.9759834831925</v>
      </c>
      <c r="L80" s="17">
        <f>Table7[[#This Row],[Teva Adjusted %]]*$L$92</f>
        <v>2430.9759834831925</v>
      </c>
      <c r="M80" s="17">
        <f>Table7[[#This Row],[Teva Adjusted %]]*$M$92</f>
        <v>2430.9759834831925</v>
      </c>
      <c r="N80" s="17">
        <f>Table7[[#This Row],[Teva Adjusted %]]*$N$92</f>
        <v>2430.9759834831925</v>
      </c>
      <c r="O80" s="17">
        <f>Table7[[#This Row],[Teva Adjusted %]]*$O$92</f>
        <v>2430.9759834831925</v>
      </c>
      <c r="P80" s="17">
        <f>SUM(Table7[[#This Row],[Payment 1]:[Payment 13]])</f>
        <v>31638.717505406956</v>
      </c>
    </row>
    <row r="81" spans="1:16" x14ac:dyDescent="0.3">
      <c r="A81" t="s">
        <v>198</v>
      </c>
      <c r="B81">
        <v>1.3989341096586727E-2</v>
      </c>
      <c r="C81" s="17">
        <f>Table7[[#This Row],[Teva Adjusted %]]*$C$92</f>
        <v>10155.393565652017</v>
      </c>
      <c r="D81" s="17">
        <f>Table7[[#This Row],[Teva Adjusted %]]*$D$92</f>
        <v>19809.11566439439</v>
      </c>
      <c r="E81" s="17">
        <f>Table7[[#This Row],[Teva Adjusted %]]*$E$92</f>
        <v>21259.889580481737</v>
      </c>
      <c r="F81" s="17">
        <f>Table7[[#This Row],[Teva Adjusted %]]*$F$92</f>
        <v>15412.131732669963</v>
      </c>
      <c r="G81" s="17">
        <f>Table7[[#This Row],[Teva Adjusted %]]*$G$92</f>
        <v>15412.131732669963</v>
      </c>
      <c r="H81" s="17">
        <f>Table7[[#This Row],[Teva Adjusted %]]*$H$92</f>
        <v>16361.234181847665</v>
      </c>
      <c r="I81" s="17">
        <f>Table7[[#This Row],[Teva Adjusted %]]*$I$92</f>
        <v>16361.234181847665</v>
      </c>
      <c r="J81" s="17">
        <f>Table7[[#This Row],[Teva Adjusted %]]*$J$92</f>
        <v>16361.234181847665</v>
      </c>
      <c r="K81" s="17">
        <f>Table7[[#This Row],[Teva Adjusted %]]*$K$92</f>
        <v>16361.234181847665</v>
      </c>
      <c r="L81" s="17">
        <f>Table7[[#This Row],[Teva Adjusted %]]*$L$92</f>
        <v>16361.234181847665</v>
      </c>
      <c r="M81" s="17">
        <f>Table7[[#This Row],[Teva Adjusted %]]*$M$92</f>
        <v>16361.234181847665</v>
      </c>
      <c r="N81" s="17">
        <f>Table7[[#This Row],[Teva Adjusted %]]*$N$92</f>
        <v>16361.234181847665</v>
      </c>
      <c r="O81" s="17">
        <f>Table7[[#This Row],[Teva Adjusted %]]*$O$92</f>
        <v>16361.234181847665</v>
      </c>
      <c r="P81" s="17">
        <f>SUM(Table7[[#This Row],[Payment 1]:[Payment 13]])</f>
        <v>212938.53573064937</v>
      </c>
    </row>
    <row r="82" spans="1:16" x14ac:dyDescent="0.3">
      <c r="A82" t="s">
        <v>199</v>
      </c>
      <c r="B82">
        <v>2.0785566573142396E-3</v>
      </c>
      <c r="C82" s="17">
        <f>Table7[[#This Row],[Teva Adjusted %]]*$C$92</f>
        <v>1508.9031540365036</v>
      </c>
      <c r="D82" s="17">
        <f>Table7[[#This Row],[Teva Adjusted %]]*$D$92</f>
        <v>2943.2672314910469</v>
      </c>
      <c r="E82" s="17">
        <f>Table7[[#This Row],[Teva Adjusted %]]*$E$92</f>
        <v>3158.8253310985378</v>
      </c>
      <c r="F82" s="17">
        <f>Table7[[#This Row],[Teva Adjusted %]]*$F$92</f>
        <v>2289.9569604576618</v>
      </c>
      <c r="G82" s="17">
        <f>Table7[[#This Row],[Teva Adjusted %]]*$G$92</f>
        <v>2289.9569604576618</v>
      </c>
      <c r="H82" s="17">
        <f>Table7[[#This Row],[Teva Adjusted %]]*$H$92</f>
        <v>2430.9759834831925</v>
      </c>
      <c r="I82" s="17">
        <f>Table7[[#This Row],[Teva Adjusted %]]*$I$92</f>
        <v>2430.9759834831925</v>
      </c>
      <c r="J82" s="17">
        <f>Table7[[#This Row],[Teva Adjusted %]]*$J$92</f>
        <v>2430.9759834831925</v>
      </c>
      <c r="K82" s="17">
        <f>Table7[[#This Row],[Teva Adjusted %]]*$K$92</f>
        <v>2430.9759834831925</v>
      </c>
      <c r="L82" s="17">
        <f>Table7[[#This Row],[Teva Adjusted %]]*$L$92</f>
        <v>2430.9759834831925</v>
      </c>
      <c r="M82" s="17">
        <f>Table7[[#This Row],[Teva Adjusted %]]*$M$92</f>
        <v>2430.9759834831925</v>
      </c>
      <c r="N82" s="17">
        <f>Table7[[#This Row],[Teva Adjusted %]]*$N$92</f>
        <v>2430.9759834831925</v>
      </c>
      <c r="O82" s="17">
        <f>Table7[[#This Row],[Teva Adjusted %]]*$O$92</f>
        <v>2430.9759834831925</v>
      </c>
      <c r="P82" s="17">
        <f>SUM(Table7[[#This Row],[Payment 1]:[Payment 13]])</f>
        <v>31638.717505406956</v>
      </c>
    </row>
    <row r="83" spans="1:16" x14ac:dyDescent="0.3">
      <c r="A83" t="s">
        <v>200</v>
      </c>
      <c r="B83">
        <v>8.3142266292569585E-4</v>
      </c>
      <c r="C83" s="17">
        <f>Table7[[#This Row],[Teva Adjusted %]]*$C$92</f>
        <v>603.56126161460145</v>
      </c>
      <c r="D83" s="17">
        <f>Table7[[#This Row],[Teva Adjusted %]]*$D$92</f>
        <v>1177.3068925964187</v>
      </c>
      <c r="E83" s="17">
        <f>Table7[[#This Row],[Teva Adjusted %]]*$E$92</f>
        <v>1263.5301324394152</v>
      </c>
      <c r="F83" s="17">
        <f>Table7[[#This Row],[Teva Adjusted %]]*$F$92</f>
        <v>915.98278418306484</v>
      </c>
      <c r="G83" s="17">
        <f>Table7[[#This Row],[Teva Adjusted %]]*$G$92</f>
        <v>915.98278418306484</v>
      </c>
      <c r="H83" s="17">
        <f>Table7[[#This Row],[Teva Adjusted %]]*$H$92</f>
        <v>972.39039339327701</v>
      </c>
      <c r="I83" s="17">
        <f>Table7[[#This Row],[Teva Adjusted %]]*$I$92</f>
        <v>972.39039339327701</v>
      </c>
      <c r="J83" s="17">
        <f>Table7[[#This Row],[Teva Adjusted %]]*$J$92</f>
        <v>972.39039339327701</v>
      </c>
      <c r="K83" s="17">
        <f>Table7[[#This Row],[Teva Adjusted %]]*$K$92</f>
        <v>972.39039339327701</v>
      </c>
      <c r="L83" s="17">
        <f>Table7[[#This Row],[Teva Adjusted %]]*$L$92</f>
        <v>972.39039339327701</v>
      </c>
      <c r="M83" s="17">
        <f>Table7[[#This Row],[Teva Adjusted %]]*$M$92</f>
        <v>972.39039339327701</v>
      </c>
      <c r="N83" s="17">
        <f>Table7[[#This Row],[Teva Adjusted %]]*$N$92</f>
        <v>972.39039339327701</v>
      </c>
      <c r="O83" s="17">
        <f>Table7[[#This Row],[Teva Adjusted %]]*$O$92</f>
        <v>972.39039339327701</v>
      </c>
      <c r="P83" s="17">
        <f>SUM(Table7[[#This Row],[Payment 1]:[Payment 13]])</f>
        <v>12655.487002162783</v>
      </c>
    </row>
    <row r="84" spans="1:16" x14ac:dyDescent="0.3">
      <c r="A84" t="s">
        <v>201</v>
      </c>
      <c r="B84">
        <v>2.3699667451665581E-2</v>
      </c>
      <c r="C84" s="17">
        <f>Table7[[#This Row],[Teva Adjusted %]]*$C$92</f>
        <v>17204.487951577703</v>
      </c>
      <c r="D84" s="17">
        <f>Table7[[#This Row],[Teva Adjusted %]]*$D$92</f>
        <v>33559.08262700613</v>
      </c>
      <c r="E84" s="17">
        <f>Table7[[#This Row],[Teva Adjusted %]]*$E$92</f>
        <v>36016.872391472585</v>
      </c>
      <c r="F84" s="17">
        <f>Table7[[#This Row],[Teva Adjusted %]]*$F$92</f>
        <v>26110.050091970472</v>
      </c>
      <c r="G84" s="17">
        <f>Table7[[#This Row],[Teva Adjusted %]]*$G$92</f>
        <v>26110.050091970472</v>
      </c>
      <c r="H84" s="17">
        <f>Table7[[#This Row],[Teva Adjusted %]]*$H$92</f>
        <v>27717.946580287644</v>
      </c>
      <c r="I84" s="17">
        <f>Table7[[#This Row],[Teva Adjusted %]]*$I$92</f>
        <v>27717.946580287644</v>
      </c>
      <c r="J84" s="17">
        <f>Table7[[#This Row],[Teva Adjusted %]]*$J$92</f>
        <v>27717.946580287644</v>
      </c>
      <c r="K84" s="17">
        <f>Table7[[#This Row],[Teva Adjusted %]]*$K$92</f>
        <v>27717.946580287644</v>
      </c>
      <c r="L84" s="17">
        <f>Table7[[#This Row],[Teva Adjusted %]]*$L$92</f>
        <v>27717.946580287644</v>
      </c>
      <c r="M84" s="17">
        <f>Table7[[#This Row],[Teva Adjusted %]]*$M$92</f>
        <v>27717.946580287644</v>
      </c>
      <c r="N84" s="17">
        <f>Table7[[#This Row],[Teva Adjusted %]]*$N$92</f>
        <v>27717.946580287644</v>
      </c>
      <c r="O84" s="17">
        <f>Table7[[#This Row],[Teva Adjusted %]]*$O$92</f>
        <v>27717.946580287644</v>
      </c>
      <c r="P84" s="17">
        <f>SUM(Table7[[#This Row],[Payment 1]:[Payment 13]])</f>
        <v>360744.11579629855</v>
      </c>
    </row>
    <row r="85" spans="1:16" x14ac:dyDescent="0.3">
      <c r="A85" t="s">
        <v>202</v>
      </c>
      <c r="B85">
        <v>8.3142266292569585E-4</v>
      </c>
      <c r="C85" s="17">
        <f>Table7[[#This Row],[Teva Adjusted %]]*$C$92</f>
        <v>603.56126161460145</v>
      </c>
      <c r="D85" s="17">
        <f>Table7[[#This Row],[Teva Adjusted %]]*$D$92</f>
        <v>1177.3068925964187</v>
      </c>
      <c r="E85" s="17">
        <f>Table7[[#This Row],[Teva Adjusted %]]*$E$92</f>
        <v>1263.5301324394152</v>
      </c>
      <c r="F85" s="17">
        <f>Table7[[#This Row],[Teva Adjusted %]]*$F$92</f>
        <v>915.98278418306484</v>
      </c>
      <c r="G85" s="17">
        <f>Table7[[#This Row],[Teva Adjusted %]]*$G$92</f>
        <v>915.98278418306484</v>
      </c>
      <c r="H85" s="17">
        <f>Table7[[#This Row],[Teva Adjusted %]]*$H$92</f>
        <v>972.39039339327701</v>
      </c>
      <c r="I85" s="17">
        <f>Table7[[#This Row],[Teva Adjusted %]]*$I$92</f>
        <v>972.39039339327701</v>
      </c>
      <c r="J85" s="17">
        <f>Table7[[#This Row],[Teva Adjusted %]]*$J$92</f>
        <v>972.39039339327701</v>
      </c>
      <c r="K85" s="17">
        <f>Table7[[#This Row],[Teva Adjusted %]]*$K$92</f>
        <v>972.39039339327701</v>
      </c>
      <c r="L85" s="17">
        <f>Table7[[#This Row],[Teva Adjusted %]]*$L$92</f>
        <v>972.39039339327701</v>
      </c>
      <c r="M85" s="17">
        <f>Table7[[#This Row],[Teva Adjusted %]]*$M$92</f>
        <v>972.39039339327701</v>
      </c>
      <c r="N85" s="17">
        <f>Table7[[#This Row],[Teva Adjusted %]]*$N$92</f>
        <v>972.39039339327701</v>
      </c>
      <c r="O85" s="17">
        <f>Table7[[#This Row],[Teva Adjusted %]]*$O$92</f>
        <v>972.39039339327701</v>
      </c>
      <c r="P85" s="17">
        <f>SUM(Table7[[#This Row],[Payment 1]:[Payment 13]])</f>
        <v>12655.487002162783</v>
      </c>
    </row>
    <row r="86" spans="1:16" x14ac:dyDescent="0.3">
      <c r="A86" t="s">
        <v>203</v>
      </c>
      <c r="B86">
        <v>2.962132669033511E-3</v>
      </c>
      <c r="C86" s="17">
        <f>Table7[[#This Row],[Teva Adjusted %]]*$C$92</f>
        <v>2150.3245106411905</v>
      </c>
      <c r="D86" s="17">
        <f>Table7[[#This Row],[Teva Adjusted %]]*$D$92</f>
        <v>4194.4240439231835</v>
      </c>
      <c r="E86" s="17">
        <f>Table7[[#This Row],[Teva Adjusted %]]*$E$92</f>
        <v>4501.6139810727282</v>
      </c>
      <c r="F86" s="17">
        <f>Table7[[#This Row],[Teva Adjusted %]]*$F$92</f>
        <v>3263.3973672947764</v>
      </c>
      <c r="G86" s="17">
        <f>Table7[[#This Row],[Teva Adjusted %]]*$G$92</f>
        <v>3263.3973672947764</v>
      </c>
      <c r="H86" s="17">
        <f>Table7[[#This Row],[Teva Adjusted %]]*$H$92</f>
        <v>3464.3623270851231</v>
      </c>
      <c r="I86" s="17">
        <f>Table7[[#This Row],[Teva Adjusted %]]*$I$92</f>
        <v>3464.3623270851231</v>
      </c>
      <c r="J86" s="17">
        <f>Table7[[#This Row],[Teva Adjusted %]]*$J$92</f>
        <v>3464.3623270851231</v>
      </c>
      <c r="K86" s="17">
        <f>Table7[[#This Row],[Teva Adjusted %]]*$K$92</f>
        <v>3464.3623270851231</v>
      </c>
      <c r="L86" s="17">
        <f>Table7[[#This Row],[Teva Adjusted %]]*$L$92</f>
        <v>3464.3623270851231</v>
      </c>
      <c r="M86" s="17">
        <f>Table7[[#This Row],[Teva Adjusted %]]*$M$92</f>
        <v>3464.3623270851231</v>
      </c>
      <c r="N86" s="17">
        <f>Table7[[#This Row],[Teva Adjusted %]]*$N$92</f>
        <v>3464.3623270851231</v>
      </c>
      <c r="O86" s="17">
        <f>Table7[[#This Row],[Teva Adjusted %]]*$O$92</f>
        <v>3464.3623270851231</v>
      </c>
      <c r="P86" s="17">
        <f>SUM(Table7[[#This Row],[Payment 1]:[Payment 13]])</f>
        <v>45088.055886907641</v>
      </c>
    </row>
    <row r="87" spans="1:16" x14ac:dyDescent="0.3">
      <c r="A87" t="s">
        <v>204</v>
      </c>
      <c r="B87">
        <v>8.3142266292569585E-4</v>
      </c>
      <c r="C87" s="17">
        <f>Table7[[#This Row],[Teva Adjusted %]]*$C$92</f>
        <v>603.56126161460145</v>
      </c>
      <c r="D87" s="17">
        <f>Table7[[#This Row],[Teva Adjusted %]]*$D$92</f>
        <v>1177.3068925964187</v>
      </c>
      <c r="E87" s="17">
        <f>Table7[[#This Row],[Teva Adjusted %]]*$E$92</f>
        <v>1263.5301324394152</v>
      </c>
      <c r="F87" s="17">
        <f>Table7[[#This Row],[Teva Adjusted %]]*$F$92</f>
        <v>915.98278418306484</v>
      </c>
      <c r="G87" s="17">
        <f>Table7[[#This Row],[Teva Adjusted %]]*$G$92</f>
        <v>915.98278418306484</v>
      </c>
      <c r="H87" s="17">
        <f>Table7[[#This Row],[Teva Adjusted %]]*$H$92</f>
        <v>972.39039339327701</v>
      </c>
      <c r="I87" s="17">
        <f>Table7[[#This Row],[Teva Adjusted %]]*$I$92</f>
        <v>972.39039339327701</v>
      </c>
      <c r="J87" s="17">
        <f>Table7[[#This Row],[Teva Adjusted %]]*$J$92</f>
        <v>972.39039339327701</v>
      </c>
      <c r="K87" s="17">
        <f>Table7[[#This Row],[Teva Adjusted %]]*$K$92</f>
        <v>972.39039339327701</v>
      </c>
      <c r="L87" s="17">
        <f>Table7[[#This Row],[Teva Adjusted %]]*$L$92</f>
        <v>972.39039339327701</v>
      </c>
      <c r="M87" s="17">
        <f>Table7[[#This Row],[Teva Adjusted %]]*$M$92</f>
        <v>972.39039339327701</v>
      </c>
      <c r="N87" s="17">
        <f>Table7[[#This Row],[Teva Adjusted %]]*$N$92</f>
        <v>972.39039339327701</v>
      </c>
      <c r="O87" s="17">
        <f>Table7[[#This Row],[Teva Adjusted %]]*$O$92</f>
        <v>972.39039339327701</v>
      </c>
      <c r="P87" s="17">
        <f>SUM(Table7[[#This Row],[Payment 1]:[Payment 13]])</f>
        <v>12655.487002162783</v>
      </c>
    </row>
    <row r="88" spans="1:16" x14ac:dyDescent="0.3">
      <c r="A88" t="s">
        <v>205</v>
      </c>
      <c r="B88">
        <v>8.3142266292569585E-4</v>
      </c>
      <c r="C88" s="17">
        <f>Table7[[#This Row],[Teva Adjusted %]]*$C$92</f>
        <v>603.56126161460145</v>
      </c>
      <c r="D88" s="17">
        <f>Table7[[#This Row],[Teva Adjusted %]]*$D$92</f>
        <v>1177.3068925964187</v>
      </c>
      <c r="E88" s="17">
        <f>Table7[[#This Row],[Teva Adjusted %]]*$E$92</f>
        <v>1263.5301324394152</v>
      </c>
      <c r="F88" s="17">
        <f>Table7[[#This Row],[Teva Adjusted %]]*$F$92</f>
        <v>915.98278418306484</v>
      </c>
      <c r="G88" s="17">
        <f>Table7[[#This Row],[Teva Adjusted %]]*$G$92</f>
        <v>915.98278418306484</v>
      </c>
      <c r="H88" s="17">
        <f>Table7[[#This Row],[Teva Adjusted %]]*$H$92</f>
        <v>972.39039339327701</v>
      </c>
      <c r="I88" s="17">
        <f>Table7[[#This Row],[Teva Adjusted %]]*$I$92</f>
        <v>972.39039339327701</v>
      </c>
      <c r="J88" s="17">
        <f>Table7[[#This Row],[Teva Adjusted %]]*$J$92</f>
        <v>972.39039339327701</v>
      </c>
      <c r="K88" s="17">
        <f>Table7[[#This Row],[Teva Adjusted %]]*$K$92</f>
        <v>972.39039339327701</v>
      </c>
      <c r="L88" s="17">
        <f>Table7[[#This Row],[Teva Adjusted %]]*$L$92</f>
        <v>972.39039339327701</v>
      </c>
      <c r="M88" s="17">
        <f>Table7[[#This Row],[Teva Adjusted %]]*$M$92</f>
        <v>972.39039339327701</v>
      </c>
      <c r="N88" s="17">
        <f>Table7[[#This Row],[Teva Adjusted %]]*$N$92</f>
        <v>972.39039339327701</v>
      </c>
      <c r="O88" s="17">
        <f>Table7[[#This Row],[Teva Adjusted %]]*$O$92</f>
        <v>972.39039339327701</v>
      </c>
      <c r="P88" s="17">
        <f>SUM(Table7[[#This Row],[Payment 1]:[Payment 13]])</f>
        <v>12655.487002162783</v>
      </c>
    </row>
    <row r="89" spans="1:16" x14ac:dyDescent="0.3">
      <c r="A89" t="s">
        <v>206</v>
      </c>
      <c r="B89">
        <v>2.0785566573142396E-3</v>
      </c>
      <c r="C89" s="17">
        <f>Table7[[#This Row],[Teva Adjusted %]]*$C$92</f>
        <v>1508.9031540365036</v>
      </c>
      <c r="D89" s="17">
        <f>Table7[[#This Row],[Teva Adjusted %]]*$D$92</f>
        <v>2943.2672314910469</v>
      </c>
      <c r="E89" s="17">
        <f>Table7[[#This Row],[Teva Adjusted %]]*$E$92</f>
        <v>3158.8253310985378</v>
      </c>
      <c r="F89" s="17">
        <f>Table7[[#This Row],[Teva Adjusted %]]*$F$92</f>
        <v>2289.9569604576618</v>
      </c>
      <c r="G89" s="17">
        <f>Table7[[#This Row],[Teva Adjusted %]]*$G$92</f>
        <v>2289.9569604576618</v>
      </c>
      <c r="H89" s="17">
        <f>Table7[[#This Row],[Teva Adjusted %]]*$H$92</f>
        <v>2430.9759834831925</v>
      </c>
      <c r="I89" s="17">
        <f>Table7[[#This Row],[Teva Adjusted %]]*$I$92</f>
        <v>2430.9759834831925</v>
      </c>
      <c r="J89" s="17">
        <f>Table7[[#This Row],[Teva Adjusted %]]*$J$92</f>
        <v>2430.9759834831925</v>
      </c>
      <c r="K89" s="17">
        <f>Table7[[#This Row],[Teva Adjusted %]]*$K$92</f>
        <v>2430.9759834831925</v>
      </c>
      <c r="L89" s="17">
        <f>Table7[[#This Row],[Teva Adjusted %]]*$L$92</f>
        <v>2430.9759834831925</v>
      </c>
      <c r="M89" s="17">
        <f>Table7[[#This Row],[Teva Adjusted %]]*$M$92</f>
        <v>2430.9759834831925</v>
      </c>
      <c r="N89" s="17">
        <f>Table7[[#This Row],[Teva Adjusted %]]*$N$92</f>
        <v>2430.9759834831925</v>
      </c>
      <c r="O89" s="17">
        <f>Table7[[#This Row],[Teva Adjusted %]]*$O$92</f>
        <v>2430.9759834831925</v>
      </c>
      <c r="P89" s="17">
        <f>SUM(Table7[[#This Row],[Payment 1]:[Payment 13]])</f>
        <v>31638.717505406956</v>
      </c>
    </row>
    <row r="90" spans="1:16" x14ac:dyDescent="0.3">
      <c r="A90" t="s">
        <v>207</v>
      </c>
      <c r="B90">
        <v>3.0500584533214168E-2</v>
      </c>
      <c r="C90" s="17">
        <f>Table7[[#This Row],[Teva Adjusted %]]*$C$92</f>
        <v>22141.531740390808</v>
      </c>
      <c r="D90" s="17">
        <f>Table7[[#This Row],[Teva Adjusted %]]*$D$92</f>
        <v>43189.28266017438</v>
      </c>
      <c r="E90" s="17">
        <f>Table7[[#This Row],[Teva Adjusted %]]*$E$92</f>
        <v>46352.366050642348</v>
      </c>
      <c r="F90" s="17">
        <f>Table7[[#This Row],[Teva Adjusted %]]*$F$92</f>
        <v>33602.656730132039</v>
      </c>
      <c r="G90" s="17">
        <f>Table7[[#This Row],[Teva Adjusted %]]*$G$92</f>
        <v>33602.656730132039</v>
      </c>
      <c r="H90" s="17">
        <f>Table7[[#This Row],[Teva Adjusted %]]*$H$92</f>
        <v>35671.959299992763</v>
      </c>
      <c r="I90" s="17">
        <f>Table7[[#This Row],[Teva Adjusted %]]*$I$92</f>
        <v>35671.959299992763</v>
      </c>
      <c r="J90" s="17">
        <f>Table7[[#This Row],[Teva Adjusted %]]*$J$92</f>
        <v>35671.959299992763</v>
      </c>
      <c r="K90" s="17">
        <f>Table7[[#This Row],[Teva Adjusted %]]*$K$92</f>
        <v>35671.959299992763</v>
      </c>
      <c r="L90" s="17">
        <f>Table7[[#This Row],[Teva Adjusted %]]*$L$92</f>
        <v>35671.959299992763</v>
      </c>
      <c r="M90" s="17">
        <f>Table7[[#This Row],[Teva Adjusted %]]*$M$92</f>
        <v>35671.959299992763</v>
      </c>
      <c r="N90" s="17">
        <f>Table7[[#This Row],[Teva Adjusted %]]*$N$92</f>
        <v>35671.959299992763</v>
      </c>
      <c r="O90" s="17">
        <f>Table7[[#This Row],[Teva Adjusted %]]*$O$92</f>
        <v>35671.959299992763</v>
      </c>
      <c r="P90" s="17">
        <f>SUM(Table7[[#This Row],[Payment 1]:[Payment 13]])</f>
        <v>464264.16831141373</v>
      </c>
    </row>
    <row r="92" spans="1:16" x14ac:dyDescent="0.3">
      <c r="A92" t="s">
        <v>6</v>
      </c>
      <c r="C92" s="7">
        <f>'Teva Allergan Lit Breakdown'!E2</f>
        <v>725937.94772291603</v>
      </c>
      <c r="D92" s="7">
        <f>'Teva Allergan Lit Breakdown'!E3</f>
        <v>1416014.9164729163</v>
      </c>
      <c r="E92" s="7">
        <f>'Teva Allergan Lit Breakdown'!E4</f>
        <v>1519720.581097916</v>
      </c>
      <c r="F92" s="7">
        <f>'Teva Allergan Lit Breakdown'!E5</f>
        <v>1101705.3359597032</v>
      </c>
      <c r="G92" s="7">
        <f>'Teva Allergan Lit Breakdown'!E6</f>
        <v>1101705.3359597032</v>
      </c>
      <c r="H92" s="7">
        <f>'Teva Allergan Lit Breakdown'!E7</f>
        <v>1169550.0216117869</v>
      </c>
      <c r="I92" s="7">
        <f>'Teva Allergan Lit Breakdown'!E8</f>
        <v>1169550.0216117869</v>
      </c>
      <c r="J92" s="7">
        <f>'Teva Allergan Lit Breakdown'!E9</f>
        <v>1169550.0216117869</v>
      </c>
      <c r="K92" s="7">
        <f>'Teva Allergan Lit Breakdown'!E10</f>
        <v>1169550.0216117869</v>
      </c>
      <c r="L92" s="7">
        <f>'Teva Allergan Lit Breakdown'!E11</f>
        <v>1169550.0216117869</v>
      </c>
      <c r="M92" s="7">
        <f>'Teva Allergan Lit Breakdown'!E12</f>
        <v>1169550.0216117869</v>
      </c>
      <c r="N92" s="7">
        <f>'Teva Allergan Lit Breakdown'!E13</f>
        <v>1169550.0216117869</v>
      </c>
      <c r="O92" s="7">
        <f>'Teva Allergan Lit Breakdown'!E14</f>
        <v>1169550.0216117869</v>
      </c>
      <c r="P92" s="7">
        <f>SUM(C92:O92)</f>
        <v>15221484.290107453</v>
      </c>
    </row>
    <row r="94" spans="1:16" x14ac:dyDescent="0.3">
      <c r="A94" t="s">
        <v>214</v>
      </c>
      <c r="B94" t="s">
        <v>215</v>
      </c>
      <c r="C94" t="s">
        <v>93</v>
      </c>
      <c r="D94" t="s">
        <v>94</v>
      </c>
      <c r="E94" t="s">
        <v>95</v>
      </c>
      <c r="F94" t="s">
        <v>96</v>
      </c>
      <c r="G94" t="s">
        <v>97</v>
      </c>
      <c r="H94" t="s">
        <v>98</v>
      </c>
      <c r="I94" t="s">
        <v>99</v>
      </c>
      <c r="J94" t="s">
        <v>100</v>
      </c>
      <c r="K94" t="s">
        <v>101</v>
      </c>
      <c r="L94" t="s">
        <v>102</v>
      </c>
      <c r="M94" t="s">
        <v>103</v>
      </c>
      <c r="N94" t="s">
        <v>104</v>
      </c>
      <c r="O94" t="s">
        <v>105</v>
      </c>
      <c r="P94" t="s">
        <v>6</v>
      </c>
    </row>
    <row r="95" spans="1:16" x14ac:dyDescent="0.3">
      <c r="A95" t="s">
        <v>76</v>
      </c>
      <c r="B95">
        <v>0.7</v>
      </c>
      <c r="C95" s="7">
        <f>Table8[[#This Row],[Bellwether Percent]]*$C$99</f>
        <v>169385.52113534705</v>
      </c>
      <c r="D95" s="7">
        <f>Table8[[#This Row],[Bellwether Percent]]*$D$99</f>
        <v>330403.48051034712</v>
      </c>
      <c r="E95" s="7">
        <f>Table8[[#This Row],[Bellwether Percent]]*$E$99</f>
        <v>354601.46892284707</v>
      </c>
      <c r="F95" s="7">
        <f>Table8[[#This Row],[Bellwether Percent]]*$F$99</f>
        <v>257064.57839059739</v>
      </c>
      <c r="G95" s="7">
        <f>Table8[[#This Row],[Bellwether Percent]]*$G$99</f>
        <v>257064.57839059739</v>
      </c>
      <c r="H95" s="7">
        <f>Table8[[#This Row],[Bellwether Percent]]*$H$99</f>
        <v>272895.00504275027</v>
      </c>
      <c r="I95" s="7">
        <f>Table8[[#This Row],[Bellwether Percent]]*$I$99</f>
        <v>272895.00504275027</v>
      </c>
      <c r="J95" s="7">
        <f>Table8[[#This Row],[Bellwether Percent]]*$J$99</f>
        <v>272895.00504275027</v>
      </c>
      <c r="K95" s="7">
        <f>Table8[[#This Row],[Bellwether Percent]]*$K$99</f>
        <v>272895.00504275027</v>
      </c>
      <c r="L95" s="7">
        <f>Table8[[#This Row],[Bellwether Percent]]*$L$99</f>
        <v>272895.00504275027</v>
      </c>
      <c r="M95" s="7">
        <f>Table8[[#This Row],[Bellwether Percent]]*$M$99</f>
        <v>272895.00504275027</v>
      </c>
      <c r="N95" s="7">
        <f>Table8[[#This Row],[Bellwether Percent]]*$N$99</f>
        <v>272895.00504275027</v>
      </c>
      <c r="O95" s="7">
        <f>Table8[[#This Row],[Bellwether Percent]]*$O$99</f>
        <v>272895.00504275027</v>
      </c>
      <c r="P95" s="7">
        <f>SUM(Table8[[#This Row],[Payment 1]:[Payment 13]])</f>
        <v>3551679.6676917388</v>
      </c>
    </row>
    <row r="96" spans="1:16" x14ac:dyDescent="0.3">
      <c r="A96" t="s">
        <v>48</v>
      </c>
      <c r="B96">
        <v>0.25</v>
      </c>
      <c r="C96" s="7">
        <f>Table8[[#This Row],[Bellwether Percent]]*$C$99</f>
        <v>60494.828976909666</v>
      </c>
      <c r="D96" s="7">
        <f>Table8[[#This Row],[Bellwether Percent]]*$D$99</f>
        <v>118001.24303940969</v>
      </c>
      <c r="E96" s="7">
        <f>Table8[[#This Row],[Bellwether Percent]]*$E$99</f>
        <v>126643.38175815967</v>
      </c>
      <c r="F96" s="7">
        <f>Table8[[#This Row],[Bellwether Percent]]*$F$99</f>
        <v>91808.777996641933</v>
      </c>
      <c r="G96" s="7">
        <f>Table8[[#This Row],[Bellwether Percent]]*$G$99</f>
        <v>91808.777996641933</v>
      </c>
      <c r="H96" s="7">
        <f>Table8[[#This Row],[Bellwether Percent]]*$H$99</f>
        <v>97462.501800982252</v>
      </c>
      <c r="I96" s="7">
        <f>Table8[[#This Row],[Bellwether Percent]]*$I$99</f>
        <v>97462.501800982238</v>
      </c>
      <c r="J96" s="7">
        <f>Table8[[#This Row],[Bellwether Percent]]*$J$99</f>
        <v>97462.501800982238</v>
      </c>
      <c r="K96" s="7">
        <f>Table8[[#This Row],[Bellwether Percent]]*$K$99</f>
        <v>97462.501800982238</v>
      </c>
      <c r="L96" s="7">
        <f>Table8[[#This Row],[Bellwether Percent]]*$L$99</f>
        <v>97462.501800982238</v>
      </c>
      <c r="M96" s="7">
        <f>Table8[[#This Row],[Bellwether Percent]]*$M$99</f>
        <v>97462.501800982252</v>
      </c>
      <c r="N96" s="7">
        <f>Table8[[#This Row],[Bellwether Percent]]*$N$99</f>
        <v>97462.501800982252</v>
      </c>
      <c r="O96" s="7">
        <f>Table8[[#This Row],[Bellwether Percent]]*$O$99</f>
        <v>97462.501800982252</v>
      </c>
      <c r="P96" s="7">
        <f>SUM(Table8[[#This Row],[Payment 1]:[Payment 13]])</f>
        <v>1268457.0241756211</v>
      </c>
    </row>
    <row r="97" spans="1:16" x14ac:dyDescent="0.3">
      <c r="A97" t="s">
        <v>38</v>
      </c>
      <c r="B97">
        <v>0.05</v>
      </c>
      <c r="C97" s="7">
        <f>Table8[[#This Row],[Bellwether Percent]]*$C$99</f>
        <v>12098.965795381933</v>
      </c>
      <c r="D97" s="7">
        <f>Table8[[#This Row],[Bellwether Percent]]*$D$99</f>
        <v>23600.248607881938</v>
      </c>
      <c r="E97" s="7">
        <f>Table8[[#This Row],[Bellwether Percent]]*$E$99</f>
        <v>25328.676351631933</v>
      </c>
      <c r="F97" s="7">
        <f>Table8[[#This Row],[Bellwether Percent]]*$F$99</f>
        <v>18361.755599328386</v>
      </c>
      <c r="G97" s="7">
        <f>Table8[[#This Row],[Bellwether Percent]]*$G$99</f>
        <v>18361.755599328386</v>
      </c>
      <c r="H97" s="7">
        <f>Table8[[#This Row],[Bellwether Percent]]*$H$99</f>
        <v>19492.500360196453</v>
      </c>
      <c r="I97" s="7">
        <f>Table8[[#This Row],[Bellwether Percent]]*$I$99</f>
        <v>19492.500360196449</v>
      </c>
      <c r="J97" s="7">
        <f>Table8[[#This Row],[Bellwether Percent]]*$J$99</f>
        <v>19492.500360196449</v>
      </c>
      <c r="K97" s="7">
        <f>Table8[[#This Row],[Bellwether Percent]]*$K$99</f>
        <v>19492.500360196449</v>
      </c>
      <c r="L97" s="7">
        <f>Table8[[#This Row],[Bellwether Percent]]*$L$99</f>
        <v>19492.500360196449</v>
      </c>
      <c r="M97" s="7">
        <f>Table8[[#This Row],[Bellwether Percent]]*$M$99</f>
        <v>19492.500360196453</v>
      </c>
      <c r="N97" s="7">
        <f>Table8[[#This Row],[Bellwether Percent]]*$N$99</f>
        <v>19492.500360196453</v>
      </c>
      <c r="O97" s="7">
        <f>Table8[[#This Row],[Bellwether Percent]]*$O$99</f>
        <v>19492.500360196453</v>
      </c>
      <c r="P97" s="7">
        <f>SUM(Table8[[#This Row],[Payment 1]:[Payment 13]])</f>
        <v>253691.40483512424</v>
      </c>
    </row>
    <row r="99" spans="1:16" x14ac:dyDescent="0.3">
      <c r="A99" t="s">
        <v>6</v>
      </c>
      <c r="C99" s="7">
        <f>'Teva Allergan Lit Breakdown'!D2</f>
        <v>241979.31590763867</v>
      </c>
      <c r="D99" s="7">
        <f>'Teva Allergan Lit Breakdown'!D3</f>
        <v>472004.97215763875</v>
      </c>
      <c r="E99" s="7">
        <f>'Teva Allergan Lit Breakdown'!D4</f>
        <v>506573.52703263867</v>
      </c>
      <c r="F99" s="7">
        <f>'Teva Allergan Lit Breakdown'!D5</f>
        <v>367235.11198656773</v>
      </c>
      <c r="G99" s="7">
        <f>'Teva Allergan Lit Breakdown'!D6</f>
        <v>367235.11198656773</v>
      </c>
      <c r="H99" s="7">
        <f>'Teva Allergan Lit Breakdown'!D7</f>
        <v>389850.00720392901</v>
      </c>
      <c r="I99" s="7">
        <f>'Teva Allergan Lit Breakdown'!D8</f>
        <v>389850.00720392895</v>
      </c>
      <c r="J99" s="7">
        <f>'Teva Allergan Lit Breakdown'!D9</f>
        <v>389850.00720392895</v>
      </c>
      <c r="K99" s="7">
        <f>'Teva Allergan Lit Breakdown'!D10</f>
        <v>389850.00720392895</v>
      </c>
      <c r="L99" s="7">
        <f>'Teva Allergan Lit Breakdown'!D11</f>
        <v>389850.00720392895</v>
      </c>
      <c r="M99" s="7">
        <f>'Teva Allergan Lit Breakdown'!D12</f>
        <v>389850.00720392901</v>
      </c>
      <c r="N99" s="7">
        <f>'Teva Allergan Lit Breakdown'!D13</f>
        <v>389850.00720392901</v>
      </c>
      <c r="O99" s="7">
        <f>'Teva Allergan Lit Breakdown'!D14</f>
        <v>389850.00720392901</v>
      </c>
      <c r="P99" s="7">
        <f>SUM(C99:O99)</f>
        <v>5073828.0967024844</v>
      </c>
    </row>
  </sheetData>
  <pageMargins left="0.7" right="0.7" top="0.75" bottom="0.75" header="0.3" footer="0.3"/>
  <tableParts count="2">
    <tablePart r:id="rId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J108"/>
  <sheetViews>
    <sheetView workbookViewId="0"/>
  </sheetViews>
  <sheetFormatPr defaultRowHeight="14.4" x14ac:dyDescent="0.3"/>
  <cols>
    <col min="1" max="1" width="32.5546875" customWidth="1"/>
    <col min="2" max="2" width="28.5546875" customWidth="1"/>
    <col min="3" max="9" width="15.6640625" customWidth="1"/>
    <col min="10" max="10" width="17.88671875" customWidth="1"/>
  </cols>
  <sheetData>
    <row r="1" spans="1:10" x14ac:dyDescent="0.3">
      <c r="A1" t="s">
        <v>117</v>
      </c>
      <c r="B1" t="s">
        <v>216</v>
      </c>
      <c r="C1" t="s">
        <v>93</v>
      </c>
      <c r="D1" t="s">
        <v>94</v>
      </c>
      <c r="E1" t="s">
        <v>95</v>
      </c>
      <c r="F1" t="s">
        <v>96</v>
      </c>
      <c r="G1" t="s">
        <v>97</v>
      </c>
      <c r="H1" t="s">
        <v>98</v>
      </c>
      <c r="I1" t="s">
        <v>99</v>
      </c>
      <c r="J1" t="s">
        <v>6</v>
      </c>
    </row>
    <row r="2" spans="1:10" x14ac:dyDescent="0.3">
      <c r="A2" t="s">
        <v>119</v>
      </c>
      <c r="B2">
        <v>8.3922998723029944E-3</v>
      </c>
      <c r="C2" s="17">
        <f>Table9[[#This Row],[Allergan Adjusted %]]*$C$84</f>
        <v>6278.9156953107158</v>
      </c>
      <c r="D2" s="17">
        <f>Table9[[#This Row],[Allergan Adjusted %]]*$D$84</f>
        <v>12732.879113411227</v>
      </c>
      <c r="E2" s="17">
        <f>Table9[[#This Row],[Allergan Adjusted %]]*$E$84</f>
        <v>13020.905605046288</v>
      </c>
      <c r="F2" s="17">
        <f>Table9[[#This Row],[Allergan Adjusted %]]*$F$84</f>
        <v>10671.100510576072</v>
      </c>
      <c r="G2" s="17">
        <f>Table9[[#This Row],[Allergan Adjusted %]]*$G$84</f>
        <v>10671.100510576072</v>
      </c>
      <c r="H2" s="17">
        <f>Table9[[#This Row],[Allergan Adjusted %]]*$H$84</f>
        <v>11134.174725000928</v>
      </c>
      <c r="I2" s="17">
        <f>Table9[[#This Row],[Allergan Adjusted %]]*$I$84</f>
        <v>11134.174725000928</v>
      </c>
      <c r="J2" s="17">
        <f>SUM(Table9[[#This Row],[Payment 1]:[Payment 7]])</f>
        <v>75643.250884922221</v>
      </c>
    </row>
    <row r="3" spans="1:10" x14ac:dyDescent="0.3">
      <c r="A3" t="s">
        <v>120</v>
      </c>
      <c r="B3">
        <v>8.3142266292569617E-4</v>
      </c>
      <c r="C3" s="17">
        <f>Table9[[#This Row],[Allergan Adjusted %]]*$C$84</f>
        <v>622.05031840081358</v>
      </c>
      <c r="D3" s="17">
        <f>Table9[[#This Row],[Allergan Adjusted %]]*$D$84</f>
        <v>1261.4425628571164</v>
      </c>
      <c r="E3" s="17">
        <f>Table9[[#This Row],[Allergan Adjusted %]]*$E$84</f>
        <v>1289.9772620828546</v>
      </c>
      <c r="F3" s="17">
        <f>Table9[[#This Row],[Allergan Adjusted %]]*$F$84</f>
        <v>1057.1827672807201</v>
      </c>
      <c r="G3" s="17">
        <f>Table9[[#This Row],[Allergan Adjusted %]]*$G$84</f>
        <v>1057.1827672807201</v>
      </c>
      <c r="H3" s="17">
        <f>Table9[[#This Row],[Allergan Adjusted %]]*$H$84</f>
        <v>1103.0593925619478</v>
      </c>
      <c r="I3" s="17">
        <f>Table9[[#This Row],[Allergan Adjusted %]]*$I$84</f>
        <v>1103.0593925619478</v>
      </c>
      <c r="J3" s="17">
        <f>SUM(Table9[[#This Row],[Payment 1]:[Payment 7]])</f>
        <v>7493.9544630261207</v>
      </c>
    </row>
    <row r="4" spans="1:10" x14ac:dyDescent="0.3">
      <c r="A4" t="s">
        <v>122</v>
      </c>
      <c r="B4">
        <v>1.0169558385298023E-2</v>
      </c>
      <c r="C4" s="17">
        <f>Table9[[#This Row],[Allergan Adjusted %]]*$C$84</f>
        <v>7608.6175102682373</v>
      </c>
      <c r="D4" s="17">
        <f>Table9[[#This Row],[Allergan Adjusted %]]*$D$84</f>
        <v>15429.353041128104</v>
      </c>
      <c r="E4" s="17">
        <f>Table9[[#This Row],[Allergan Adjusted %]]*$E$84</f>
        <v>15778.375629425047</v>
      </c>
      <c r="F4" s="17">
        <f>Table9[[#This Row],[Allergan Adjusted %]]*$F$84</f>
        <v>12930.946382866443</v>
      </c>
      <c r="G4" s="17">
        <f>Table9[[#This Row],[Allergan Adjusted %]]*$G$84</f>
        <v>12930.946382866443</v>
      </c>
      <c r="H4" s="17">
        <f>Table9[[#This Row],[Allergan Adjusted %]]*$H$84</f>
        <v>13492.086991755015</v>
      </c>
      <c r="I4" s="17">
        <f>Table9[[#This Row],[Allergan Adjusted %]]*$I$84</f>
        <v>13492.086991755015</v>
      </c>
      <c r="J4" s="17">
        <f>SUM(Table9[[#This Row],[Payment 1]:[Payment 7]])</f>
        <v>91662.412930064311</v>
      </c>
    </row>
    <row r="5" spans="1:10" x14ac:dyDescent="0.3">
      <c r="A5" t="s">
        <v>123</v>
      </c>
      <c r="B5">
        <v>5.2977544489122945E-3</v>
      </c>
      <c r="C5" s="17">
        <f>Table9[[#This Row],[Allergan Adjusted %]]*$C$84</f>
        <v>3963.6516884911202</v>
      </c>
      <c r="D5" s="17">
        <f>Table9[[#This Row],[Allergan Adjusted %]]*$D$84</f>
        <v>8037.8046539018324</v>
      </c>
      <c r="E5" s="17">
        <f>Table9[[#This Row],[Allergan Adjusted %]]*$E$84</f>
        <v>8219.6253288874977</v>
      </c>
      <c r="F5" s="17">
        <f>Table9[[#This Row],[Allergan Adjusted %]]*$F$84</f>
        <v>6736.2786202706357</v>
      </c>
      <c r="G5" s="17">
        <f>Table9[[#This Row],[Allergan Adjusted %]]*$G$84</f>
        <v>6736.2786202706357</v>
      </c>
      <c r="H5" s="17">
        <f>Table9[[#This Row],[Allergan Adjusted %]]*$H$84</f>
        <v>7028.6005721758929</v>
      </c>
      <c r="I5" s="17">
        <f>Table9[[#This Row],[Allergan Adjusted %]]*$I$84</f>
        <v>7028.6005721758929</v>
      </c>
      <c r="J5" s="17">
        <f>SUM(Table9[[#This Row],[Payment 1]:[Payment 7]])</f>
        <v>47750.840056173503</v>
      </c>
    </row>
    <row r="6" spans="1:10" x14ac:dyDescent="0.3">
      <c r="A6" t="s">
        <v>124</v>
      </c>
      <c r="B6">
        <v>1.3593486143930284E-2</v>
      </c>
      <c r="C6" s="17">
        <f>Table9[[#This Row],[Allergan Adjusted %]]*$C$84</f>
        <v>10170.317410225049</v>
      </c>
      <c r="D6" s="17">
        <f>Table9[[#This Row],[Allergan Adjusted %]]*$D$84</f>
        <v>20624.169588091412</v>
      </c>
      <c r="E6" s="17">
        <f>Table9[[#This Row],[Allergan Adjusted %]]*$E$84</f>
        <v>21090.702503108856</v>
      </c>
      <c r="F6" s="17">
        <f>Table9[[#This Row],[Allergan Adjusted %]]*$F$84</f>
        <v>17284.589342396426</v>
      </c>
      <c r="G6" s="17">
        <f>Table9[[#This Row],[Allergan Adjusted %]]*$G$84</f>
        <v>17284.589342396426</v>
      </c>
      <c r="H6" s="17">
        <f>Table9[[#This Row],[Allergan Adjusted %]]*$H$84</f>
        <v>18034.657025055185</v>
      </c>
      <c r="I6" s="17">
        <f>Table9[[#This Row],[Allergan Adjusted %]]*$I$84</f>
        <v>18034.657025055185</v>
      </c>
      <c r="J6" s="17">
        <f>SUM(Table9[[#This Row],[Payment 1]:[Payment 7]])</f>
        <v>122523.68223632855</v>
      </c>
    </row>
    <row r="7" spans="1:10" x14ac:dyDescent="0.3">
      <c r="A7" t="s">
        <v>125</v>
      </c>
      <c r="B7">
        <v>3.8447064189862448E-3</v>
      </c>
      <c r="C7" s="17">
        <f>Table9[[#This Row],[Allergan Adjusted %]]*$C$84</f>
        <v>2876.5163120190064</v>
      </c>
      <c r="D7" s="17">
        <f>Table9[[#This Row],[Allergan Adjusted %]]*$D$84</f>
        <v>5833.2260291449938</v>
      </c>
      <c r="E7" s="17">
        <f>Table9[[#This Row],[Allergan Adjusted %]]*$E$84</f>
        <v>5965.1776178724258</v>
      </c>
      <c r="F7" s="17">
        <f>Table9[[#This Row],[Allergan Adjusted %]]*$F$84</f>
        <v>4888.6776276978553</v>
      </c>
      <c r="G7" s="17">
        <f>Table9[[#This Row],[Allergan Adjusted %]]*$G$84</f>
        <v>4888.6776276978553</v>
      </c>
      <c r="H7" s="17">
        <f>Table9[[#This Row],[Allergan Adjusted %]]*$H$84</f>
        <v>5100.8226215322684</v>
      </c>
      <c r="I7" s="17">
        <f>Table9[[#This Row],[Allergan Adjusted %]]*$I$84</f>
        <v>5100.8226215322684</v>
      </c>
      <c r="J7" s="17">
        <f>SUM(Table9[[#This Row],[Payment 1]:[Payment 7]])</f>
        <v>34653.920457496672</v>
      </c>
    </row>
    <row r="8" spans="1:10" x14ac:dyDescent="0.3">
      <c r="A8" t="s">
        <v>126</v>
      </c>
      <c r="B8">
        <v>5.026959501563304E-3</v>
      </c>
      <c r="C8" s="17">
        <f>Table9[[#This Row],[Allergan Adjusted %]]*$C$84</f>
        <v>3761.0494613314486</v>
      </c>
      <c r="D8" s="17">
        <f>Table9[[#This Row],[Allergan Adjusted %]]*$D$84</f>
        <v>7626.9519220426382</v>
      </c>
      <c r="E8" s="17">
        <f>Table9[[#This Row],[Allergan Adjusted %]]*$E$84</f>
        <v>7799.4788253775978</v>
      </c>
      <c r="F8" s="17">
        <f>Table9[[#This Row],[Allergan Adjusted %]]*$F$84</f>
        <v>6391.9534478046216</v>
      </c>
      <c r="G8" s="17">
        <f>Table9[[#This Row],[Allergan Adjusted %]]*$G$84</f>
        <v>6391.9534478046216</v>
      </c>
      <c r="H8" s="17">
        <f>Table9[[#This Row],[Allergan Adjusted %]]*$H$84</f>
        <v>6669.3333505193223</v>
      </c>
      <c r="I8" s="17">
        <f>Table9[[#This Row],[Allergan Adjusted %]]*$I$84</f>
        <v>6669.3333505193223</v>
      </c>
      <c r="J8" s="17">
        <f>SUM(Table9[[#This Row],[Payment 1]:[Payment 7]])</f>
        <v>45310.053805399577</v>
      </c>
    </row>
    <row r="9" spans="1:10" x14ac:dyDescent="0.3">
      <c r="A9" t="s">
        <v>127</v>
      </c>
      <c r="B9">
        <v>4.845944675522797E-3</v>
      </c>
      <c r="C9" s="17">
        <f>Table9[[#This Row],[Allergan Adjusted %]]*$C$84</f>
        <v>3625.6185485180599</v>
      </c>
      <c r="D9" s="17">
        <f>Table9[[#This Row],[Allergan Adjusted %]]*$D$84</f>
        <v>7352.3144647568743</v>
      </c>
      <c r="E9" s="17">
        <f>Table9[[#This Row],[Allergan Adjusted %]]*$E$84</f>
        <v>7518.6288797308725</v>
      </c>
      <c r="F9" s="17">
        <f>Table9[[#This Row],[Allergan Adjusted %]]*$F$84</f>
        <v>6161.786815061002</v>
      </c>
      <c r="G9" s="17">
        <f>Table9[[#This Row],[Allergan Adjusted %]]*$G$84</f>
        <v>6161.786815061002</v>
      </c>
      <c r="H9" s="17">
        <f>Table9[[#This Row],[Allergan Adjusted %]]*$H$84</f>
        <v>6429.1785977557538</v>
      </c>
      <c r="I9" s="17">
        <f>Table9[[#This Row],[Allergan Adjusted %]]*$I$84</f>
        <v>6429.1785977557538</v>
      </c>
      <c r="J9" s="17">
        <f>SUM(Table9[[#This Row],[Payment 1]:[Payment 7]])</f>
        <v>43678.492718639318</v>
      </c>
    </row>
    <row r="10" spans="1:10" x14ac:dyDescent="0.3">
      <c r="A10" t="s">
        <v>128</v>
      </c>
      <c r="B10">
        <v>4.3872660359665847E-3</v>
      </c>
      <c r="C10" s="17">
        <f>Table9[[#This Row],[Allergan Adjusted %]]*$C$84</f>
        <v>3282.4462890855639</v>
      </c>
      <c r="D10" s="17">
        <f>Table9[[#This Row],[Allergan Adjusted %]]*$D$84</f>
        <v>6656.402764955983</v>
      </c>
      <c r="E10" s="17">
        <f>Table9[[#This Row],[Allergan Adjusted %]]*$E$84</f>
        <v>6806.9751781724744</v>
      </c>
      <c r="F10" s="17">
        <f>Table9[[#This Row],[Allergan Adjusted %]]*$F$84</f>
        <v>5578.5610081624372</v>
      </c>
      <c r="G10" s="17">
        <f>Table9[[#This Row],[Allergan Adjusted %]]*$G$84</f>
        <v>5578.5610081624372</v>
      </c>
      <c r="H10" s="17">
        <f>Table9[[#This Row],[Allergan Adjusted %]]*$H$84</f>
        <v>5820.6436081637839</v>
      </c>
      <c r="I10" s="17">
        <f>Table9[[#This Row],[Allergan Adjusted %]]*$I$84</f>
        <v>5820.6436081637839</v>
      </c>
      <c r="J10" s="17">
        <f>SUM(Table9[[#This Row],[Payment 1]:[Payment 7]])</f>
        <v>39544.233464866455</v>
      </c>
    </row>
    <row r="11" spans="1:10" x14ac:dyDescent="0.3">
      <c r="A11" t="s">
        <v>129</v>
      </c>
      <c r="B11">
        <v>5.2246858749364793E-2</v>
      </c>
      <c r="C11" s="17">
        <f>Table9[[#This Row],[Allergan Adjusted %]]*$C$84</f>
        <v>39089.835494885017</v>
      </c>
      <c r="D11" s="17">
        <f>Table9[[#This Row],[Allergan Adjusted %]]*$D$84</f>
        <v>79269.443017242491</v>
      </c>
      <c r="E11" s="17">
        <f>Table9[[#This Row],[Allergan Adjusted %]]*$E$84</f>
        <v>81062.572392206363</v>
      </c>
      <c r="F11" s="17">
        <f>Table9[[#This Row],[Allergan Adjusted %]]*$F$84</f>
        <v>66433.693928926077</v>
      </c>
      <c r="G11" s="17">
        <f>Table9[[#This Row],[Allergan Adjusted %]]*$G$84</f>
        <v>66433.693928926077</v>
      </c>
      <c r="H11" s="17">
        <f>Table9[[#This Row],[Allergan Adjusted %]]*$H$84</f>
        <v>69316.59533136242</v>
      </c>
      <c r="I11" s="17">
        <f>Table9[[#This Row],[Allergan Adjusted %]]*$I$84</f>
        <v>69316.59533136242</v>
      </c>
      <c r="J11" s="17">
        <f>SUM(Table9[[#This Row],[Payment 1]:[Payment 7]])</f>
        <v>470922.42942491092</v>
      </c>
    </row>
    <row r="12" spans="1:10" x14ac:dyDescent="0.3">
      <c r="A12" t="s">
        <v>130</v>
      </c>
      <c r="B12">
        <v>1.0785897705927909E-2</v>
      </c>
      <c r="C12" s="17">
        <f>Table9[[#This Row],[Allergan Adjusted %]]*$C$84</f>
        <v>8069.7476763520372</v>
      </c>
      <c r="D12" s="17">
        <f>Table9[[#This Row],[Allergan Adjusted %]]*$D$84</f>
        <v>16364.469061984586</v>
      </c>
      <c r="E12" s="17">
        <f>Table9[[#This Row],[Allergan Adjusted %]]*$E$84</f>
        <v>16734.644618464143</v>
      </c>
      <c r="F12" s="17">
        <f>Table9[[#This Row],[Allergan Adjusted %]]*$F$84</f>
        <v>13714.643216766259</v>
      </c>
      <c r="G12" s="17">
        <f>Table9[[#This Row],[Allergan Adjusted %]]*$G$84</f>
        <v>13714.643216766259</v>
      </c>
      <c r="H12" s="17">
        <f>Table9[[#This Row],[Allergan Adjusted %]]*$H$84</f>
        <v>14309.792482526325</v>
      </c>
      <c r="I12" s="17">
        <f>Table9[[#This Row],[Allergan Adjusted %]]*$I$84</f>
        <v>14309.792482526325</v>
      </c>
      <c r="J12" s="17">
        <f>SUM(Table9[[#This Row],[Payment 1]:[Payment 7]])</f>
        <v>97217.73275538595</v>
      </c>
    </row>
    <row r="13" spans="1:10" x14ac:dyDescent="0.3">
      <c r="A13" t="s">
        <v>131</v>
      </c>
      <c r="B13">
        <v>5.2323790050432008E-3</v>
      </c>
      <c r="C13" s="17">
        <f>Table9[[#This Row],[Allergan Adjusted %]]*$C$84</f>
        <v>3914.7393632830708</v>
      </c>
      <c r="D13" s="17">
        <f>Table9[[#This Row],[Allergan Adjusted %]]*$D$84</f>
        <v>7938.6163936588937</v>
      </c>
      <c r="E13" s="17">
        <f>Table9[[#This Row],[Allergan Adjusted %]]*$E$84</f>
        <v>8118.1933619106221</v>
      </c>
      <c r="F13" s="17">
        <f>Table9[[#This Row],[Allergan Adjusted %]]*$F$84</f>
        <v>6653.151474784212</v>
      </c>
      <c r="G13" s="17">
        <f>Table9[[#This Row],[Allergan Adjusted %]]*$G$84</f>
        <v>6653.151474784212</v>
      </c>
      <c r="H13" s="17">
        <f>Table9[[#This Row],[Allergan Adjusted %]]*$H$84</f>
        <v>6941.8661101286934</v>
      </c>
      <c r="I13" s="17">
        <f>Table9[[#This Row],[Allergan Adjusted %]]*$I$84</f>
        <v>6941.8661101286934</v>
      </c>
      <c r="J13" s="17">
        <f>SUM(Table9[[#This Row],[Payment 1]:[Payment 7]])</f>
        <v>47161.584288678394</v>
      </c>
    </row>
    <row r="14" spans="1:10" x14ac:dyDescent="0.3">
      <c r="A14" t="s">
        <v>132</v>
      </c>
      <c r="B14">
        <v>4.3186016173564878E-2</v>
      </c>
      <c r="C14" s="17">
        <f>Table9[[#This Row],[Allergan Adjusted %]]*$C$84</f>
        <v>32310.732325598787</v>
      </c>
      <c r="D14" s="17">
        <f>Table9[[#This Row],[Allergan Adjusted %]]*$D$84</f>
        <v>65522.244401989694</v>
      </c>
      <c r="E14" s="17">
        <f>Table9[[#This Row],[Allergan Adjusted %]]*$E$84</f>
        <v>67004.402679867519</v>
      </c>
      <c r="F14" s="17">
        <f>Table9[[#This Row],[Allergan Adjusted %]]*$F$84</f>
        <v>54912.51817161432</v>
      </c>
      <c r="G14" s="17">
        <f>Table9[[#This Row],[Allergan Adjusted %]]*$G$84</f>
        <v>54912.51817161432</v>
      </c>
      <c r="H14" s="17">
        <f>Table9[[#This Row],[Allergan Adjusted %]]*$H$84</f>
        <v>57295.456200284258</v>
      </c>
      <c r="I14" s="17">
        <f>Table9[[#This Row],[Allergan Adjusted %]]*$I$84</f>
        <v>57295.456200284258</v>
      </c>
      <c r="J14" s="17">
        <f>SUM(Table9[[#This Row],[Payment 1]:[Payment 7]])</f>
        <v>389253.32815125311</v>
      </c>
    </row>
    <row r="15" spans="1:10" x14ac:dyDescent="0.3">
      <c r="A15" t="s">
        <v>133</v>
      </c>
      <c r="B15">
        <v>3.0094522931136207E-3</v>
      </c>
      <c r="C15" s="17">
        <f>Table9[[#This Row],[Allergan Adjusted %]]*$C$84</f>
        <v>2251.5993857515145</v>
      </c>
      <c r="D15" s="17">
        <f>Table9[[#This Row],[Allergan Adjusted %]]*$D$84</f>
        <v>4565.9703333835405</v>
      </c>
      <c r="E15" s="17">
        <f>Table9[[#This Row],[Allergan Adjusted %]]*$E$84</f>
        <v>4669.2557258168226</v>
      </c>
      <c r="F15" s="17">
        <f>Table9[[#This Row],[Allergan Adjusted %]]*$F$84</f>
        <v>3826.6230223237244</v>
      </c>
      <c r="G15" s="17">
        <f>Table9[[#This Row],[Allergan Adjusted %]]*$G$84</f>
        <v>3826.6230223237244</v>
      </c>
      <c r="H15" s="17">
        <f>Table9[[#This Row],[Allergan Adjusted %]]*$H$84</f>
        <v>3992.6799766375179</v>
      </c>
      <c r="I15" s="17">
        <f>Table9[[#This Row],[Allergan Adjusted %]]*$I$84</f>
        <v>3992.6799766375179</v>
      </c>
      <c r="J15" s="17">
        <f>SUM(Table9[[#This Row],[Payment 1]:[Payment 7]])</f>
        <v>27125.431442874367</v>
      </c>
    </row>
    <row r="16" spans="1:10" x14ac:dyDescent="0.3">
      <c r="A16" t="s">
        <v>135</v>
      </c>
      <c r="B16">
        <v>3.0263416228647217E-3</v>
      </c>
      <c r="C16" s="17">
        <f>Table9[[#This Row],[Allergan Adjusted %]]*$C$84</f>
        <v>2264.2355735988353</v>
      </c>
      <c r="D16" s="17">
        <f>Table9[[#This Row],[Allergan Adjusted %]]*$D$84</f>
        <v>4591.594988996364</v>
      </c>
      <c r="E16" s="17">
        <f>Table9[[#This Row],[Allergan Adjusted %]]*$E$84</f>
        <v>4695.4600287811827</v>
      </c>
      <c r="F16" s="17">
        <f>Table9[[#This Row],[Allergan Adjusted %]]*$F$84</f>
        <v>3848.0983911823928</v>
      </c>
      <c r="G16" s="17">
        <f>Table9[[#This Row],[Allergan Adjusted %]]*$G$84</f>
        <v>3848.0983911823928</v>
      </c>
      <c r="H16" s="17">
        <f>Table9[[#This Row],[Allergan Adjusted %]]*$H$84</f>
        <v>4015.0872727659043</v>
      </c>
      <c r="I16" s="17">
        <f>Table9[[#This Row],[Allergan Adjusted %]]*$I$84</f>
        <v>4015.0872727659043</v>
      </c>
      <c r="J16" s="17">
        <f>SUM(Table9[[#This Row],[Payment 1]:[Payment 7]])</f>
        <v>27277.661919272978</v>
      </c>
    </row>
    <row r="17" spans="1:10" x14ac:dyDescent="0.3">
      <c r="A17" t="s">
        <v>136</v>
      </c>
      <c r="B17">
        <v>2.0785566573142404E-3</v>
      </c>
      <c r="C17" s="17">
        <f>Table9[[#This Row],[Allergan Adjusted %]]*$C$84</f>
        <v>1555.1257960020339</v>
      </c>
      <c r="D17" s="17">
        <f>Table9[[#This Row],[Allergan Adjusted %]]*$D$84</f>
        <v>3153.6064071427913</v>
      </c>
      <c r="E17" s="17">
        <f>Table9[[#This Row],[Allergan Adjusted %]]*$E$84</f>
        <v>3224.9431552071369</v>
      </c>
      <c r="F17" s="17">
        <f>Table9[[#This Row],[Allergan Adjusted %]]*$F$84</f>
        <v>2642.9569182018004</v>
      </c>
      <c r="G17" s="17">
        <f>Table9[[#This Row],[Allergan Adjusted %]]*$G$84</f>
        <v>2642.9569182018004</v>
      </c>
      <c r="H17" s="17">
        <f>Table9[[#This Row],[Allergan Adjusted %]]*$H$84</f>
        <v>2757.6484814048695</v>
      </c>
      <c r="I17" s="17">
        <f>Table9[[#This Row],[Allergan Adjusted %]]*$I$84</f>
        <v>2757.6484814048695</v>
      </c>
      <c r="J17" s="17">
        <f>SUM(Table9[[#This Row],[Payment 1]:[Payment 7]])</f>
        <v>18734.886157565303</v>
      </c>
    </row>
    <row r="18" spans="1:10" x14ac:dyDescent="0.3">
      <c r="A18" t="s">
        <v>137</v>
      </c>
      <c r="B18">
        <v>5.2306011808588744E-3</v>
      </c>
      <c r="C18" s="17">
        <f>Table9[[#This Row],[Allergan Adjusted %]]*$C$84</f>
        <v>3913.4092382465105</v>
      </c>
      <c r="D18" s="17">
        <f>Table9[[#This Row],[Allergan Adjusted %]]*$D$84</f>
        <v>7935.9190614891231</v>
      </c>
      <c r="E18" s="17">
        <f>Table9[[#This Row],[Allergan Adjusted %]]*$E$84</f>
        <v>8115.4350142301637</v>
      </c>
      <c r="F18" s="17">
        <f>Table9[[#This Row],[Allergan Adjusted %]]*$F$84</f>
        <v>6650.8909096411944</v>
      </c>
      <c r="G18" s="17">
        <f>Table9[[#This Row],[Allergan Adjusted %]]*$G$84</f>
        <v>6650.8909096411944</v>
      </c>
      <c r="H18" s="17">
        <f>Table9[[#This Row],[Allergan Adjusted %]]*$H$84</f>
        <v>6939.507447378337</v>
      </c>
      <c r="I18" s="17">
        <f>Table9[[#This Row],[Allergan Adjusted %]]*$I$84</f>
        <v>6939.507447378337</v>
      </c>
      <c r="J18" s="17">
        <f>SUM(Table9[[#This Row],[Payment 1]:[Payment 7]])</f>
        <v>47145.56002800486</v>
      </c>
    </row>
    <row r="19" spans="1:10" x14ac:dyDescent="0.3">
      <c r="A19" t="s">
        <v>138</v>
      </c>
      <c r="B19">
        <v>2.096773924013582E-2</v>
      </c>
      <c r="C19" s="17">
        <f>Table9[[#This Row],[Allergan Adjusted %]]*$C$84</f>
        <v>15687.555141418323</v>
      </c>
      <c r="D19" s="17">
        <f>Table9[[#This Row],[Allergan Adjusted %]]*$D$84</f>
        <v>31812.45821628565</v>
      </c>
      <c r="E19" s="17">
        <f>Table9[[#This Row],[Allergan Adjusted %]]*$E$84</f>
        <v>32532.077922772354</v>
      </c>
      <c r="F19" s="17">
        <f>Table9[[#This Row],[Allergan Adjusted %]]*$F$84</f>
        <v>26661.208049711728</v>
      </c>
      <c r="G19" s="17">
        <f>Table9[[#This Row],[Allergan Adjusted %]]*$G$84</f>
        <v>26661.208049711728</v>
      </c>
      <c r="H19" s="17">
        <f>Table9[[#This Row],[Allergan Adjusted %]]*$H$84</f>
        <v>27818.175689647436</v>
      </c>
      <c r="I19" s="17">
        <f>Table9[[#This Row],[Allergan Adjusted %]]*$I$84</f>
        <v>27818.175689647436</v>
      </c>
      <c r="J19" s="17">
        <f>SUM(Table9[[#This Row],[Payment 1]:[Payment 7]])</f>
        <v>188990.85875919467</v>
      </c>
    </row>
    <row r="20" spans="1:10" x14ac:dyDescent="0.3">
      <c r="A20" t="s">
        <v>140</v>
      </c>
      <c r="B20">
        <v>4.6613742011136383E-2</v>
      </c>
      <c r="C20" s="17">
        <f>Table9[[#This Row],[Allergan Adjusted %]]*$C$84</f>
        <v>34875.273856315522</v>
      </c>
      <c r="D20" s="17">
        <f>Table9[[#This Row],[Allergan Adjusted %]]*$D$84</f>
        <v>70722.823431315701</v>
      </c>
      <c r="E20" s="17">
        <f>Table9[[#This Row],[Allergan Adjusted %]]*$E$84</f>
        <v>72322.622387232303</v>
      </c>
      <c r="F20" s="17">
        <f>Table9[[#This Row],[Allergan Adjusted %]]*$F$84</f>
        <v>59270.990520313477</v>
      </c>
      <c r="G20" s="17">
        <f>Table9[[#This Row],[Allergan Adjusted %]]*$G$84</f>
        <v>59270.990520313477</v>
      </c>
      <c r="H20" s="17">
        <f>Table9[[#This Row],[Allergan Adjusted %]]*$H$84</f>
        <v>61843.065194914736</v>
      </c>
      <c r="I20" s="17">
        <f>Table9[[#This Row],[Allergan Adjusted %]]*$I$84</f>
        <v>61843.065194914736</v>
      </c>
      <c r="J20" s="17">
        <f>SUM(Table9[[#This Row],[Payment 1]:[Payment 7]])</f>
        <v>420148.83110531996</v>
      </c>
    </row>
    <row r="21" spans="1:10" x14ac:dyDescent="0.3">
      <c r="A21" t="s">
        <v>141</v>
      </c>
      <c r="B21">
        <v>0</v>
      </c>
      <c r="C21" s="17">
        <f>Table9[[#This Row],[Allergan Adjusted %]]*$C$84</f>
        <v>0</v>
      </c>
      <c r="D21" s="17">
        <f>Table9[[#This Row],[Allergan Adjusted %]]*$D$84</f>
        <v>0</v>
      </c>
      <c r="E21" s="17">
        <f>Table9[[#This Row],[Allergan Adjusted %]]*$E$84</f>
        <v>0</v>
      </c>
      <c r="F21" s="17">
        <f>Table9[[#This Row],[Allergan Adjusted %]]*$F$84</f>
        <v>0</v>
      </c>
      <c r="G21" s="17">
        <f>Table9[[#This Row],[Allergan Adjusted %]]*$G$84</f>
        <v>0</v>
      </c>
      <c r="H21" s="17">
        <f>Table9[[#This Row],[Allergan Adjusted %]]*$H$84</f>
        <v>0</v>
      </c>
      <c r="I21" s="17">
        <f>Table9[[#This Row],[Allergan Adjusted %]]*$I$84</f>
        <v>0</v>
      </c>
      <c r="J21" s="17">
        <f>SUM(Table9[[#This Row],[Payment 1]:[Payment 7]])</f>
        <v>0</v>
      </c>
    </row>
    <row r="22" spans="1:10" x14ac:dyDescent="0.3">
      <c r="A22" t="s">
        <v>142</v>
      </c>
      <c r="B22">
        <v>2.1445137095590323E-2</v>
      </c>
      <c r="C22" s="17">
        <f>Table9[[#This Row],[Allergan Adjusted %]]*$C$84</f>
        <v>16044.732665235568</v>
      </c>
      <c r="D22" s="17">
        <f>Table9[[#This Row],[Allergan Adjusted %]]*$D$84</f>
        <v>32536.770892786313</v>
      </c>
      <c r="E22" s="17">
        <f>Table9[[#This Row],[Allergan Adjusted %]]*$E$84</f>
        <v>33272.775050676435</v>
      </c>
      <c r="F22" s="17">
        <f>Table9[[#This Row],[Allergan Adjusted %]]*$F$84</f>
        <v>27268.235989204371</v>
      </c>
      <c r="G22" s="17">
        <f>Table9[[#This Row],[Allergan Adjusted %]]*$G$84</f>
        <v>27268.235989204371</v>
      </c>
      <c r="H22" s="17">
        <f>Table9[[#This Row],[Allergan Adjusted %]]*$H$84</f>
        <v>28451.545709409675</v>
      </c>
      <c r="I22" s="17">
        <f>Table9[[#This Row],[Allergan Adjusted %]]*$I$84</f>
        <v>28451.545709409675</v>
      </c>
      <c r="J22" s="17">
        <f>SUM(Table9[[#This Row],[Payment 1]:[Payment 7]])</f>
        <v>193293.84200592639</v>
      </c>
    </row>
    <row r="23" spans="1:10" x14ac:dyDescent="0.3">
      <c r="A23" t="s">
        <v>143</v>
      </c>
      <c r="B23">
        <v>3.2330951098192541E-2</v>
      </c>
      <c r="C23" s="17">
        <f>Table9[[#This Row],[Allergan Adjusted %]]*$C$84</f>
        <v>24189.235297076757</v>
      </c>
      <c r="D23" s="17">
        <f>Table9[[#This Row],[Allergan Adjusted %]]*$D$84</f>
        <v>49052.833933343136</v>
      </c>
      <c r="E23" s="17">
        <f>Table9[[#This Row],[Allergan Adjusted %]]*$E$84</f>
        <v>50162.44280787465</v>
      </c>
      <c r="F23" s="17">
        <f>Table9[[#This Row],[Allergan Adjusted %]]*$F$84</f>
        <v>41109.926244408198</v>
      </c>
      <c r="G23" s="17">
        <f>Table9[[#This Row],[Allergan Adjusted %]]*$G$84</f>
        <v>41109.926244408198</v>
      </c>
      <c r="H23" s="17">
        <f>Table9[[#This Row],[Allergan Adjusted %]]*$H$84</f>
        <v>42893.898458129333</v>
      </c>
      <c r="I23" s="17">
        <f>Table9[[#This Row],[Allergan Adjusted %]]*$I$84</f>
        <v>42893.898458129333</v>
      </c>
      <c r="J23" s="17">
        <f>SUM(Table9[[#This Row],[Payment 1]:[Payment 7]])</f>
        <v>291412.16144336958</v>
      </c>
    </row>
    <row r="24" spans="1:10" x14ac:dyDescent="0.3">
      <c r="A24" t="s">
        <v>144</v>
      </c>
      <c r="B24">
        <v>2.6723998541831065E-2</v>
      </c>
      <c r="C24" s="17">
        <f>Table9[[#This Row],[Allergan Adjusted %]]*$C$84</f>
        <v>19994.249066283319</v>
      </c>
      <c r="D24" s="17">
        <f>Table9[[#This Row],[Allergan Adjusted %]]*$D$84</f>
        <v>40545.910899003167</v>
      </c>
      <c r="E24" s="17">
        <f>Table9[[#This Row],[Allergan Adjusted %]]*$E$84</f>
        <v>41463.087317813835</v>
      </c>
      <c r="F24" s="17">
        <f>Table9[[#This Row],[Allergan Adjusted %]]*$F$84</f>
        <v>33980.491500968114</v>
      </c>
      <c r="G24" s="17">
        <f>Table9[[#This Row],[Allergan Adjusted %]]*$G$84</f>
        <v>33980.491500968114</v>
      </c>
      <c r="H24" s="17">
        <f>Table9[[#This Row],[Allergan Adjusted %]]*$H$84</f>
        <v>35455.080686215311</v>
      </c>
      <c r="I24" s="17">
        <f>Table9[[#This Row],[Allergan Adjusted %]]*$I$84</f>
        <v>35455.080686215311</v>
      </c>
      <c r="J24" s="17">
        <f>SUM(Table9[[#This Row],[Payment 1]:[Payment 7]])</f>
        <v>240874.39165746717</v>
      </c>
    </row>
    <row r="25" spans="1:10" x14ac:dyDescent="0.3">
      <c r="A25" t="s">
        <v>145</v>
      </c>
      <c r="B25">
        <v>4.0286047879205672E-3</v>
      </c>
      <c r="C25" s="17">
        <f>Table9[[#This Row],[Allergan Adjusted %]]*$C$84</f>
        <v>3014.1046218522315</v>
      </c>
      <c r="D25" s="17">
        <f>Table9[[#This Row],[Allergan Adjusted %]]*$D$84</f>
        <v>6112.2384257970762</v>
      </c>
      <c r="E25" s="17">
        <f>Table9[[#This Row],[Allergan Adjusted %]]*$E$84</f>
        <v>6250.5014670259106</v>
      </c>
      <c r="F25" s="17">
        <f>Table9[[#This Row],[Allergan Adjusted %]]*$F$84</f>
        <v>5122.5107852933834</v>
      </c>
      <c r="G25" s="17">
        <f>Table9[[#This Row],[Allergan Adjusted %]]*$G$84</f>
        <v>5122.5107852933834</v>
      </c>
      <c r="H25" s="17">
        <f>Table9[[#This Row],[Allergan Adjusted %]]*$H$84</f>
        <v>5344.803008614831</v>
      </c>
      <c r="I25" s="17">
        <f>Table9[[#This Row],[Allergan Adjusted %]]*$I$84</f>
        <v>5344.803008614831</v>
      </c>
      <c r="J25" s="17">
        <f>SUM(Table9[[#This Row],[Payment 1]:[Payment 7]])</f>
        <v>36311.472102491651</v>
      </c>
    </row>
    <row r="26" spans="1:10" x14ac:dyDescent="0.3">
      <c r="A26" t="s">
        <v>146</v>
      </c>
      <c r="B26">
        <v>1.4321844540419036E-2</v>
      </c>
      <c r="C26" s="17">
        <f>Table9[[#This Row],[Allergan Adjusted %]]*$C$84</f>
        <v>10715.25753833198</v>
      </c>
      <c r="D26" s="17">
        <f>Table9[[#This Row],[Allergan Adjusted %]]*$D$84</f>
        <v>21729.242041988884</v>
      </c>
      <c r="E26" s="17">
        <f>Table9[[#This Row],[Allergan Adjusted %]]*$E$84</f>
        <v>22220.77245671269</v>
      </c>
      <c r="F26" s="17">
        <f>Table9[[#This Row],[Allergan Adjusted %]]*$F$84</f>
        <v>18210.722318448032</v>
      </c>
      <c r="G26" s="17">
        <f>Table9[[#This Row],[Allergan Adjusted %]]*$G$84</f>
        <v>18210.722318448032</v>
      </c>
      <c r="H26" s="17">
        <f>Table9[[#This Row],[Allergan Adjusted %]]*$H$84</f>
        <v>19000.979698496765</v>
      </c>
      <c r="I26" s="17">
        <f>Table9[[#This Row],[Allergan Adjusted %]]*$I$84</f>
        <v>19000.979698496765</v>
      </c>
      <c r="J26" s="17">
        <f>SUM(Table9[[#This Row],[Payment 1]:[Payment 7]])</f>
        <v>129088.67607092316</v>
      </c>
    </row>
    <row r="27" spans="1:10" x14ac:dyDescent="0.3">
      <c r="A27" t="s">
        <v>147</v>
      </c>
      <c r="B27">
        <v>2.8845114319607516E-2</v>
      </c>
      <c r="C27" s="17">
        <f>Table9[[#This Row],[Allergan Adjusted %]]*$C$84</f>
        <v>21581.216566408759</v>
      </c>
      <c r="D27" s="17">
        <f>Table9[[#This Row],[Allergan Adjusted %]]*$D$84</f>
        <v>43764.088418268257</v>
      </c>
      <c r="E27" s="17">
        <f>Table9[[#This Row],[Allergan Adjusted %]]*$E$84</f>
        <v>44754.062228154165</v>
      </c>
      <c r="F27" s="17">
        <f>Table9[[#This Row],[Allergan Adjusted %]]*$F$84</f>
        <v>36677.563817690505</v>
      </c>
      <c r="G27" s="17">
        <f>Table9[[#This Row],[Allergan Adjusted %]]*$G$84</f>
        <v>36677.563817690505</v>
      </c>
      <c r="H27" s="17">
        <f>Table9[[#This Row],[Allergan Adjusted %]]*$H$84</f>
        <v>38269.192913027146</v>
      </c>
      <c r="I27" s="17">
        <f>Table9[[#This Row],[Allergan Adjusted %]]*$I$84</f>
        <v>38269.192913027146</v>
      </c>
      <c r="J27" s="17">
        <f>SUM(Table9[[#This Row],[Payment 1]:[Payment 7]])</f>
        <v>259992.88067426649</v>
      </c>
    </row>
    <row r="28" spans="1:10" x14ac:dyDescent="0.3">
      <c r="A28" t="s">
        <v>148</v>
      </c>
      <c r="B28">
        <v>1.1302327739130123E-2</v>
      </c>
      <c r="C28" s="17">
        <f>Table9[[#This Row],[Allergan Adjusted %]]*$C$84</f>
        <v>8456.1281310954146</v>
      </c>
      <c r="D28" s="17">
        <f>Table9[[#This Row],[Allergan Adjusted %]]*$D$84</f>
        <v>17148.001738766103</v>
      </c>
      <c r="E28" s="17">
        <f>Table9[[#This Row],[Allergan Adjusted %]]*$E$84</f>
        <v>17535.901343826084</v>
      </c>
      <c r="F28" s="17">
        <f>Table9[[#This Row],[Allergan Adjusted %]]*$F$84</f>
        <v>14371.301924728832</v>
      </c>
      <c r="G28" s="17">
        <f>Table9[[#This Row],[Allergan Adjusted %]]*$G$84</f>
        <v>14371.301924728832</v>
      </c>
      <c r="H28" s="17">
        <f>Table9[[#This Row],[Allergan Adjusted %]]*$H$84</f>
        <v>14994.947006364089</v>
      </c>
      <c r="I28" s="17">
        <f>Table9[[#This Row],[Allergan Adjusted %]]*$I$84</f>
        <v>14994.947006364089</v>
      </c>
      <c r="J28" s="17">
        <f>SUM(Table9[[#This Row],[Payment 1]:[Payment 7]])</f>
        <v>101872.52907587345</v>
      </c>
    </row>
    <row r="29" spans="1:10" x14ac:dyDescent="0.3">
      <c r="A29" t="s">
        <v>149</v>
      </c>
      <c r="B29">
        <v>1.8730196911064322E-2</v>
      </c>
      <c r="C29" s="17">
        <f>Table9[[#This Row],[Allergan Adjusted %]]*$C$84</f>
        <v>14013.480112796433</v>
      </c>
      <c r="D29" s="17">
        <f>Table9[[#This Row],[Allergan Adjusted %]]*$D$84</f>
        <v>28417.637199315752</v>
      </c>
      <c r="E29" s="17">
        <f>Table9[[#This Row],[Allergan Adjusted %]]*$E$84</f>
        <v>29060.463717196992</v>
      </c>
      <c r="F29" s="17">
        <f>Table9[[#This Row],[Allergan Adjusted %]]*$F$84</f>
        <v>23816.095332875724</v>
      </c>
      <c r="G29" s="17">
        <f>Table9[[#This Row],[Allergan Adjusted %]]*$G$84</f>
        <v>23816.095332875724</v>
      </c>
      <c r="H29" s="17">
        <f>Table9[[#This Row],[Allergan Adjusted %]]*$H$84</f>
        <v>24849.598824479846</v>
      </c>
      <c r="I29" s="17">
        <f>Table9[[#This Row],[Allergan Adjusted %]]*$I$84</f>
        <v>24849.598824479846</v>
      </c>
      <c r="J29" s="17">
        <f>SUM(Table9[[#This Row],[Payment 1]:[Payment 7]])</f>
        <v>168822.96934402033</v>
      </c>
    </row>
    <row r="30" spans="1:10" x14ac:dyDescent="0.3">
      <c r="A30" t="s">
        <v>150</v>
      </c>
      <c r="B30">
        <v>1.5649510898246434E-2</v>
      </c>
      <c r="C30" s="17">
        <f>Table9[[#This Row],[Allergan Adjusted %]]*$C$84</f>
        <v>11708.585381610157</v>
      </c>
      <c r="D30" s="17">
        <f>Table9[[#This Row],[Allergan Adjusted %]]*$D$84</f>
        <v>23743.590372528244</v>
      </c>
      <c r="E30" s="17">
        <f>Table9[[#This Row],[Allergan Adjusted %]]*$E$84</f>
        <v>24280.686733288963</v>
      </c>
      <c r="F30" s="17">
        <f>Table9[[#This Row],[Allergan Adjusted %]]*$F$84</f>
        <v>19898.896164051905</v>
      </c>
      <c r="G30" s="17">
        <f>Table9[[#This Row],[Allergan Adjusted %]]*$G$84</f>
        <v>19898.896164051905</v>
      </c>
      <c r="H30" s="17">
        <f>Table9[[#This Row],[Allergan Adjusted %]]*$H$84</f>
        <v>20762.41213412055</v>
      </c>
      <c r="I30" s="17">
        <f>Table9[[#This Row],[Allergan Adjusted %]]*$I$84</f>
        <v>20762.41213412055</v>
      </c>
      <c r="J30" s="17">
        <f>SUM(Table9[[#This Row],[Payment 1]:[Payment 7]])</f>
        <v>141055.47908377225</v>
      </c>
    </row>
    <row r="31" spans="1:10" x14ac:dyDescent="0.3">
      <c r="A31" t="s">
        <v>151</v>
      </c>
      <c r="B31">
        <v>8.0199899121827192E-2</v>
      </c>
      <c r="C31" s="17">
        <f>Table9[[#This Row],[Allergan Adjusted %]]*$C$84</f>
        <v>60003.623919623933</v>
      </c>
      <c r="D31" s="17">
        <f>Table9[[#This Row],[Allergan Adjusted %]]*$D$84</f>
        <v>121680.06815344795</v>
      </c>
      <c r="E31" s="17">
        <f>Table9[[#This Row],[Allergan Adjusted %]]*$E$84</f>
        <v>124432.5550670509</v>
      </c>
      <c r="F31" s="17">
        <f>Table9[[#This Row],[Allergan Adjusted %]]*$F$84</f>
        <v>101976.95476677804</v>
      </c>
      <c r="G31" s="17">
        <f>Table9[[#This Row],[Allergan Adjusted %]]*$G$84</f>
        <v>101976.95476677804</v>
      </c>
      <c r="H31" s="17">
        <f>Table9[[#This Row],[Allergan Adjusted %]]*$H$84</f>
        <v>106402.26199458107</v>
      </c>
      <c r="I31" s="17">
        <f>Table9[[#This Row],[Allergan Adjusted %]]*$I$84</f>
        <v>106402.26199458107</v>
      </c>
      <c r="J31" s="17">
        <f>SUM(Table9[[#This Row],[Payment 1]:[Payment 7]])</f>
        <v>722874.68066284107</v>
      </c>
    </row>
    <row r="32" spans="1:10" x14ac:dyDescent="0.3">
      <c r="A32" t="s">
        <v>152</v>
      </c>
      <c r="B32">
        <v>1.7735372258611652E-2</v>
      </c>
      <c r="C32" s="17">
        <f>Table9[[#This Row],[Allergan Adjusted %]]*$C$84</f>
        <v>13269.176379682453</v>
      </c>
      <c r="D32" s="17">
        <f>Table9[[#This Row],[Allergan Adjusted %]]*$D$84</f>
        <v>26908.279546293143</v>
      </c>
      <c r="E32" s="17">
        <f>Table9[[#This Row],[Allergan Adjusted %]]*$E$84</f>
        <v>27516.963354929248</v>
      </c>
      <c r="F32" s="17">
        <f>Table9[[#This Row],[Allergan Adjusted %]]*$F$84</f>
        <v>22551.141265665043</v>
      </c>
      <c r="G32" s="17">
        <f>Table9[[#This Row],[Allergan Adjusted %]]*$G$84</f>
        <v>22551.141265665043</v>
      </c>
      <c r="H32" s="17">
        <f>Table9[[#This Row],[Allergan Adjusted %]]*$H$84</f>
        <v>23529.751861229382</v>
      </c>
      <c r="I32" s="17">
        <f>Table9[[#This Row],[Allergan Adjusted %]]*$I$84</f>
        <v>23529.751861229382</v>
      </c>
      <c r="J32" s="17">
        <f>SUM(Table9[[#This Row],[Payment 1]:[Payment 7]])</f>
        <v>159856.2055346937</v>
      </c>
    </row>
    <row r="33" spans="1:10" x14ac:dyDescent="0.3">
      <c r="A33" t="s">
        <v>153</v>
      </c>
      <c r="B33">
        <v>2.3288495771583732E-3</v>
      </c>
      <c r="C33" s="17">
        <f>Table9[[#This Row],[Allergan Adjusted %]]*$C$84</f>
        <v>1742.3889022717585</v>
      </c>
      <c r="D33" s="17">
        <f>Table9[[#This Row],[Allergan Adjusted %]]*$D$84</f>
        <v>3533.3532631668377</v>
      </c>
      <c r="E33" s="17">
        <f>Table9[[#This Row],[Allergan Adjusted %]]*$E$84</f>
        <v>3613.280146555318</v>
      </c>
      <c r="F33" s="17">
        <f>Table9[[#This Row],[Allergan Adjusted %]]*$F$84</f>
        <v>2961.2130512502681</v>
      </c>
      <c r="G33" s="17">
        <f>Table9[[#This Row],[Allergan Adjusted %]]*$G$84</f>
        <v>2961.2130512502681</v>
      </c>
      <c r="H33" s="17">
        <f>Table9[[#This Row],[Allergan Adjusted %]]*$H$84</f>
        <v>3089.7153932620695</v>
      </c>
      <c r="I33" s="17">
        <f>Table9[[#This Row],[Allergan Adjusted %]]*$I$84</f>
        <v>3089.7153932620695</v>
      </c>
      <c r="J33" s="17">
        <f>SUM(Table9[[#This Row],[Payment 1]:[Payment 7]])</f>
        <v>20990.879201018593</v>
      </c>
    </row>
    <row r="34" spans="1:10" x14ac:dyDescent="0.3">
      <c r="A34" t="s">
        <v>154</v>
      </c>
      <c r="B34">
        <v>8.3142266292569617E-4</v>
      </c>
      <c r="C34" s="17">
        <f>Table9[[#This Row],[Allergan Adjusted %]]*$C$84</f>
        <v>622.05031840081358</v>
      </c>
      <c r="D34" s="17">
        <f>Table9[[#This Row],[Allergan Adjusted %]]*$D$84</f>
        <v>1261.4425628571164</v>
      </c>
      <c r="E34" s="17">
        <f>Table9[[#This Row],[Allergan Adjusted %]]*$E$84</f>
        <v>1289.9772620828546</v>
      </c>
      <c r="F34" s="17">
        <f>Table9[[#This Row],[Allergan Adjusted %]]*$F$84</f>
        <v>1057.1827672807201</v>
      </c>
      <c r="G34" s="17">
        <f>Table9[[#This Row],[Allergan Adjusted %]]*$G$84</f>
        <v>1057.1827672807201</v>
      </c>
      <c r="H34" s="17">
        <f>Table9[[#This Row],[Allergan Adjusted %]]*$H$84</f>
        <v>1103.0593925619478</v>
      </c>
      <c r="I34" s="17">
        <f>Table9[[#This Row],[Allergan Adjusted %]]*$I$84</f>
        <v>1103.0593925619478</v>
      </c>
      <c r="J34" s="17">
        <f>SUM(Table9[[#This Row],[Payment 1]:[Payment 7]])</f>
        <v>7493.9544630261207</v>
      </c>
    </row>
    <row r="35" spans="1:10" x14ac:dyDescent="0.3">
      <c r="A35" t="s">
        <v>156</v>
      </c>
      <c r="B35">
        <v>8.3142266292569617E-4</v>
      </c>
      <c r="C35" s="17">
        <f>Table9[[#This Row],[Allergan Adjusted %]]*$C$84</f>
        <v>622.05031840081358</v>
      </c>
      <c r="D35" s="17">
        <f>Table9[[#This Row],[Allergan Adjusted %]]*$D$84</f>
        <v>1261.4425628571164</v>
      </c>
      <c r="E35" s="17">
        <f>Table9[[#This Row],[Allergan Adjusted %]]*$E$84</f>
        <v>1289.9772620828546</v>
      </c>
      <c r="F35" s="17">
        <f>Table9[[#This Row],[Allergan Adjusted %]]*$F$84</f>
        <v>1057.1827672807201</v>
      </c>
      <c r="G35" s="17">
        <f>Table9[[#This Row],[Allergan Adjusted %]]*$G$84</f>
        <v>1057.1827672807201</v>
      </c>
      <c r="H35" s="17">
        <f>Table9[[#This Row],[Allergan Adjusted %]]*$H$84</f>
        <v>1103.0593925619478</v>
      </c>
      <c r="I35" s="17">
        <f>Table9[[#This Row],[Allergan Adjusted %]]*$I$84</f>
        <v>1103.0593925619478</v>
      </c>
      <c r="J35" s="17">
        <f>SUM(Table9[[#This Row],[Payment 1]:[Payment 7]])</f>
        <v>7493.9544630261207</v>
      </c>
    </row>
    <row r="36" spans="1:10" x14ac:dyDescent="0.3">
      <c r="A36" t="s">
        <v>157</v>
      </c>
      <c r="B36">
        <v>2.0785566573142404E-3</v>
      </c>
      <c r="C36" s="17">
        <f>Table9[[#This Row],[Allergan Adjusted %]]*$C$84</f>
        <v>1555.1257960020339</v>
      </c>
      <c r="D36" s="17">
        <f>Table9[[#This Row],[Allergan Adjusted %]]*$D$84</f>
        <v>3153.6064071427913</v>
      </c>
      <c r="E36" s="17">
        <f>Table9[[#This Row],[Allergan Adjusted %]]*$E$84</f>
        <v>3224.9431552071369</v>
      </c>
      <c r="F36" s="17">
        <f>Table9[[#This Row],[Allergan Adjusted %]]*$F$84</f>
        <v>2642.9569182018004</v>
      </c>
      <c r="G36" s="17">
        <f>Table9[[#This Row],[Allergan Adjusted %]]*$G$84</f>
        <v>2642.9569182018004</v>
      </c>
      <c r="H36" s="17">
        <f>Table9[[#This Row],[Allergan Adjusted %]]*$H$84</f>
        <v>2757.6484814048695</v>
      </c>
      <c r="I36" s="17">
        <f>Table9[[#This Row],[Allergan Adjusted %]]*$I$84</f>
        <v>2757.6484814048695</v>
      </c>
      <c r="J36" s="17">
        <f>SUM(Table9[[#This Row],[Payment 1]:[Payment 7]])</f>
        <v>18734.886157565303</v>
      </c>
    </row>
    <row r="37" spans="1:10" x14ac:dyDescent="0.3">
      <c r="A37" t="s">
        <v>158</v>
      </c>
      <c r="B37">
        <v>1.0408675738089923E-2</v>
      </c>
      <c r="C37" s="17">
        <f>Table9[[#This Row],[Allergan Adjusted %]]*$C$84</f>
        <v>7787.5193276855653</v>
      </c>
      <c r="D37" s="17">
        <f>Table9[[#This Row],[Allergan Adjusted %]]*$D$84</f>
        <v>15792.144217962288</v>
      </c>
      <c r="E37" s="17">
        <f>Table9[[#This Row],[Allergan Adjusted %]]*$E$84</f>
        <v>16149.373392446769</v>
      </c>
      <c r="F37" s="17">
        <f>Table9[[#This Row],[Allergan Adjusted %]]*$F$84</f>
        <v>13234.992394602321</v>
      </c>
      <c r="G37" s="17">
        <f>Table9[[#This Row],[Allergan Adjusted %]]*$G$84</f>
        <v>13234.992394602321</v>
      </c>
      <c r="H37" s="17">
        <f>Table9[[#This Row],[Allergan Adjusted %]]*$H$84</f>
        <v>13809.327131677959</v>
      </c>
      <c r="I37" s="17">
        <f>Table9[[#This Row],[Allergan Adjusted %]]*$I$84</f>
        <v>13809.327131677959</v>
      </c>
      <c r="J37" s="17">
        <f>SUM(Table9[[#This Row],[Payment 1]:[Payment 7]])</f>
        <v>93817.675990655174</v>
      </c>
    </row>
    <row r="38" spans="1:10" x14ac:dyDescent="0.3">
      <c r="A38" t="s">
        <v>159</v>
      </c>
      <c r="B38">
        <v>8.3142266292569617E-4</v>
      </c>
      <c r="C38" s="17">
        <f>Table9[[#This Row],[Allergan Adjusted %]]*$C$84</f>
        <v>622.05031840081358</v>
      </c>
      <c r="D38" s="17">
        <f>Table9[[#This Row],[Allergan Adjusted %]]*$D$84</f>
        <v>1261.4425628571164</v>
      </c>
      <c r="E38" s="17">
        <f>Table9[[#This Row],[Allergan Adjusted %]]*$E$84</f>
        <v>1289.9772620828546</v>
      </c>
      <c r="F38" s="17">
        <f>Table9[[#This Row],[Allergan Adjusted %]]*$F$84</f>
        <v>1057.1827672807201</v>
      </c>
      <c r="G38" s="17">
        <f>Table9[[#This Row],[Allergan Adjusted %]]*$G$84</f>
        <v>1057.1827672807201</v>
      </c>
      <c r="H38" s="17">
        <f>Table9[[#This Row],[Allergan Adjusted %]]*$H$84</f>
        <v>1103.0593925619478</v>
      </c>
      <c r="I38" s="17">
        <f>Table9[[#This Row],[Allergan Adjusted %]]*$I$84</f>
        <v>1103.0593925619478</v>
      </c>
      <c r="J38" s="17">
        <f>SUM(Table9[[#This Row],[Payment 1]:[Payment 7]])</f>
        <v>7493.9544630261207</v>
      </c>
    </row>
    <row r="39" spans="1:10" x14ac:dyDescent="0.3">
      <c r="A39" t="s">
        <v>160</v>
      </c>
      <c r="B39">
        <v>1.2600894577744775E-2</v>
      </c>
      <c r="C39" s="17">
        <f>Table9[[#This Row],[Allergan Adjusted %]]*$C$84</f>
        <v>9427.6844182219938</v>
      </c>
      <c r="D39" s="17">
        <f>Table9[[#This Row],[Allergan Adjusted %]]*$D$84</f>
        <v>19118.199995305236</v>
      </c>
      <c r="E39" s="17">
        <f>Table9[[#This Row],[Allergan Adjusted %]]*$E$84</f>
        <v>19550.666841332644</v>
      </c>
      <c r="F39" s="17">
        <f>Table9[[#This Row],[Allergan Adjusted %]]*$F$84</f>
        <v>16022.474721865232</v>
      </c>
      <c r="G39" s="17">
        <f>Table9[[#This Row],[Allergan Adjusted %]]*$G$84</f>
        <v>16022.474721865232</v>
      </c>
      <c r="H39" s="17">
        <f>Table9[[#This Row],[Allergan Adjusted %]]*$H$84</f>
        <v>16717.772726753887</v>
      </c>
      <c r="I39" s="17">
        <f>Table9[[#This Row],[Allergan Adjusted %]]*$I$84</f>
        <v>16717.772726753887</v>
      </c>
      <c r="J39" s="17">
        <f>SUM(Table9[[#This Row],[Payment 1]:[Payment 7]])</f>
        <v>113577.04615209812</v>
      </c>
    </row>
    <row r="40" spans="1:10" x14ac:dyDescent="0.3">
      <c r="A40" t="s">
        <v>161</v>
      </c>
      <c r="B40">
        <v>2.9054495783305263E-3</v>
      </c>
      <c r="C40" s="17">
        <f>Table9[[#This Row],[Allergan Adjusted %]]*$C$84</f>
        <v>2173.7870711127512</v>
      </c>
      <c r="D40" s="17">
        <f>Table9[[#This Row],[Allergan Adjusted %]]*$D$84</f>
        <v>4408.1764014519431</v>
      </c>
      <c r="E40" s="17">
        <f>Table9[[#This Row],[Allergan Adjusted %]]*$E$84</f>
        <v>4507.8923865099778</v>
      </c>
      <c r="F40" s="17">
        <f>Table9[[#This Row],[Allergan Adjusted %]]*$F$84</f>
        <v>3694.3799614571894</v>
      </c>
      <c r="G40" s="17">
        <f>Table9[[#This Row],[Allergan Adjusted %]]*$G$84</f>
        <v>3694.3799614571894</v>
      </c>
      <c r="H40" s="17">
        <f>Table9[[#This Row],[Allergan Adjusted %]]*$H$84</f>
        <v>3854.6982057416644</v>
      </c>
      <c r="I40" s="17">
        <f>Table9[[#This Row],[Allergan Adjusted %]]*$I$84</f>
        <v>3854.6982057416644</v>
      </c>
      <c r="J40" s="17">
        <f>SUM(Table9[[#This Row],[Payment 1]:[Payment 7]])</f>
        <v>26188.012193472379</v>
      </c>
    </row>
    <row r="41" spans="1:10" x14ac:dyDescent="0.3">
      <c r="A41" t="s">
        <v>162</v>
      </c>
      <c r="B41">
        <v>2.0785566573142404E-3</v>
      </c>
      <c r="C41" s="17">
        <f>Table9[[#This Row],[Allergan Adjusted %]]*$C$84</f>
        <v>1555.1257960020339</v>
      </c>
      <c r="D41" s="17">
        <f>Table9[[#This Row],[Allergan Adjusted %]]*$D$84</f>
        <v>3153.6064071427913</v>
      </c>
      <c r="E41" s="17">
        <f>Table9[[#This Row],[Allergan Adjusted %]]*$E$84</f>
        <v>3224.9431552071369</v>
      </c>
      <c r="F41" s="17">
        <f>Table9[[#This Row],[Allergan Adjusted %]]*$F$84</f>
        <v>2642.9569182018004</v>
      </c>
      <c r="G41" s="17">
        <f>Table9[[#This Row],[Allergan Adjusted %]]*$G$84</f>
        <v>2642.9569182018004</v>
      </c>
      <c r="H41" s="17">
        <f>Table9[[#This Row],[Allergan Adjusted %]]*$H$84</f>
        <v>2757.6484814048695</v>
      </c>
      <c r="I41" s="17">
        <f>Table9[[#This Row],[Allergan Adjusted %]]*$I$84</f>
        <v>2757.6484814048695</v>
      </c>
      <c r="J41" s="17">
        <f>SUM(Table9[[#This Row],[Payment 1]:[Payment 7]])</f>
        <v>18734.886157565303</v>
      </c>
    </row>
    <row r="42" spans="1:10" x14ac:dyDescent="0.3">
      <c r="A42" t="s">
        <v>163</v>
      </c>
      <c r="B42">
        <v>2.4213157288623674E-3</v>
      </c>
      <c r="C42" s="17">
        <f>Table9[[#This Row],[Allergan Adjusted %]]*$C$84</f>
        <v>1811.5698395658721</v>
      </c>
      <c r="D42" s="17">
        <f>Table9[[#This Row],[Allergan Adjusted %]]*$D$84</f>
        <v>3673.643809220242</v>
      </c>
      <c r="E42" s="17">
        <f>Table9[[#This Row],[Allergan Adjusted %]]*$E$84</f>
        <v>3756.7441613450092</v>
      </c>
      <c r="F42" s="17">
        <f>Table9[[#This Row],[Allergan Adjusted %]]*$F$84</f>
        <v>3078.7869718290531</v>
      </c>
      <c r="G42" s="17">
        <f>Table9[[#This Row],[Allergan Adjusted %]]*$G$84</f>
        <v>3078.7869718290531</v>
      </c>
      <c r="H42" s="17">
        <f>Table9[[#This Row],[Allergan Adjusted %]]*$H$84</f>
        <v>3212.3914540423179</v>
      </c>
      <c r="I42" s="17">
        <f>Table9[[#This Row],[Allergan Adjusted %]]*$I$84</f>
        <v>3212.3914540423179</v>
      </c>
      <c r="J42" s="17">
        <f>SUM(Table9[[#This Row],[Payment 1]:[Payment 7]])</f>
        <v>21824.314661873865</v>
      </c>
    </row>
    <row r="43" spans="1:10" x14ac:dyDescent="0.3">
      <c r="A43" t="s">
        <v>164</v>
      </c>
      <c r="B43">
        <v>3.5630829061509025E-3</v>
      </c>
      <c r="C43" s="17">
        <f>Table9[[#This Row],[Allergan Adjusted %]]*$C$84</f>
        <v>2665.8124141821054</v>
      </c>
      <c r="D43" s="17">
        <f>Table9[[#This Row],[Allergan Adjusted %]]*$D$84</f>
        <v>5405.9440922517397</v>
      </c>
      <c r="E43" s="17">
        <f>Table9[[#This Row],[Allergan Adjusted %]]*$E$84</f>
        <v>5528.2302693997299</v>
      </c>
      <c r="F43" s="17">
        <f>Table9[[#This Row],[Allergan Adjusted %]]*$F$84</f>
        <v>4530.5835584516435</v>
      </c>
      <c r="G43" s="17">
        <f>Table9[[#This Row],[Allergan Adjusted %]]*$G$84</f>
        <v>4530.5835584516435</v>
      </c>
      <c r="H43" s="17">
        <f>Table9[[#This Row],[Allergan Adjusted %]]*$H$84</f>
        <v>4727.1889994871626</v>
      </c>
      <c r="I43" s="17">
        <f>Table9[[#This Row],[Allergan Adjusted %]]*$I$84</f>
        <v>4727.1889994871626</v>
      </c>
      <c r="J43" s="17">
        <f>SUM(Table9[[#This Row],[Payment 1]:[Payment 7]])</f>
        <v>32115.531891711187</v>
      </c>
    </row>
    <row r="44" spans="1:10" x14ac:dyDescent="0.3">
      <c r="A44" t="s">
        <v>165</v>
      </c>
      <c r="B44">
        <v>6.7271250931107236E-3</v>
      </c>
      <c r="C44" s="17">
        <f>Table9[[#This Row],[Allergan Adjusted %]]*$C$84</f>
        <v>5033.0722178854112</v>
      </c>
      <c r="D44" s="17">
        <f>Table9[[#This Row],[Allergan Adjusted %]]*$D$84</f>
        <v>10206.459718397631</v>
      </c>
      <c r="E44" s="17">
        <f>Table9[[#This Row],[Allergan Adjusted %]]*$E$84</f>
        <v>10437.336863976458</v>
      </c>
      <c r="F44" s="17">
        <f>Table9[[#This Row],[Allergan Adjusted %]]*$F$84</f>
        <v>8553.7729952568607</v>
      </c>
      <c r="G44" s="17">
        <f>Table9[[#This Row],[Allergan Adjusted %]]*$G$84</f>
        <v>8553.7729952568607</v>
      </c>
      <c r="H44" s="17">
        <f>Table9[[#This Row],[Allergan Adjusted %]]*$H$84</f>
        <v>8924.9654234624959</v>
      </c>
      <c r="I44" s="17">
        <f>Table9[[#This Row],[Allergan Adjusted %]]*$I$84</f>
        <v>8924.9654234624959</v>
      </c>
      <c r="J44" s="17">
        <f>SUM(Table9[[#This Row],[Payment 1]:[Payment 7]])</f>
        <v>60634.345637698221</v>
      </c>
    </row>
    <row r="45" spans="1:10" x14ac:dyDescent="0.3">
      <c r="A45" t="s">
        <v>166</v>
      </c>
      <c r="B45">
        <v>2.0785566573142404E-3</v>
      </c>
      <c r="C45" s="17">
        <f>Table9[[#This Row],[Allergan Adjusted %]]*$C$84</f>
        <v>1555.1257960020339</v>
      </c>
      <c r="D45" s="17">
        <f>Table9[[#This Row],[Allergan Adjusted %]]*$D$84</f>
        <v>3153.6064071427913</v>
      </c>
      <c r="E45" s="17">
        <f>Table9[[#This Row],[Allergan Adjusted %]]*$E$84</f>
        <v>3224.9431552071369</v>
      </c>
      <c r="F45" s="17">
        <f>Table9[[#This Row],[Allergan Adjusted %]]*$F$84</f>
        <v>2642.9569182018004</v>
      </c>
      <c r="G45" s="17">
        <f>Table9[[#This Row],[Allergan Adjusted %]]*$G$84</f>
        <v>2642.9569182018004</v>
      </c>
      <c r="H45" s="17">
        <f>Table9[[#This Row],[Allergan Adjusted %]]*$H$84</f>
        <v>2757.6484814048695</v>
      </c>
      <c r="I45" s="17">
        <f>Table9[[#This Row],[Allergan Adjusted %]]*$I$84</f>
        <v>2757.6484814048695</v>
      </c>
      <c r="J45" s="17">
        <f>SUM(Table9[[#This Row],[Payment 1]:[Payment 7]])</f>
        <v>18734.886157565303</v>
      </c>
    </row>
    <row r="46" spans="1:10" x14ac:dyDescent="0.3">
      <c r="A46" t="s">
        <v>167</v>
      </c>
      <c r="B46">
        <v>1.7446596822696982E-2</v>
      </c>
      <c r="C46" s="17">
        <f>Table9[[#This Row],[Allergan Adjusted %]]*$C$84</f>
        <v>13053.121586053248</v>
      </c>
      <c r="D46" s="17">
        <f>Table9[[#This Row],[Allergan Adjusted %]]*$D$84</f>
        <v>26470.146642038959</v>
      </c>
      <c r="E46" s="17">
        <f>Table9[[#This Row],[Allergan Adjusted %]]*$E$84</f>
        <v>27068.919582743452</v>
      </c>
      <c r="F46" s="17">
        <f>Table9[[#This Row],[Allergan Adjusted %]]*$F$84</f>
        <v>22183.953278043093</v>
      </c>
      <c r="G46" s="17">
        <f>Table9[[#This Row],[Allergan Adjusted %]]*$G$84</f>
        <v>22183.953278043093</v>
      </c>
      <c r="H46" s="17">
        <f>Table9[[#This Row],[Allergan Adjusted %]]*$H$84</f>
        <v>23146.629688680045</v>
      </c>
      <c r="I46" s="17">
        <f>Table9[[#This Row],[Allergan Adjusted %]]*$I$84</f>
        <v>23146.629688680045</v>
      </c>
      <c r="J46" s="17">
        <f>SUM(Table9[[#This Row],[Payment 1]:[Payment 7]])</f>
        <v>157253.35374428195</v>
      </c>
    </row>
    <row r="47" spans="1:10" x14ac:dyDescent="0.3">
      <c r="A47" t="s">
        <v>168</v>
      </c>
      <c r="B47">
        <v>6.9553330702260777E-3</v>
      </c>
      <c r="C47" s="17">
        <f>Table9[[#This Row],[Allergan Adjusted %]]*$C$84</f>
        <v>5203.8119043965762</v>
      </c>
      <c r="D47" s="17">
        <f>Table9[[#This Row],[Allergan Adjusted %]]*$D$84</f>
        <v>10552.699084190042</v>
      </c>
      <c r="E47" s="17">
        <f>Table9[[#This Row],[Allergan Adjusted %]]*$E$84</f>
        <v>10791.408402595365</v>
      </c>
      <c r="F47" s="17">
        <f>Table9[[#This Row],[Allergan Adjusted %]]*$F$84</f>
        <v>8843.9473572514962</v>
      </c>
      <c r="G47" s="17">
        <f>Table9[[#This Row],[Allergan Adjusted %]]*$G$84</f>
        <v>8843.9473572514962</v>
      </c>
      <c r="H47" s="17">
        <f>Table9[[#This Row],[Allergan Adjusted %]]*$H$84</f>
        <v>9227.7319510537091</v>
      </c>
      <c r="I47" s="17">
        <f>Table9[[#This Row],[Allergan Adjusted %]]*$I$84</f>
        <v>9227.7319510537091</v>
      </c>
      <c r="J47" s="17">
        <f>SUM(Table9[[#This Row],[Payment 1]:[Payment 7]])</f>
        <v>62691.278007792396</v>
      </c>
    </row>
    <row r="48" spans="1:10" x14ac:dyDescent="0.3">
      <c r="A48" t="s">
        <v>169</v>
      </c>
      <c r="B48">
        <v>3.0268022409488428E-2</v>
      </c>
      <c r="C48" s="17">
        <f>Table9[[#This Row],[Allergan Adjusted %]]*$C$84</f>
        <v>22645.801969037624</v>
      </c>
      <c r="D48" s="17">
        <f>Table9[[#This Row],[Allergan Adjusted %]]*$D$84</f>
        <v>45922.938432403505</v>
      </c>
      <c r="E48" s="17">
        <f>Table9[[#This Row],[Allergan Adjusted %]]*$E$84</f>
        <v>46961.746915893018</v>
      </c>
      <c r="F48" s="17">
        <f>Table9[[#This Row],[Allergan Adjusted %]]*$F$84</f>
        <v>38486.840830603564</v>
      </c>
      <c r="G48" s="17">
        <f>Table9[[#This Row],[Allergan Adjusted %]]*$G$84</f>
        <v>38486.840830603564</v>
      </c>
      <c r="H48" s="17">
        <f>Table9[[#This Row],[Allergan Adjusted %]]*$H$84</f>
        <v>40156.983808421333</v>
      </c>
      <c r="I48" s="17">
        <f>Table9[[#This Row],[Allergan Adjusted %]]*$I$84</f>
        <v>40156.983808421333</v>
      </c>
      <c r="J48" s="17">
        <f>SUM(Table9[[#This Row],[Payment 1]:[Payment 7]])</f>
        <v>272818.13659538393</v>
      </c>
    </row>
    <row r="49" spans="1:10" x14ac:dyDescent="0.3">
      <c r="A49" t="s">
        <v>170</v>
      </c>
      <c r="B49">
        <v>8.3142266292569617E-4</v>
      </c>
      <c r="C49" s="17">
        <f>Table9[[#This Row],[Allergan Adjusted %]]*$C$84</f>
        <v>622.05031840081358</v>
      </c>
      <c r="D49" s="17">
        <f>Table9[[#This Row],[Allergan Adjusted %]]*$D$84</f>
        <v>1261.4425628571164</v>
      </c>
      <c r="E49" s="17">
        <f>Table9[[#This Row],[Allergan Adjusted %]]*$E$84</f>
        <v>1289.9772620828546</v>
      </c>
      <c r="F49" s="17">
        <f>Table9[[#This Row],[Allergan Adjusted %]]*$F$84</f>
        <v>1057.1827672807201</v>
      </c>
      <c r="G49" s="17">
        <f>Table9[[#This Row],[Allergan Adjusted %]]*$G$84</f>
        <v>1057.1827672807201</v>
      </c>
      <c r="H49" s="17">
        <f>Table9[[#This Row],[Allergan Adjusted %]]*$H$84</f>
        <v>1103.0593925619478</v>
      </c>
      <c r="I49" s="17">
        <f>Table9[[#This Row],[Allergan Adjusted %]]*$I$84</f>
        <v>1103.0593925619478</v>
      </c>
      <c r="J49" s="17">
        <f>SUM(Table9[[#This Row],[Payment 1]:[Payment 7]])</f>
        <v>7493.9544630261207</v>
      </c>
    </row>
    <row r="50" spans="1:10" x14ac:dyDescent="0.3">
      <c r="A50" t="s">
        <v>171</v>
      </c>
      <c r="B50">
        <v>2.6812821107250061E-3</v>
      </c>
      <c r="C50" s="17">
        <f>Table9[[#This Row],[Allergan Adjusted %]]*$C$84</f>
        <v>2006.0703960483143</v>
      </c>
      <c r="D50" s="17">
        <f>Table9[[#This Row],[Allergan Adjusted %]]*$D$84</f>
        <v>4068.067336045377</v>
      </c>
      <c r="E50" s="17">
        <f>Table9[[#This Row],[Allergan Adjusted %]]*$E$84</f>
        <v>4160.0898198921141</v>
      </c>
      <c r="F50" s="17">
        <f>Table9[[#This Row],[Allergan Adjusted %]]*$F$84</f>
        <v>3409.3432475148679</v>
      </c>
      <c r="G50" s="17">
        <f>Table9[[#This Row],[Allergan Adjusted %]]*$G$84</f>
        <v>3409.3432475148679</v>
      </c>
      <c r="H50" s="17">
        <f>Table9[[#This Row],[Allergan Adjusted %]]*$H$84</f>
        <v>3557.292275310353</v>
      </c>
      <c r="I50" s="17">
        <f>Table9[[#This Row],[Allergan Adjusted %]]*$I$84</f>
        <v>3557.292275310353</v>
      </c>
      <c r="J50" s="17">
        <f>SUM(Table9[[#This Row],[Payment 1]:[Payment 7]])</f>
        <v>24167.498597636244</v>
      </c>
    </row>
    <row r="51" spans="1:10" x14ac:dyDescent="0.3">
      <c r="A51" t="s">
        <v>172</v>
      </c>
      <c r="B51">
        <v>2.0785566573142404E-3</v>
      </c>
      <c r="C51" s="17">
        <f>Table9[[#This Row],[Allergan Adjusted %]]*$C$84</f>
        <v>1555.1257960020339</v>
      </c>
      <c r="D51" s="17">
        <f>Table9[[#This Row],[Allergan Adjusted %]]*$D$84</f>
        <v>3153.6064071427913</v>
      </c>
      <c r="E51" s="17">
        <f>Table9[[#This Row],[Allergan Adjusted %]]*$E$84</f>
        <v>3224.9431552071369</v>
      </c>
      <c r="F51" s="17">
        <f>Table9[[#This Row],[Allergan Adjusted %]]*$F$84</f>
        <v>2642.9569182018004</v>
      </c>
      <c r="G51" s="17">
        <f>Table9[[#This Row],[Allergan Adjusted %]]*$G$84</f>
        <v>2642.9569182018004</v>
      </c>
      <c r="H51" s="17">
        <f>Table9[[#This Row],[Allergan Adjusted %]]*$H$84</f>
        <v>2757.6484814048695</v>
      </c>
      <c r="I51" s="17">
        <f>Table9[[#This Row],[Allergan Adjusted %]]*$I$84</f>
        <v>2757.6484814048695</v>
      </c>
      <c r="J51" s="17">
        <f>SUM(Table9[[#This Row],[Payment 1]:[Payment 7]])</f>
        <v>18734.886157565303</v>
      </c>
    </row>
    <row r="52" spans="1:10" x14ac:dyDescent="0.3">
      <c r="A52" t="s">
        <v>173</v>
      </c>
      <c r="B52">
        <v>2.6311313066889618E-2</v>
      </c>
      <c r="C52" s="17">
        <f>Table9[[#This Row],[Allergan Adjusted %]]*$C$84</f>
        <v>19685.487779715335</v>
      </c>
      <c r="D52" s="17">
        <f>Table9[[#This Row],[Allergan Adjusted %]]*$D$84</f>
        <v>39919.780476562941</v>
      </c>
      <c r="E52" s="17">
        <f>Table9[[#This Row],[Allergan Adjusted %]]*$E$84</f>
        <v>40822.793394151682</v>
      </c>
      <c r="F52" s="17">
        <f>Table9[[#This Row],[Allergan Adjusted %]]*$F$84</f>
        <v>33455.747598895592</v>
      </c>
      <c r="G52" s="17">
        <f>Table9[[#This Row],[Allergan Adjusted %]]*$G$84</f>
        <v>33455.747598895592</v>
      </c>
      <c r="H52" s="17">
        <f>Table9[[#This Row],[Allergan Adjusted %]]*$H$84</f>
        <v>34907.565433616604</v>
      </c>
      <c r="I52" s="17">
        <f>Table9[[#This Row],[Allergan Adjusted %]]*$I$84</f>
        <v>34907.565433616604</v>
      </c>
      <c r="J52" s="17">
        <f>SUM(Table9[[#This Row],[Payment 1]:[Payment 7]])</f>
        <v>237154.68771545435</v>
      </c>
    </row>
    <row r="53" spans="1:10" x14ac:dyDescent="0.3">
      <c r="A53" t="s">
        <v>174</v>
      </c>
      <c r="B53">
        <v>9.2275539981756163E-3</v>
      </c>
      <c r="C53" s="17">
        <f>Table9[[#This Row],[Allergan Adjusted %]]*$C$84</f>
        <v>6903.8326215782063</v>
      </c>
      <c r="D53" s="17">
        <f>Table9[[#This Row],[Allergan Adjusted %]]*$D$84</f>
        <v>14000.134809172678</v>
      </c>
      <c r="E53" s="17">
        <f>Table9[[#This Row],[Allergan Adjusted %]]*$E$84</f>
        <v>14316.827497101887</v>
      </c>
      <c r="F53" s="17">
        <f>Table9[[#This Row],[Allergan Adjusted %]]*$F$84</f>
        <v>11733.155115950201</v>
      </c>
      <c r="G53" s="17">
        <f>Table9[[#This Row],[Allergan Adjusted %]]*$G$84</f>
        <v>11733.155115950201</v>
      </c>
      <c r="H53" s="17">
        <f>Table9[[#This Row],[Allergan Adjusted %]]*$H$84</f>
        <v>12242.317369895676</v>
      </c>
      <c r="I53" s="17">
        <f>Table9[[#This Row],[Allergan Adjusted %]]*$I$84</f>
        <v>12242.317369895676</v>
      </c>
      <c r="J53" s="17">
        <f>SUM(Table9[[#This Row],[Payment 1]:[Payment 7]])</f>
        <v>83171.739899544526</v>
      </c>
    </row>
    <row r="54" spans="1:10" x14ac:dyDescent="0.3">
      <c r="A54" t="s">
        <v>175</v>
      </c>
      <c r="B54">
        <v>8.3142266292569617E-4</v>
      </c>
      <c r="C54" s="17">
        <f>Table9[[#This Row],[Allergan Adjusted %]]*$C$84</f>
        <v>622.05031840081358</v>
      </c>
      <c r="D54" s="17">
        <f>Table9[[#This Row],[Allergan Adjusted %]]*$D$84</f>
        <v>1261.4425628571164</v>
      </c>
      <c r="E54" s="17">
        <f>Table9[[#This Row],[Allergan Adjusted %]]*$E$84</f>
        <v>1289.9772620828546</v>
      </c>
      <c r="F54" s="17">
        <f>Table9[[#This Row],[Allergan Adjusted %]]*$F$84</f>
        <v>1057.1827672807201</v>
      </c>
      <c r="G54" s="17">
        <f>Table9[[#This Row],[Allergan Adjusted %]]*$G$84</f>
        <v>1057.1827672807201</v>
      </c>
      <c r="H54" s="17">
        <f>Table9[[#This Row],[Allergan Adjusted %]]*$H$84</f>
        <v>1103.0593925619478</v>
      </c>
      <c r="I54" s="17">
        <f>Table9[[#This Row],[Allergan Adjusted %]]*$I$84</f>
        <v>1103.0593925619478</v>
      </c>
      <c r="J54" s="17">
        <f>SUM(Table9[[#This Row],[Payment 1]:[Payment 7]])</f>
        <v>7493.9544630261207</v>
      </c>
    </row>
    <row r="55" spans="1:10" x14ac:dyDescent="0.3">
      <c r="A55" t="s">
        <v>176</v>
      </c>
      <c r="B55">
        <v>8.9418091656402448E-3</v>
      </c>
      <c r="C55" s="17">
        <f>Table9[[#This Row],[Allergan Adjusted %]]*$C$84</f>
        <v>6690.0452520656427</v>
      </c>
      <c r="D55" s="17">
        <f>Table9[[#This Row],[Allergan Adjusted %]]*$D$84</f>
        <v>13566.599965885865</v>
      </c>
      <c r="E55" s="17">
        <f>Table9[[#This Row],[Allergan Adjusted %]]*$E$84</f>
        <v>13873.485797188128</v>
      </c>
      <c r="F55" s="17">
        <f>Table9[[#This Row],[Allergan Adjusted %]]*$F$84</f>
        <v>11369.82064569063</v>
      </c>
      <c r="G55" s="17">
        <f>Table9[[#This Row],[Allergan Adjusted %]]*$G$84</f>
        <v>11369.82064569063</v>
      </c>
      <c r="H55" s="17">
        <f>Table9[[#This Row],[Allergan Adjusted %]]*$H$84</f>
        <v>11863.215938747473</v>
      </c>
      <c r="I55" s="17">
        <f>Table9[[#This Row],[Allergan Adjusted %]]*$I$84</f>
        <v>11863.215938747473</v>
      </c>
      <c r="J55" s="17">
        <f>SUM(Table9[[#This Row],[Payment 1]:[Payment 7]])</f>
        <v>80596.204184015834</v>
      </c>
    </row>
    <row r="56" spans="1:10" x14ac:dyDescent="0.3">
      <c r="A56" t="s">
        <v>177</v>
      </c>
      <c r="B56">
        <v>3.720501156653986E-3</v>
      </c>
      <c r="C56" s="17">
        <f>Table9[[#This Row],[Allergan Adjusted %]]*$C$84</f>
        <v>2783.5889401466056</v>
      </c>
      <c r="D56" s="17">
        <f>Table9[[#This Row],[Allergan Adjusted %]]*$D$84</f>
        <v>5644.7805952841809</v>
      </c>
      <c r="E56" s="17">
        <f>Table9[[#This Row],[Allergan Adjusted %]]*$E$84</f>
        <v>5772.4694185603639</v>
      </c>
      <c r="F56" s="17">
        <f>Table9[[#This Row],[Allergan Adjusted %]]*$F$84</f>
        <v>4730.7463265697552</v>
      </c>
      <c r="G56" s="17">
        <f>Table9[[#This Row],[Allergan Adjusted %]]*$G$84</f>
        <v>4730.7463265697552</v>
      </c>
      <c r="H56" s="17">
        <f>Table9[[#This Row],[Allergan Adjusted %]]*$H$84</f>
        <v>4936.0378648369087</v>
      </c>
      <c r="I56" s="17">
        <f>Table9[[#This Row],[Allergan Adjusted %]]*$I$84</f>
        <v>4936.0378648369087</v>
      </c>
      <c r="J56" s="17">
        <f>SUM(Table9[[#This Row],[Payment 1]:[Payment 7]])</f>
        <v>33534.407336804477</v>
      </c>
    </row>
    <row r="57" spans="1:10" x14ac:dyDescent="0.3">
      <c r="A57" t="s">
        <v>178</v>
      </c>
      <c r="B57">
        <v>1.3602536885232311E-2</v>
      </c>
      <c r="C57" s="17">
        <f>Table9[[#This Row],[Allergan Adjusted %]]*$C$84</f>
        <v>10177.08895586572</v>
      </c>
      <c r="D57" s="17">
        <f>Table9[[#This Row],[Allergan Adjusted %]]*$D$84</f>
        <v>20637.901460955702</v>
      </c>
      <c r="E57" s="17">
        <f>Table9[[#This Row],[Allergan Adjusted %]]*$E$84</f>
        <v>21104.745000391194</v>
      </c>
      <c r="F57" s="17">
        <f>Table9[[#This Row],[Allergan Adjusted %]]*$F$84</f>
        <v>17296.097674033608</v>
      </c>
      <c r="G57" s="17">
        <f>Table9[[#This Row],[Allergan Adjusted %]]*$G$84</f>
        <v>17296.097674033608</v>
      </c>
      <c r="H57" s="17">
        <f>Table9[[#This Row],[Allergan Adjusted %]]*$H$84</f>
        <v>18046.664762693363</v>
      </c>
      <c r="I57" s="17">
        <f>Table9[[#This Row],[Allergan Adjusted %]]*$I$84</f>
        <v>18046.664762693363</v>
      </c>
      <c r="J57" s="17">
        <f>SUM(Table9[[#This Row],[Payment 1]:[Payment 7]])</f>
        <v>122605.26029066657</v>
      </c>
    </row>
    <row r="58" spans="1:10" x14ac:dyDescent="0.3">
      <c r="A58" t="s">
        <v>179</v>
      </c>
      <c r="B58">
        <v>8.3142266292569628E-4</v>
      </c>
      <c r="C58" s="17">
        <f>Table9[[#This Row],[Allergan Adjusted %]]*$C$84</f>
        <v>622.05031840081358</v>
      </c>
      <c r="D58" s="17">
        <f>Table9[[#This Row],[Allergan Adjusted %]]*$D$84</f>
        <v>1261.4425628571166</v>
      </c>
      <c r="E58" s="17">
        <f>Table9[[#This Row],[Allergan Adjusted %]]*$E$84</f>
        <v>1289.9772620828548</v>
      </c>
      <c r="F58" s="17">
        <f>Table9[[#This Row],[Allergan Adjusted %]]*$F$84</f>
        <v>1057.1827672807203</v>
      </c>
      <c r="G58" s="17">
        <f>Table9[[#This Row],[Allergan Adjusted %]]*$G$84</f>
        <v>1057.1827672807203</v>
      </c>
      <c r="H58" s="17">
        <f>Table9[[#This Row],[Allergan Adjusted %]]*$H$84</f>
        <v>1103.059392561948</v>
      </c>
      <c r="I58" s="17">
        <f>Table9[[#This Row],[Allergan Adjusted %]]*$I$84</f>
        <v>1103.059392561948</v>
      </c>
      <c r="J58" s="17">
        <f>SUM(Table9[[#This Row],[Payment 1]:[Payment 7]])</f>
        <v>7493.9544630261216</v>
      </c>
    </row>
    <row r="59" spans="1:10" x14ac:dyDescent="0.3">
      <c r="A59" t="s">
        <v>180</v>
      </c>
      <c r="B59">
        <v>2.0785566573142404E-3</v>
      </c>
      <c r="C59" s="17">
        <f>Table9[[#This Row],[Allergan Adjusted %]]*$C$84</f>
        <v>1555.1257960020339</v>
      </c>
      <c r="D59" s="17">
        <f>Table9[[#This Row],[Allergan Adjusted %]]*$D$84</f>
        <v>3153.6064071427913</v>
      </c>
      <c r="E59" s="17">
        <f>Table9[[#This Row],[Allergan Adjusted %]]*$E$84</f>
        <v>3224.9431552071369</v>
      </c>
      <c r="F59" s="17">
        <f>Table9[[#This Row],[Allergan Adjusted %]]*$F$84</f>
        <v>2642.9569182018004</v>
      </c>
      <c r="G59" s="17">
        <f>Table9[[#This Row],[Allergan Adjusted %]]*$G$84</f>
        <v>2642.9569182018004</v>
      </c>
      <c r="H59" s="17">
        <f>Table9[[#This Row],[Allergan Adjusted %]]*$H$84</f>
        <v>2757.6484814048695</v>
      </c>
      <c r="I59" s="17">
        <f>Table9[[#This Row],[Allergan Adjusted %]]*$I$84</f>
        <v>2757.6484814048695</v>
      </c>
      <c r="J59" s="17">
        <f>SUM(Table9[[#This Row],[Payment 1]:[Payment 7]])</f>
        <v>18734.886157565303</v>
      </c>
    </row>
    <row r="60" spans="1:10" x14ac:dyDescent="0.3">
      <c r="A60" t="s">
        <v>181</v>
      </c>
      <c r="B60">
        <v>2.0785566573142404E-3</v>
      </c>
      <c r="C60" s="17">
        <f>Table9[[#This Row],[Allergan Adjusted %]]*$C$84</f>
        <v>1555.1257960020339</v>
      </c>
      <c r="D60" s="17">
        <f>Table9[[#This Row],[Allergan Adjusted %]]*$D$84</f>
        <v>3153.6064071427913</v>
      </c>
      <c r="E60" s="17">
        <f>Table9[[#This Row],[Allergan Adjusted %]]*$E$84</f>
        <v>3224.9431552071369</v>
      </c>
      <c r="F60" s="17">
        <f>Table9[[#This Row],[Allergan Adjusted %]]*$F$84</f>
        <v>2642.9569182018004</v>
      </c>
      <c r="G60" s="17">
        <f>Table9[[#This Row],[Allergan Adjusted %]]*$G$84</f>
        <v>2642.9569182018004</v>
      </c>
      <c r="H60" s="17">
        <f>Table9[[#This Row],[Allergan Adjusted %]]*$H$84</f>
        <v>2757.6484814048695</v>
      </c>
      <c r="I60" s="17">
        <f>Table9[[#This Row],[Allergan Adjusted %]]*$I$84</f>
        <v>2757.6484814048695</v>
      </c>
      <c r="J60" s="17">
        <f>SUM(Table9[[#This Row],[Payment 1]:[Payment 7]])</f>
        <v>18734.886157565303</v>
      </c>
    </row>
    <row r="61" spans="1:10" x14ac:dyDescent="0.3">
      <c r="A61" t="s">
        <v>182</v>
      </c>
      <c r="B61">
        <v>2.0785566573142404E-3</v>
      </c>
      <c r="C61" s="17">
        <f>Table9[[#This Row],[Allergan Adjusted %]]*$C$84</f>
        <v>1555.1257960020339</v>
      </c>
      <c r="D61" s="17">
        <f>Table9[[#This Row],[Allergan Adjusted %]]*$D$84</f>
        <v>3153.6064071427913</v>
      </c>
      <c r="E61" s="17">
        <f>Table9[[#This Row],[Allergan Adjusted %]]*$E$84</f>
        <v>3224.9431552071369</v>
      </c>
      <c r="F61" s="17">
        <f>Table9[[#This Row],[Allergan Adjusted %]]*$F$84</f>
        <v>2642.9569182018004</v>
      </c>
      <c r="G61" s="17">
        <f>Table9[[#This Row],[Allergan Adjusted %]]*$G$84</f>
        <v>2642.9569182018004</v>
      </c>
      <c r="H61" s="17">
        <f>Table9[[#This Row],[Allergan Adjusted %]]*$H$84</f>
        <v>2757.6484814048695</v>
      </c>
      <c r="I61" s="17">
        <f>Table9[[#This Row],[Allergan Adjusted %]]*$I$84</f>
        <v>2757.6484814048695</v>
      </c>
      <c r="J61" s="17">
        <f>SUM(Table9[[#This Row],[Payment 1]:[Payment 7]])</f>
        <v>18734.886157565303</v>
      </c>
    </row>
    <row r="62" spans="1:10" x14ac:dyDescent="0.3">
      <c r="A62" t="s">
        <v>183</v>
      </c>
      <c r="B62">
        <v>2.8888026791500155E-3</v>
      </c>
      <c r="C62" s="17">
        <f>Table9[[#This Row],[Allergan Adjusted %]]*$C$84</f>
        <v>2161.3322639522344</v>
      </c>
      <c r="D62" s="17">
        <f>Table9[[#This Row],[Allergan Adjusted %]]*$D$84</f>
        <v>4382.9195638622705</v>
      </c>
      <c r="E62" s="17">
        <f>Table9[[#This Row],[Allergan Adjusted %]]*$E$84</f>
        <v>4482.0642218656803</v>
      </c>
      <c r="F62" s="17">
        <f>Table9[[#This Row],[Allergan Adjusted %]]*$F$84</f>
        <v>3673.2128514816604</v>
      </c>
      <c r="G62" s="17">
        <f>Table9[[#This Row],[Allergan Adjusted %]]*$G$84</f>
        <v>3673.2128514816604</v>
      </c>
      <c r="H62" s="17">
        <f>Table9[[#This Row],[Allergan Adjusted %]]*$H$84</f>
        <v>3832.6125454428725</v>
      </c>
      <c r="I62" s="17">
        <f>Table9[[#This Row],[Allergan Adjusted %]]*$I$84</f>
        <v>3832.6125454428725</v>
      </c>
      <c r="J62" s="17">
        <f>SUM(Table9[[#This Row],[Payment 1]:[Payment 7]])</f>
        <v>26037.966843529255</v>
      </c>
    </row>
    <row r="63" spans="1:10" x14ac:dyDescent="0.3">
      <c r="A63" t="s">
        <v>184</v>
      </c>
      <c r="B63">
        <v>2.5289629832233311E-2</v>
      </c>
      <c r="C63" s="17">
        <f>Table9[[#This Row],[Allergan Adjusted %]]*$C$84</f>
        <v>18921.08910529584</v>
      </c>
      <c r="D63" s="17">
        <f>Table9[[#This Row],[Allergan Adjusted %]]*$D$84</f>
        <v>38369.672720998693</v>
      </c>
      <c r="E63" s="17">
        <f>Table9[[#This Row],[Allergan Adjusted %]]*$E$84</f>
        <v>39237.621133967958</v>
      </c>
      <c r="F63" s="17">
        <f>Table9[[#This Row],[Allergan Adjusted %]]*$F$84</f>
        <v>32156.641912387742</v>
      </c>
      <c r="G63" s="17">
        <f>Table9[[#This Row],[Allergan Adjusted %]]*$G$84</f>
        <v>32156.641912387742</v>
      </c>
      <c r="H63" s="17">
        <f>Table9[[#This Row],[Allergan Adjusted %]]*$H$84</f>
        <v>33552.084835764021</v>
      </c>
      <c r="I63" s="17">
        <f>Table9[[#This Row],[Allergan Adjusted %]]*$I$84</f>
        <v>33552.084835764021</v>
      </c>
      <c r="J63" s="17">
        <f>SUM(Table9[[#This Row],[Payment 1]:[Payment 7]])</f>
        <v>227945.836456566</v>
      </c>
    </row>
    <row r="64" spans="1:10" x14ac:dyDescent="0.3">
      <c r="A64" t="s">
        <v>185</v>
      </c>
      <c r="B64">
        <v>7.4060115009528223E-3</v>
      </c>
      <c r="C64" s="17">
        <f>Table9[[#This Row],[Allergan Adjusted %]]*$C$84</f>
        <v>5540.9986011645533</v>
      </c>
      <c r="D64" s="17">
        <f>Table9[[#This Row],[Allergan Adjusted %]]*$D$84</f>
        <v>11236.472789226966</v>
      </c>
      <c r="E64" s="17">
        <f>Table9[[#This Row],[Allergan Adjusted %]]*$E$84</f>
        <v>11490.649539591699</v>
      </c>
      <c r="F64" s="17">
        <f>Table9[[#This Row],[Allergan Adjusted %]]*$F$84</f>
        <v>9417.0006210064839</v>
      </c>
      <c r="G64" s="17">
        <f>Table9[[#This Row],[Allergan Adjusted %]]*$G$84</f>
        <v>9417.0006210064839</v>
      </c>
      <c r="H64" s="17">
        <f>Table9[[#This Row],[Allergan Adjusted %]]*$H$84</f>
        <v>9825.6529582690764</v>
      </c>
      <c r="I64" s="17">
        <f>Table9[[#This Row],[Allergan Adjusted %]]*$I$84</f>
        <v>9825.6529582690764</v>
      </c>
      <c r="J64" s="17">
        <f>SUM(Table9[[#This Row],[Payment 1]:[Payment 7]])</f>
        <v>66753.428088534332</v>
      </c>
    </row>
    <row r="65" spans="1:10" x14ac:dyDescent="0.3">
      <c r="A65" t="s">
        <v>186</v>
      </c>
      <c r="B65">
        <v>0.12960314060682437</v>
      </c>
      <c r="C65" s="17">
        <f>Table9[[#This Row],[Allergan Adjusted %]]*$C$84</f>
        <v>96965.933784541849</v>
      </c>
      <c r="D65" s="17">
        <f>Table9[[#This Row],[Allergan Adjusted %]]*$D$84</f>
        <v>196635.14735827511</v>
      </c>
      <c r="E65" s="17">
        <f>Table9[[#This Row],[Allergan Adjusted %]]*$E$84</f>
        <v>201083.16976713421</v>
      </c>
      <c r="F65" s="17">
        <f>Table9[[#This Row],[Allergan Adjusted %]]*$F$84</f>
        <v>164794.89066710678</v>
      </c>
      <c r="G65" s="17">
        <f>Table9[[#This Row],[Allergan Adjusted %]]*$G$84</f>
        <v>164794.89066710678</v>
      </c>
      <c r="H65" s="17">
        <f>Table9[[#This Row],[Allergan Adjusted %]]*$H$84</f>
        <v>171946.1928651573</v>
      </c>
      <c r="I65" s="17">
        <f>Table9[[#This Row],[Allergan Adjusted %]]*$I$84</f>
        <v>171946.1928651573</v>
      </c>
      <c r="J65" s="17">
        <f>SUM(Table9[[#This Row],[Payment 1]:[Payment 7]])</f>
        <v>1168166.4179744793</v>
      </c>
    </row>
    <row r="66" spans="1:10" x14ac:dyDescent="0.3">
      <c r="A66" t="s">
        <v>189</v>
      </c>
      <c r="B66">
        <v>8.3142266292569617E-4</v>
      </c>
      <c r="C66" s="17">
        <f>Table9[[#This Row],[Allergan Adjusted %]]*$C$84</f>
        <v>622.05031840081358</v>
      </c>
      <c r="D66" s="17">
        <f>Table9[[#This Row],[Allergan Adjusted %]]*$D$84</f>
        <v>1261.4425628571164</v>
      </c>
      <c r="E66" s="17">
        <f>Table9[[#This Row],[Allergan Adjusted %]]*$E$84</f>
        <v>1289.9772620828546</v>
      </c>
      <c r="F66" s="17">
        <f>Table9[[#This Row],[Allergan Adjusted %]]*$F$84</f>
        <v>1057.1827672807201</v>
      </c>
      <c r="G66" s="17">
        <f>Table9[[#This Row],[Allergan Adjusted %]]*$G$84</f>
        <v>1057.1827672807201</v>
      </c>
      <c r="H66" s="17">
        <f>Table9[[#This Row],[Allergan Adjusted %]]*$H$84</f>
        <v>1103.0593925619478</v>
      </c>
      <c r="I66" s="17">
        <f>Table9[[#This Row],[Allergan Adjusted %]]*$I$84</f>
        <v>1103.0593925619478</v>
      </c>
      <c r="J66" s="17">
        <f>SUM(Table9[[#This Row],[Payment 1]:[Payment 7]])</f>
        <v>7493.9544630261207</v>
      </c>
    </row>
    <row r="67" spans="1:10" x14ac:dyDescent="0.3">
      <c r="A67" t="s">
        <v>191</v>
      </c>
      <c r="B67">
        <v>3.3414852025936359E-2</v>
      </c>
      <c r="C67" s="17">
        <f>Table9[[#This Row],[Allergan Adjusted %]]*$C$84</f>
        <v>25000.183743977868</v>
      </c>
      <c r="D67" s="17">
        <f>Table9[[#This Row],[Allergan Adjusted %]]*$D$84</f>
        <v>50697.338978905696</v>
      </c>
      <c r="E67" s="17">
        <f>Table9[[#This Row],[Allergan Adjusted %]]*$E$84</f>
        <v>51844.147689745296</v>
      </c>
      <c r="F67" s="17">
        <f>Table9[[#This Row],[Allergan Adjusted %]]*$F$84</f>
        <v>42488.143886705926</v>
      </c>
      <c r="G67" s="17">
        <f>Table9[[#This Row],[Allergan Adjusted %]]*$G$84</f>
        <v>42488.143886705926</v>
      </c>
      <c r="H67" s="17">
        <f>Table9[[#This Row],[Allergan Adjusted %]]*$H$84</f>
        <v>44331.924088495485</v>
      </c>
      <c r="I67" s="17">
        <f>Table9[[#This Row],[Allergan Adjusted %]]*$I$84</f>
        <v>44331.924088495485</v>
      </c>
      <c r="J67" s="17">
        <f>SUM(Table9[[#This Row],[Payment 1]:[Payment 7]])</f>
        <v>301181.80636303168</v>
      </c>
    </row>
    <row r="68" spans="1:10" x14ac:dyDescent="0.3">
      <c r="A68" t="s">
        <v>192</v>
      </c>
      <c r="B68">
        <v>8.3142266292569617E-4</v>
      </c>
      <c r="C68" s="17">
        <f>Table9[[#This Row],[Allergan Adjusted %]]*$C$84</f>
        <v>622.05031840081358</v>
      </c>
      <c r="D68" s="17">
        <f>Table9[[#This Row],[Allergan Adjusted %]]*$D$84</f>
        <v>1261.4425628571164</v>
      </c>
      <c r="E68" s="17">
        <f>Table9[[#This Row],[Allergan Adjusted %]]*$E$84</f>
        <v>1289.9772620828546</v>
      </c>
      <c r="F68" s="17">
        <f>Table9[[#This Row],[Allergan Adjusted %]]*$F$84</f>
        <v>1057.1827672807201</v>
      </c>
      <c r="G68" s="17">
        <f>Table9[[#This Row],[Allergan Adjusted %]]*$G$84</f>
        <v>1057.1827672807201</v>
      </c>
      <c r="H68" s="17">
        <f>Table9[[#This Row],[Allergan Adjusted %]]*$H$84</f>
        <v>1103.0593925619478</v>
      </c>
      <c r="I68" s="17">
        <f>Table9[[#This Row],[Allergan Adjusted %]]*$I$84</f>
        <v>1103.0593925619478</v>
      </c>
      <c r="J68" s="17">
        <f>SUM(Table9[[#This Row],[Payment 1]:[Payment 7]])</f>
        <v>7493.9544630261207</v>
      </c>
    </row>
    <row r="69" spans="1:10" x14ac:dyDescent="0.3">
      <c r="A69" t="s">
        <v>194</v>
      </c>
      <c r="B69">
        <v>8.3142266292569617E-4</v>
      </c>
      <c r="C69" s="17">
        <f>Table9[[#This Row],[Allergan Adjusted %]]*$C$84</f>
        <v>622.05031840081358</v>
      </c>
      <c r="D69" s="17">
        <f>Table9[[#This Row],[Allergan Adjusted %]]*$D$84</f>
        <v>1261.4425628571164</v>
      </c>
      <c r="E69" s="17">
        <f>Table9[[#This Row],[Allergan Adjusted %]]*$E$84</f>
        <v>1289.9772620828546</v>
      </c>
      <c r="F69" s="17">
        <f>Table9[[#This Row],[Allergan Adjusted %]]*$F$84</f>
        <v>1057.1827672807201</v>
      </c>
      <c r="G69" s="17">
        <f>Table9[[#This Row],[Allergan Adjusted %]]*$G$84</f>
        <v>1057.1827672807201</v>
      </c>
      <c r="H69" s="17">
        <f>Table9[[#This Row],[Allergan Adjusted %]]*$H$84</f>
        <v>1103.0593925619478</v>
      </c>
      <c r="I69" s="17">
        <f>Table9[[#This Row],[Allergan Adjusted %]]*$I$84</f>
        <v>1103.0593925619478</v>
      </c>
      <c r="J69" s="17">
        <f>SUM(Table9[[#This Row],[Payment 1]:[Payment 7]])</f>
        <v>7493.9544630261207</v>
      </c>
    </row>
    <row r="70" spans="1:10" x14ac:dyDescent="0.3">
      <c r="A70" t="s">
        <v>195</v>
      </c>
      <c r="B70">
        <v>8.3142266292569617E-4</v>
      </c>
      <c r="C70" s="17">
        <f>Table9[[#This Row],[Allergan Adjusted %]]*$C$84</f>
        <v>622.05031840081358</v>
      </c>
      <c r="D70" s="17">
        <f>Table9[[#This Row],[Allergan Adjusted %]]*$D$84</f>
        <v>1261.4425628571164</v>
      </c>
      <c r="E70" s="17">
        <f>Table9[[#This Row],[Allergan Adjusted %]]*$E$84</f>
        <v>1289.9772620828546</v>
      </c>
      <c r="F70" s="17">
        <f>Table9[[#This Row],[Allergan Adjusted %]]*$F$84</f>
        <v>1057.1827672807201</v>
      </c>
      <c r="G70" s="17">
        <f>Table9[[#This Row],[Allergan Adjusted %]]*$G$84</f>
        <v>1057.1827672807201</v>
      </c>
      <c r="H70" s="17">
        <f>Table9[[#This Row],[Allergan Adjusted %]]*$H$84</f>
        <v>1103.0593925619478</v>
      </c>
      <c r="I70" s="17">
        <f>Table9[[#This Row],[Allergan Adjusted %]]*$I$84</f>
        <v>1103.0593925619478</v>
      </c>
      <c r="J70" s="17">
        <f>SUM(Table9[[#This Row],[Payment 1]:[Payment 7]])</f>
        <v>7493.9544630261207</v>
      </c>
    </row>
    <row r="71" spans="1:10" x14ac:dyDescent="0.3">
      <c r="A71" t="s">
        <v>196</v>
      </c>
      <c r="B71">
        <v>2.7154648211781909E-3</v>
      </c>
      <c r="C71" s="17">
        <f>Table9[[#This Row],[Allergan Adjusted %]]*$C$84</f>
        <v>2031.645072887628</v>
      </c>
      <c r="D71" s="17">
        <f>Table9[[#This Row],[Allergan Adjusted %]]*$D$84</f>
        <v>4119.9296773096085</v>
      </c>
      <c r="E71" s="17">
        <f>Table9[[#This Row],[Allergan Adjusted %]]*$E$84</f>
        <v>4213.1253230209368</v>
      </c>
      <c r="F71" s="17">
        <f>Table9[[#This Row],[Allergan Adjusted %]]*$F$84</f>
        <v>3452.8077500374352</v>
      </c>
      <c r="G71" s="17">
        <f>Table9[[#This Row],[Allergan Adjusted %]]*$G$84</f>
        <v>3452.8077500374352</v>
      </c>
      <c r="H71" s="17">
        <f>Table9[[#This Row],[Allergan Adjusted %]]*$H$84</f>
        <v>3602.642927283116</v>
      </c>
      <c r="I71" s="17">
        <f>Table9[[#This Row],[Allergan Adjusted %]]*$I$84</f>
        <v>3602.642927283116</v>
      </c>
      <c r="J71" s="17">
        <f>SUM(Table9[[#This Row],[Payment 1]:[Payment 7]])</f>
        <v>24475.601427859274</v>
      </c>
    </row>
    <row r="72" spans="1:10" x14ac:dyDescent="0.3">
      <c r="A72" t="s">
        <v>197</v>
      </c>
      <c r="B72">
        <v>2.071892466452032E-3</v>
      </c>
      <c r="C72" s="17">
        <f>Table9[[#This Row],[Allergan Adjusted %]]*$C$84</f>
        <v>1550.1398096528849</v>
      </c>
      <c r="D72" s="17">
        <f>Table9[[#This Row],[Allergan Adjusted %]]*$D$84</f>
        <v>3143.4954318525442</v>
      </c>
      <c r="E72" s="17">
        <f>Table9[[#This Row],[Allergan Adjusted %]]*$E$84</f>
        <v>3214.6034626948131</v>
      </c>
      <c r="F72" s="17">
        <f>Table9[[#This Row],[Allergan Adjusted %]]*$F$84</f>
        <v>2634.4831682650297</v>
      </c>
      <c r="G72" s="17">
        <f>Table9[[#This Row],[Allergan Adjusted %]]*$G$84</f>
        <v>2634.4831682650297</v>
      </c>
      <c r="H72" s="17">
        <f>Table9[[#This Row],[Allergan Adjusted %]]*$H$84</f>
        <v>2748.807011654073</v>
      </c>
      <c r="I72" s="17">
        <f>Table9[[#This Row],[Allergan Adjusted %]]*$I$84</f>
        <v>2748.807011654073</v>
      </c>
      <c r="J72" s="17">
        <f>SUM(Table9[[#This Row],[Payment 1]:[Payment 7]])</f>
        <v>18674.819064038449</v>
      </c>
    </row>
    <row r="73" spans="1:10" x14ac:dyDescent="0.3">
      <c r="A73" t="s">
        <v>198</v>
      </c>
      <c r="B73">
        <v>1.6917532507479485E-2</v>
      </c>
      <c r="C73" s="17">
        <f>Table9[[#This Row],[Allergan Adjusted %]]*$C$84</f>
        <v>12657.288467218763</v>
      </c>
      <c r="D73" s="17">
        <f>Table9[[#This Row],[Allergan Adjusted %]]*$D$84</f>
        <v>25667.445109516688</v>
      </c>
      <c r="E73" s="17">
        <f>Table9[[#This Row],[Allergan Adjusted %]]*$E$84</f>
        <v>26248.06038892689</v>
      </c>
      <c r="F73" s="17">
        <f>Table9[[#This Row],[Allergan Adjusted %]]*$F$84</f>
        <v>21511.229642073238</v>
      </c>
      <c r="G73" s="17">
        <f>Table9[[#This Row],[Allergan Adjusted %]]*$G$84</f>
        <v>21511.229642073238</v>
      </c>
      <c r="H73" s="17">
        <f>Table9[[#This Row],[Allergan Adjusted %]]*$H$84</f>
        <v>22444.713096562602</v>
      </c>
      <c r="I73" s="17">
        <f>Table9[[#This Row],[Allergan Adjusted %]]*$I$84</f>
        <v>22444.713096562602</v>
      </c>
      <c r="J73" s="17">
        <f>SUM(Table9[[#This Row],[Payment 1]:[Payment 7]])</f>
        <v>152484.67944293402</v>
      </c>
    </row>
    <row r="74" spans="1:10" x14ac:dyDescent="0.3">
      <c r="A74" t="s">
        <v>199</v>
      </c>
      <c r="B74">
        <v>2.0785566573142404E-3</v>
      </c>
      <c r="C74" s="17">
        <f>Table9[[#This Row],[Allergan Adjusted %]]*$C$84</f>
        <v>1555.1257960020339</v>
      </c>
      <c r="D74" s="17">
        <f>Table9[[#This Row],[Allergan Adjusted %]]*$D$84</f>
        <v>3153.6064071427913</v>
      </c>
      <c r="E74" s="17">
        <f>Table9[[#This Row],[Allergan Adjusted %]]*$E$84</f>
        <v>3224.9431552071369</v>
      </c>
      <c r="F74" s="17">
        <f>Table9[[#This Row],[Allergan Adjusted %]]*$F$84</f>
        <v>2642.9569182018004</v>
      </c>
      <c r="G74" s="17">
        <f>Table9[[#This Row],[Allergan Adjusted %]]*$G$84</f>
        <v>2642.9569182018004</v>
      </c>
      <c r="H74" s="17">
        <f>Table9[[#This Row],[Allergan Adjusted %]]*$H$84</f>
        <v>2757.6484814048695</v>
      </c>
      <c r="I74" s="17">
        <f>Table9[[#This Row],[Allergan Adjusted %]]*$I$84</f>
        <v>2757.6484814048695</v>
      </c>
      <c r="J74" s="17">
        <f>SUM(Table9[[#This Row],[Payment 1]:[Payment 7]])</f>
        <v>18734.886157565303</v>
      </c>
    </row>
    <row r="75" spans="1:10" x14ac:dyDescent="0.3">
      <c r="A75" t="s">
        <v>200</v>
      </c>
      <c r="B75">
        <v>8.3142266292569617E-4</v>
      </c>
      <c r="C75" s="17">
        <f>Table9[[#This Row],[Allergan Adjusted %]]*$C$84</f>
        <v>622.05031840081358</v>
      </c>
      <c r="D75" s="17">
        <f>Table9[[#This Row],[Allergan Adjusted %]]*$D$84</f>
        <v>1261.4425628571164</v>
      </c>
      <c r="E75" s="17">
        <f>Table9[[#This Row],[Allergan Adjusted %]]*$E$84</f>
        <v>1289.9772620828546</v>
      </c>
      <c r="F75" s="17">
        <f>Table9[[#This Row],[Allergan Adjusted %]]*$F$84</f>
        <v>1057.1827672807201</v>
      </c>
      <c r="G75" s="17">
        <f>Table9[[#This Row],[Allergan Adjusted %]]*$G$84</f>
        <v>1057.1827672807201</v>
      </c>
      <c r="H75" s="17">
        <f>Table9[[#This Row],[Allergan Adjusted %]]*$H$84</f>
        <v>1103.0593925619478</v>
      </c>
      <c r="I75" s="17">
        <f>Table9[[#This Row],[Allergan Adjusted %]]*$I$84</f>
        <v>1103.0593925619478</v>
      </c>
      <c r="J75" s="17">
        <f>SUM(Table9[[#This Row],[Payment 1]:[Payment 7]])</f>
        <v>7493.9544630261207</v>
      </c>
    </row>
    <row r="76" spans="1:10" x14ac:dyDescent="0.3">
      <c r="A76" t="s">
        <v>201</v>
      </c>
      <c r="B76">
        <v>2.8660384485716176E-2</v>
      </c>
      <c r="C76" s="17">
        <f>Table9[[#This Row],[Allergan Adjusted %]]*$C$84</f>
        <v>21443.006174613718</v>
      </c>
      <c r="D76" s="17">
        <f>Table9[[#This Row],[Allergan Adjusted %]]*$D$84</f>
        <v>43483.81451488431</v>
      </c>
      <c r="E76" s="17">
        <f>Table9[[#This Row],[Allergan Adjusted %]]*$E$84</f>
        <v>44467.448336118039</v>
      </c>
      <c r="F76" s="17">
        <f>Table9[[#This Row],[Allergan Adjusted %]]*$F$84</f>
        <v>36442.673423549291</v>
      </c>
      <c r="G76" s="17">
        <f>Table9[[#This Row],[Allergan Adjusted %]]*$G$84</f>
        <v>36442.673423549291</v>
      </c>
      <c r="H76" s="17">
        <f>Table9[[#This Row],[Allergan Adjusted %]]*$H$84</f>
        <v>38024.109410439894</v>
      </c>
      <c r="I76" s="17">
        <f>Table9[[#This Row],[Allergan Adjusted %]]*$I$84</f>
        <v>38024.109410439894</v>
      </c>
      <c r="J76" s="17">
        <f>SUM(Table9[[#This Row],[Payment 1]:[Payment 7]])</f>
        <v>258327.83469359443</v>
      </c>
    </row>
    <row r="77" spans="1:10" x14ac:dyDescent="0.3">
      <c r="A77" t="s">
        <v>202</v>
      </c>
      <c r="B77">
        <v>8.3142266292569617E-4</v>
      </c>
      <c r="C77" s="17">
        <f>Table9[[#This Row],[Allergan Adjusted %]]*$C$84</f>
        <v>622.05031840081358</v>
      </c>
      <c r="D77" s="17">
        <f>Table9[[#This Row],[Allergan Adjusted %]]*$D$84</f>
        <v>1261.4425628571164</v>
      </c>
      <c r="E77" s="17">
        <f>Table9[[#This Row],[Allergan Adjusted %]]*$E$84</f>
        <v>1289.9772620828546</v>
      </c>
      <c r="F77" s="17">
        <f>Table9[[#This Row],[Allergan Adjusted %]]*$F$84</f>
        <v>1057.1827672807201</v>
      </c>
      <c r="G77" s="17">
        <f>Table9[[#This Row],[Allergan Adjusted %]]*$G$84</f>
        <v>1057.1827672807201</v>
      </c>
      <c r="H77" s="17">
        <f>Table9[[#This Row],[Allergan Adjusted %]]*$H$84</f>
        <v>1103.0593925619478</v>
      </c>
      <c r="I77" s="17">
        <f>Table9[[#This Row],[Allergan Adjusted %]]*$I$84</f>
        <v>1103.0593925619478</v>
      </c>
      <c r="J77" s="17">
        <f>SUM(Table9[[#This Row],[Payment 1]:[Payment 7]])</f>
        <v>7493.9544630261207</v>
      </c>
    </row>
    <row r="78" spans="1:10" x14ac:dyDescent="0.3">
      <c r="A78" t="s">
        <v>203</v>
      </c>
      <c r="B78">
        <v>3.5821541110373136E-3</v>
      </c>
      <c r="C78" s="17">
        <f>Table9[[#This Row],[Allergan Adjusted %]]*$C$84</f>
        <v>2680.081028210659</v>
      </c>
      <c r="D78" s="17">
        <f>Table9[[#This Row],[Allergan Adjusted %]]*$D$84</f>
        <v>5434.8791100729195</v>
      </c>
      <c r="E78" s="17">
        <f>Table9[[#This Row],[Allergan Adjusted %]]*$E$84</f>
        <v>5557.8198172446537</v>
      </c>
      <c r="F78" s="17">
        <f>Table9[[#This Row],[Allergan Adjusted %]]*$F$84</f>
        <v>4554.8332572585614</v>
      </c>
      <c r="G78" s="17">
        <f>Table9[[#This Row],[Allergan Adjusted %]]*$G$84</f>
        <v>4554.8332572585614</v>
      </c>
      <c r="H78" s="17">
        <f>Table9[[#This Row],[Allergan Adjusted %]]*$H$84</f>
        <v>4752.491018081897</v>
      </c>
      <c r="I78" s="17">
        <f>Table9[[#This Row],[Allergan Adjusted %]]*$I$84</f>
        <v>4752.491018081897</v>
      </c>
      <c r="J78" s="17">
        <f>SUM(Table9[[#This Row],[Payment 1]:[Payment 7]])</f>
        <v>32287.428506209151</v>
      </c>
    </row>
    <row r="79" spans="1:10" x14ac:dyDescent="0.3">
      <c r="A79" t="s">
        <v>204</v>
      </c>
      <c r="B79">
        <v>8.3142266292569617E-4</v>
      </c>
      <c r="C79" s="17">
        <f>Table9[[#This Row],[Allergan Adjusted %]]*$C$84</f>
        <v>622.05031840081358</v>
      </c>
      <c r="D79" s="17">
        <f>Table9[[#This Row],[Allergan Adjusted %]]*$D$84</f>
        <v>1261.4425628571164</v>
      </c>
      <c r="E79" s="17">
        <f>Table9[[#This Row],[Allergan Adjusted %]]*$E$84</f>
        <v>1289.9772620828546</v>
      </c>
      <c r="F79" s="17">
        <f>Table9[[#This Row],[Allergan Adjusted %]]*$F$84</f>
        <v>1057.1827672807201</v>
      </c>
      <c r="G79" s="17">
        <f>Table9[[#This Row],[Allergan Adjusted %]]*$G$84</f>
        <v>1057.1827672807201</v>
      </c>
      <c r="H79" s="17">
        <f>Table9[[#This Row],[Allergan Adjusted %]]*$H$84</f>
        <v>1103.0593925619478</v>
      </c>
      <c r="I79" s="17">
        <f>Table9[[#This Row],[Allergan Adjusted %]]*$I$84</f>
        <v>1103.0593925619478</v>
      </c>
      <c r="J79" s="17">
        <f>SUM(Table9[[#This Row],[Payment 1]:[Payment 7]])</f>
        <v>7493.9544630261207</v>
      </c>
    </row>
    <row r="80" spans="1:10" x14ac:dyDescent="0.3">
      <c r="A80" t="s">
        <v>205</v>
      </c>
      <c r="B80">
        <v>8.3142266292569617E-4</v>
      </c>
      <c r="C80" s="17">
        <f>Table9[[#This Row],[Allergan Adjusted %]]*$C$84</f>
        <v>622.05031840081358</v>
      </c>
      <c r="D80" s="17">
        <f>Table9[[#This Row],[Allergan Adjusted %]]*$D$84</f>
        <v>1261.4425628571164</v>
      </c>
      <c r="E80" s="17">
        <f>Table9[[#This Row],[Allergan Adjusted %]]*$E$84</f>
        <v>1289.9772620828546</v>
      </c>
      <c r="F80" s="17">
        <f>Table9[[#This Row],[Allergan Adjusted %]]*$F$84</f>
        <v>1057.1827672807201</v>
      </c>
      <c r="G80" s="17">
        <f>Table9[[#This Row],[Allergan Adjusted %]]*$G$84</f>
        <v>1057.1827672807201</v>
      </c>
      <c r="H80" s="17">
        <f>Table9[[#This Row],[Allergan Adjusted %]]*$H$84</f>
        <v>1103.0593925619478</v>
      </c>
      <c r="I80" s="17">
        <f>Table9[[#This Row],[Allergan Adjusted %]]*$I$84</f>
        <v>1103.0593925619478</v>
      </c>
      <c r="J80" s="17">
        <f>SUM(Table9[[#This Row],[Payment 1]:[Payment 7]])</f>
        <v>7493.9544630261207</v>
      </c>
    </row>
    <row r="81" spans="1:10" x14ac:dyDescent="0.3">
      <c r="A81" t="s">
        <v>206</v>
      </c>
      <c r="B81">
        <v>2.1066408482365941E-3</v>
      </c>
      <c r="C81" s="17">
        <f>Table9[[#This Row],[Allergan Adjusted %]]*$C$84</f>
        <v>1576.1377080947411</v>
      </c>
      <c r="D81" s="17">
        <f>Table9[[#This Row],[Allergan Adjusted %]]*$D$84</f>
        <v>3196.2160151707944</v>
      </c>
      <c r="E81" s="17">
        <f>Table9[[#This Row],[Allergan Adjusted %]]*$E$84</f>
        <v>3268.5166219037833</v>
      </c>
      <c r="F81" s="17">
        <f>Table9[[#This Row],[Allergan Adjusted %]]*$F$84</f>
        <v>2678.6669415149217</v>
      </c>
      <c r="G81" s="17">
        <f>Table9[[#This Row],[Allergan Adjusted %]]*$G$84</f>
        <v>2678.6669415149217</v>
      </c>
      <c r="H81" s="17">
        <f>Table9[[#This Row],[Allergan Adjusted %]]*$H$84</f>
        <v>2794.9081472292228</v>
      </c>
      <c r="I81" s="17">
        <f>Table9[[#This Row],[Allergan Adjusted %]]*$I$84</f>
        <v>2794.9081472292228</v>
      </c>
      <c r="J81" s="17">
        <f>SUM(Table9[[#This Row],[Payment 1]:[Payment 7]])</f>
        <v>18988.020522657611</v>
      </c>
    </row>
    <row r="82" spans="1:10" x14ac:dyDescent="0.3">
      <c r="A82" t="s">
        <v>207</v>
      </c>
      <c r="B82">
        <v>3.6884841592980722E-2</v>
      </c>
      <c r="C82" s="17">
        <f>Table9[[#This Row],[Allergan Adjusted %]]*$C$84</f>
        <v>27596.345974427379</v>
      </c>
      <c r="D82" s="17">
        <f>Table9[[#This Row],[Allergan Adjusted %]]*$D$84</f>
        <v>55962.040950267627</v>
      </c>
      <c r="E82" s="17">
        <f>Table9[[#This Row],[Allergan Adjusted %]]*$E$84</f>
        <v>57227.940844241006</v>
      </c>
      <c r="F82" s="17">
        <f>Table9[[#This Row],[Allergan Adjusted %]]*$F$84</f>
        <v>46900.356034032287</v>
      </c>
      <c r="G82" s="17">
        <f>Table9[[#This Row],[Allergan Adjusted %]]*$G$84</f>
        <v>46900.356034032287</v>
      </c>
      <c r="H82" s="17">
        <f>Table9[[#This Row],[Allergan Adjusted %]]*$H$84</f>
        <v>48935.604929418536</v>
      </c>
      <c r="I82" s="17">
        <f>Table9[[#This Row],[Allergan Adjusted %]]*$I$84</f>
        <v>48935.604929418536</v>
      </c>
      <c r="J82" s="17">
        <f>SUM(Table9[[#This Row],[Payment 1]:[Payment 7]])</f>
        <v>332458.24969583767</v>
      </c>
    </row>
    <row r="84" spans="1:10" x14ac:dyDescent="0.3">
      <c r="A84" t="s">
        <v>6</v>
      </c>
      <c r="C84" s="7">
        <f>'Teva Allergan Lit Breakdown'!H2</f>
        <v>748175.80292059691</v>
      </c>
      <c r="D84" s="7">
        <f>'Teva Allergan Lit Breakdown'!H3</f>
        <v>1517209.7407330968</v>
      </c>
      <c r="E84" s="7">
        <f>'Teva Allergan Lit Breakdown'!H4</f>
        <v>1551530.069608097</v>
      </c>
      <c r="F84" s="7">
        <f>'Teva Allergan Lit Breakdown'!H5</f>
        <v>1271534.7012079223</v>
      </c>
      <c r="G84" s="7">
        <f>'Teva Allergan Lit Breakdown'!H6</f>
        <v>1271534.7012079223</v>
      </c>
      <c r="H84" s="7">
        <f>'Teva Allergan Lit Breakdown'!H7</f>
        <v>1326713.1649748255</v>
      </c>
      <c r="I84" s="7">
        <f>'Teva Allergan Lit Breakdown'!H8</f>
        <v>1326713.1649748255</v>
      </c>
      <c r="J84" s="7">
        <f>SUM(C84:I84)</f>
        <v>9013411.3456272874</v>
      </c>
    </row>
    <row r="86" spans="1:10" x14ac:dyDescent="0.3">
      <c r="A86" t="s">
        <v>214</v>
      </c>
    </row>
    <row r="87" spans="1:10" x14ac:dyDescent="0.3">
      <c r="A87" t="s">
        <v>6</v>
      </c>
      <c r="C87" s="7">
        <f>'Teva Allergan Lit Breakdown'!G2</f>
        <v>249391.93430686562</v>
      </c>
      <c r="D87" s="7">
        <f>'Teva Allergan Lit Breakdown'!G3</f>
        <v>505736.58024436561</v>
      </c>
      <c r="E87" s="7">
        <f>'Teva Allergan Lit Breakdown'!G4</f>
        <v>517176.68986936565</v>
      </c>
      <c r="F87" s="7">
        <f>'Teva Allergan Lit Breakdown'!G5</f>
        <v>423844.90040264075</v>
      </c>
      <c r="G87" s="7">
        <f>'Teva Allergan Lit Breakdown'!G6</f>
        <v>423844.90040264075</v>
      </c>
      <c r="H87" s="7">
        <f>'Teva Allergan Lit Breakdown'!G7</f>
        <v>442237.72165827511</v>
      </c>
      <c r="I87" s="7">
        <f>'Teva Allergan Lit Breakdown'!G8</f>
        <v>442237.72165827511</v>
      </c>
      <c r="J87" s="7">
        <f>SUM(C87:I87)</f>
        <v>3004470.4485424282</v>
      </c>
    </row>
    <row r="89" spans="1:10" x14ac:dyDescent="0.3">
      <c r="A89" s="12" t="s">
        <v>214</v>
      </c>
      <c r="B89" s="12" t="s">
        <v>215</v>
      </c>
      <c r="C89" t="s">
        <v>93</v>
      </c>
      <c r="D89" t="s">
        <v>94</v>
      </c>
      <c r="E89" t="s">
        <v>95</v>
      </c>
      <c r="F89" t="s">
        <v>96</v>
      </c>
      <c r="G89" t="s">
        <v>97</v>
      </c>
      <c r="H89" t="s">
        <v>98</v>
      </c>
      <c r="I89" t="s">
        <v>99</v>
      </c>
      <c r="J89" t="s">
        <v>6</v>
      </c>
    </row>
    <row r="90" spans="1:10" x14ac:dyDescent="0.3">
      <c r="A90" s="13" t="s">
        <v>76</v>
      </c>
      <c r="B90" s="13">
        <v>0.7</v>
      </c>
      <c r="C90" s="7">
        <f>Table13[[#This Row],[Bellwether Percent]]*$C$87</f>
        <v>174574.35401480593</v>
      </c>
      <c r="D90" s="7">
        <f>Table13[[#This Row],[Bellwether Percent]]*$D$87</f>
        <v>354015.60617105593</v>
      </c>
      <c r="E90" s="7">
        <f>Table13[[#This Row],[Bellwether Percent]]*$E$87</f>
        <v>362023.68290855596</v>
      </c>
      <c r="F90" s="7">
        <f>Table13[[#This Row],[Bellwether Percent]]*$F$87</f>
        <v>296691.43028184853</v>
      </c>
      <c r="G90" s="7">
        <f>Table13[[#This Row],[Bellwether Percent]]*$G$87</f>
        <v>296691.43028184853</v>
      </c>
      <c r="H90" s="7">
        <f>Table13[[#This Row],[Bellwether Percent]]*$H$87</f>
        <v>309566.40516079258</v>
      </c>
      <c r="I90" s="7">
        <f>Table13[[#This Row],[Bellwether Percent]]*$I$87</f>
        <v>309566.40516079258</v>
      </c>
      <c r="J90" s="7">
        <f>Table13[[#This Row],[Bellwether Percent]]*$J$87</f>
        <v>2103129.3139796997</v>
      </c>
    </row>
    <row r="91" spans="1:10" x14ac:dyDescent="0.3">
      <c r="A91" s="14" t="s">
        <v>48</v>
      </c>
      <c r="B91" s="14">
        <v>0.25</v>
      </c>
      <c r="C91" s="7">
        <f>Table13[[#This Row],[Bellwether Percent]]*$C$87</f>
        <v>62347.983576716404</v>
      </c>
      <c r="D91" s="7">
        <f>Table13[[#This Row],[Bellwether Percent]]*$D$87</f>
        <v>126434.1450610914</v>
      </c>
      <c r="E91" s="7">
        <f>Table13[[#This Row],[Bellwether Percent]]*$E$87</f>
        <v>129294.17246734141</v>
      </c>
      <c r="F91" s="7">
        <f>Table13[[#This Row],[Bellwether Percent]]*$F$87</f>
        <v>105961.22510066019</v>
      </c>
      <c r="G91" s="7">
        <f>Table13[[#This Row],[Bellwether Percent]]*$G$87</f>
        <v>105961.22510066019</v>
      </c>
      <c r="H91" s="7">
        <f>Table13[[#This Row],[Bellwether Percent]]*$H$87</f>
        <v>110559.43041456878</v>
      </c>
      <c r="I91" s="7">
        <f>Table13[[#This Row],[Bellwether Percent]]*$I$87</f>
        <v>110559.43041456878</v>
      </c>
      <c r="J91" s="7">
        <f>Table13[[#This Row],[Bellwether Percent]]*$J$87</f>
        <v>751117.61213560705</v>
      </c>
    </row>
    <row r="92" spans="1:10" x14ac:dyDescent="0.3">
      <c r="A92" s="13" t="s">
        <v>38</v>
      </c>
      <c r="B92" s="13">
        <v>0.05</v>
      </c>
      <c r="C92" s="7">
        <f>Table13[[#This Row],[Bellwether Percent]]*$C$87</f>
        <v>12469.596715343281</v>
      </c>
      <c r="D92" s="7">
        <f>Table13[[#This Row],[Bellwether Percent]]*$D$87</f>
        <v>25286.829012218281</v>
      </c>
      <c r="E92" s="7">
        <f>Table13[[#This Row],[Bellwether Percent]]*$E$87</f>
        <v>25858.834493468283</v>
      </c>
      <c r="F92" s="7">
        <f>Table13[[#This Row],[Bellwether Percent]]*$F$87</f>
        <v>21192.245020132039</v>
      </c>
      <c r="G92" s="7">
        <f>Table13[[#This Row],[Bellwether Percent]]*$G$87</f>
        <v>21192.245020132039</v>
      </c>
      <c r="H92" s="7">
        <f>Table13[[#This Row],[Bellwether Percent]]*$H$87</f>
        <v>22111.886082913756</v>
      </c>
      <c r="I92" s="7">
        <f>Table13[[#This Row],[Bellwether Percent]]*$I$87</f>
        <v>22111.886082913756</v>
      </c>
      <c r="J92" s="7">
        <f>Table13[[#This Row],[Bellwether Percent]]*$J$87</f>
        <v>150223.52242712141</v>
      </c>
    </row>
    <row r="94" spans="1:10" x14ac:dyDescent="0.3">
      <c r="A94" t="s">
        <v>225</v>
      </c>
    </row>
    <row r="96" spans="1:10" x14ac:dyDescent="0.3">
      <c r="A96" t="s">
        <v>226</v>
      </c>
      <c r="B96" t="s">
        <v>227</v>
      </c>
    </row>
    <row r="97" spans="1:2" x14ac:dyDescent="0.3">
      <c r="A97" t="s">
        <v>121</v>
      </c>
      <c r="B97" s="17">
        <v>513017.07150383887</v>
      </c>
    </row>
    <row r="98" spans="1:2" x14ac:dyDescent="0.3">
      <c r="A98" t="s">
        <v>134</v>
      </c>
      <c r="B98" s="17">
        <v>33048.463442098189</v>
      </c>
    </row>
    <row r="99" spans="1:2" x14ac:dyDescent="0.3">
      <c r="A99" t="s">
        <v>139</v>
      </c>
      <c r="B99" s="17">
        <v>117488.55512872525</v>
      </c>
    </row>
    <row r="100" spans="1:2" x14ac:dyDescent="0.3">
      <c r="A100" t="s">
        <v>155</v>
      </c>
      <c r="B100" s="17">
        <v>111119.82800007184</v>
      </c>
    </row>
    <row r="101" spans="1:2" x14ac:dyDescent="0.3">
      <c r="A101" t="s">
        <v>187</v>
      </c>
      <c r="B101" s="17">
        <v>25520.34415279821</v>
      </c>
    </row>
    <row r="102" spans="1:2" x14ac:dyDescent="0.3">
      <c r="A102" t="s">
        <v>188</v>
      </c>
      <c r="B102" s="17">
        <v>124285.96630565193</v>
      </c>
    </row>
    <row r="103" spans="1:2" x14ac:dyDescent="0.3">
      <c r="A103" t="s">
        <v>190</v>
      </c>
      <c r="B103" s="17">
        <v>58682.128632962238</v>
      </c>
    </row>
    <row r="104" spans="1:2" x14ac:dyDescent="0.3">
      <c r="A104" t="s">
        <v>193</v>
      </c>
      <c r="B104" s="17">
        <v>16837.642833853679</v>
      </c>
    </row>
    <row r="106" spans="1:2" x14ac:dyDescent="0.3">
      <c r="A106" t="s">
        <v>6</v>
      </c>
      <c r="B106" s="17">
        <f>SUM(Table17[Allergan Modified Allocation])</f>
        <v>1000000.0000000002</v>
      </c>
    </row>
    <row r="108" spans="1:2" x14ac:dyDescent="0.3">
      <c r="A108" t="s">
        <v>233</v>
      </c>
    </row>
  </sheetData>
  <pageMargins left="0.7" right="0.7" top="0.75" bottom="0.75" header="0.3" footer="0.3"/>
  <tableParts count="3">
    <tablePart r:id="rId1"/>
    <tablePart r:id="rId2"/>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I27"/>
  <sheetViews>
    <sheetView workbookViewId="0"/>
  </sheetViews>
  <sheetFormatPr defaultRowHeight="14.4" x14ac:dyDescent="0.3"/>
  <cols>
    <col min="1" max="1" width="13.5546875" customWidth="1"/>
    <col min="2" max="2" width="23.5546875" customWidth="1"/>
    <col min="3" max="3" width="36.44140625" customWidth="1"/>
    <col min="4" max="4" width="24.33203125" customWidth="1"/>
    <col min="5" max="5" width="19.5546875" customWidth="1"/>
    <col min="6" max="6" width="30.44140625" customWidth="1"/>
    <col min="7" max="7" width="19.44140625" customWidth="1"/>
    <col min="8" max="8" width="27" customWidth="1"/>
    <col min="9" max="9" width="40.6640625" customWidth="1"/>
    <col min="10" max="10" width="16.6640625" customWidth="1"/>
  </cols>
  <sheetData>
    <row r="1" spans="1:9" ht="15.6" x14ac:dyDescent="0.3">
      <c r="A1" s="30" t="s">
        <v>0</v>
      </c>
      <c r="B1" s="30" t="s">
        <v>1</v>
      </c>
      <c r="C1" s="30" t="s">
        <v>236</v>
      </c>
      <c r="D1" s="30" t="s">
        <v>238</v>
      </c>
      <c r="E1" s="30" t="s">
        <v>239</v>
      </c>
      <c r="F1" s="30" t="s">
        <v>240</v>
      </c>
      <c r="G1" s="32" t="s">
        <v>217</v>
      </c>
      <c r="H1" s="30" t="s">
        <v>235</v>
      </c>
      <c r="I1" s="30" t="s">
        <v>241</v>
      </c>
    </row>
    <row r="2" spans="1:9" ht="15.6" x14ac:dyDescent="0.3">
      <c r="A2" s="11">
        <v>1</v>
      </c>
      <c r="B2" s="11">
        <v>2024</v>
      </c>
      <c r="C2" s="5">
        <f>Table14[[#This Row],[Pharmacies Litigating]]</f>
        <v>18889721.773877487</v>
      </c>
      <c r="D2" s="31">
        <f>((Table14[[#This Row],[Walgreens]]-Table14[[#This Row],[Walgreens Attorney Fees]])*0.15)</f>
        <v>491862.28059737635</v>
      </c>
      <c r="E2" s="31">
        <f>((Table14[[#This Row],[CVS]]-Table14[[#This Row],[CVS Attorney Fees]])*0.15)</f>
        <v>595184.27756993275</v>
      </c>
      <c r="F2" s="31">
        <f>Table10[[#This Row],[Walgreens Litigating]]+Table10[[#This Row],[CVS Litigating]]</f>
        <v>1087046.558167309</v>
      </c>
      <c r="G2" s="31">
        <f>Table14[[#This Row],[Litigating Sub Escrow]]</f>
        <v>1043597.8835978836</v>
      </c>
      <c r="H2" s="31">
        <f>(((Table14[[#This Row],[Walmart]]-Table14[[#This Row],[Walmart Attorney Fees]])*0.15))</f>
        <v>17802675.215710178</v>
      </c>
      <c r="I2" s="31">
        <f>Table10[[#This Row],[Walmart Litigating Subs]]-Table10[[#This Row],[Walmart Escrow]]</f>
        <v>16759077.332112294</v>
      </c>
    </row>
    <row r="3" spans="1:9" ht="15.6" x14ac:dyDescent="0.3">
      <c r="A3" s="19">
        <v>2</v>
      </c>
      <c r="B3" s="20">
        <v>46006</v>
      </c>
      <c r="C3" s="6">
        <f>Table14[[#This Row],[Pharmacies Litigating]]</f>
        <v>3277948.9851673096</v>
      </c>
      <c r="D3" s="31">
        <f>((Table14[[#This Row],[Walgreens]]-Table14[[#This Row],[Walgreens Attorney Fees]])*0.15)</f>
        <v>1841976.6600973762</v>
      </c>
      <c r="E3" s="31">
        <f>((Table14[[#This Row],[CVS]]-Table14[[#This Row],[CVS Attorney Fees]])*0.15)</f>
        <v>1435972.3250699327</v>
      </c>
      <c r="F3" s="31">
        <f>Table10[[#This Row],[Walgreens Litigating]]+Table10[[#This Row],[CVS Litigating]]</f>
        <v>3277948.9851673087</v>
      </c>
      <c r="G3" s="31">
        <f>Table14[[#This Row],[Litigating Sub Escrow]]</f>
        <v>0</v>
      </c>
      <c r="H3" s="24">
        <f>(((Table14[[#This Row],[Walmart]]-Table14[[#This Row],[Walmart Attorney Fees]])*0.15))</f>
        <v>0</v>
      </c>
      <c r="I3" s="24">
        <f>Table10[[#This Row],[Walmart Litigating Subs]]-Table10[[#This Row],[Walmart Escrow]]</f>
        <v>0</v>
      </c>
    </row>
    <row r="4" spans="1:9" ht="15.6" x14ac:dyDescent="0.3">
      <c r="A4" s="21">
        <v>3</v>
      </c>
      <c r="B4" s="22">
        <v>46371</v>
      </c>
      <c r="C4" s="23">
        <f>Table14[[#This Row],[Pharmacies Litigating]]</f>
        <v>2328452.6721270657</v>
      </c>
      <c r="D4" s="31">
        <f>((Table14[[#This Row],[Walgreens]]-Table14[[#This Row],[Walgreens Attorney Fees]])*0.15)</f>
        <v>1012337.8365973763</v>
      </c>
      <c r="E4" s="31">
        <f>((Table14[[#This Row],[CVS]]-Table14[[#This Row],[CVS Attorney Fees]])*0.15)</f>
        <v>1228622.4245699327</v>
      </c>
      <c r="F4" s="31">
        <f>Table10[[#This Row],[Walgreens Litigating]]+Table10[[#This Row],[CVS Litigating]]</f>
        <v>2240960.2611673092</v>
      </c>
      <c r="G4" s="31">
        <f>Table14[[#This Row],[Litigating Sub Escrow]]</f>
        <v>0</v>
      </c>
      <c r="H4" s="31">
        <f>(((Table14[[#This Row],[Walmart]]-Table14[[#This Row],[Walmart Attorney Fees]])*0.15))</f>
        <v>87492.410959756788</v>
      </c>
      <c r="I4" s="31">
        <f>Table10[[#This Row],[Walmart Litigating Subs]]-Table10[[#This Row],[Walmart Escrow]]</f>
        <v>87492.410959756788</v>
      </c>
    </row>
    <row r="5" spans="1:9" ht="15.6" x14ac:dyDescent="0.3">
      <c r="A5" s="19">
        <v>4</v>
      </c>
      <c r="B5" s="20">
        <v>46736</v>
      </c>
      <c r="C5" s="24">
        <f>Table14[[#This Row],[Pharmacies Litigating]]</f>
        <v>2519295.576013674</v>
      </c>
      <c r="D5" s="31">
        <f>((Table14[[#This Row],[Walgreens]]-Table14[[#This Row],[Walgreens Attorney Fees]])*0.15)</f>
        <v>907053.17061470787</v>
      </c>
      <c r="E5" s="31">
        <f>((Table14[[#This Row],[CVS]]-Table14[[#This Row],[CVS Attorney Fees]])*0.15)</f>
        <v>1524749.9944392093</v>
      </c>
      <c r="F5" s="31">
        <f>Table10[[#This Row],[Walgreens Litigating]]+Table10[[#This Row],[CVS Litigating]]</f>
        <v>2431803.1650539171</v>
      </c>
      <c r="G5" s="31">
        <f>Table14[[#This Row],[Litigating Sub Escrow]]</f>
        <v>0</v>
      </c>
      <c r="H5" s="31">
        <f>(((Table14[[#This Row],[Walmart]]-Table14[[#This Row],[Walmart Attorney Fees]])*0.15))</f>
        <v>87492.410959756788</v>
      </c>
      <c r="I5" s="31">
        <f>Table10[[#This Row],[Walmart Litigating Subs]]-Table10[[#This Row],[Walmart Escrow]]</f>
        <v>87492.410959756788</v>
      </c>
    </row>
    <row r="6" spans="1:9" ht="15.6" x14ac:dyDescent="0.3">
      <c r="A6" s="21">
        <v>5</v>
      </c>
      <c r="B6" s="22">
        <v>47102</v>
      </c>
      <c r="C6" s="23">
        <f>Table14[[#This Row],[Pharmacies Litigating]]</f>
        <v>2519295.576013674</v>
      </c>
      <c r="D6" s="31">
        <f>((Table14[[#This Row],[Walgreens]]-Table14[[#This Row],[Walgreens Attorney Fees]])*0.15)</f>
        <v>907053.17061470787</v>
      </c>
      <c r="E6" s="31">
        <f>((Table14[[#This Row],[CVS]]-Table14[[#This Row],[CVS Attorney Fees]])*0.15)</f>
        <v>1524749.9944392093</v>
      </c>
      <c r="F6" s="31">
        <f>Table10[[#This Row],[Walgreens Litigating]]+Table10[[#This Row],[CVS Litigating]]</f>
        <v>2431803.1650539171</v>
      </c>
      <c r="G6" s="31">
        <f>Table14[[#This Row],[Litigating Sub Escrow]]</f>
        <v>0</v>
      </c>
      <c r="H6" s="31">
        <f>(((Table14[[#This Row],[Walmart]]-Table14[[#This Row],[Walmart Attorney Fees]])*0.15))</f>
        <v>87492.410959756788</v>
      </c>
      <c r="I6" s="31">
        <f>Table10[[#This Row],[Walmart Litigating Subs]]-Table10[[#This Row],[Walmart Escrow]]</f>
        <v>87492.410959756788</v>
      </c>
    </row>
    <row r="7" spans="1:9" ht="15.6" x14ac:dyDescent="0.3">
      <c r="A7" s="19">
        <v>6</v>
      </c>
      <c r="B7" s="20">
        <v>47467</v>
      </c>
      <c r="C7" s="24">
        <f>Table14[[#This Row],[Pharmacies Litigating]]</f>
        <v>3224658.2620939268</v>
      </c>
      <c r="D7" s="31">
        <f>((Table14[[#This Row],[Walgreens]]-Table14[[#This Row],[Walgreens Attorney Fees]])*0.15)</f>
        <v>1240489.9566128566</v>
      </c>
      <c r="E7" s="31">
        <f>((Table14[[#This Row],[CVS]]-Table14[[#This Row],[CVS Attorney Fees]])*0.15)</f>
        <v>1845730.9463675313</v>
      </c>
      <c r="F7" s="31">
        <f>Table10[[#This Row],[Walgreens Litigating]]+Table10[[#This Row],[CVS Litigating]]</f>
        <v>3086220.9029803881</v>
      </c>
      <c r="G7" s="31">
        <f>Table14[[#This Row],[Litigating Sub Escrow]]</f>
        <v>0</v>
      </c>
      <c r="H7" s="31">
        <f>(((Table14[[#This Row],[Walmart]]-Table14[[#This Row],[Walmart Attorney Fees]])*0.15))</f>
        <v>138437.35911353922</v>
      </c>
      <c r="I7" s="31">
        <f>Table10[[#This Row],[Walmart Litigating Subs]]-Table10[[#This Row],[Walmart Escrow]]</f>
        <v>138437.35911353922</v>
      </c>
    </row>
    <row r="8" spans="1:9" ht="15.6" x14ac:dyDescent="0.3">
      <c r="A8" s="21">
        <v>7</v>
      </c>
      <c r="B8" s="22">
        <v>47832</v>
      </c>
      <c r="C8" s="23">
        <f>Table14[[#This Row],[Pharmacies Litigating]]</f>
        <v>3008132.6791339652</v>
      </c>
      <c r="D8" s="31">
        <f>((Table14[[#This Row],[Walgreens]]-Table14[[#This Row],[Walgreens Attorney Fees]])*0.15)</f>
        <v>1240489.9566128566</v>
      </c>
      <c r="E8" s="31">
        <f>((Table14[[#This Row],[CVS]]-Table14[[#This Row],[CVS Attorney Fees]])*0.15)</f>
        <v>1767642.7225211083</v>
      </c>
      <c r="F8" s="31">
        <f>Table10[[#This Row],[Walgreens Litigating]]+Table10[[#This Row],[CVS Litigating]]</f>
        <v>3008132.6791339647</v>
      </c>
      <c r="G8" s="31">
        <f>Table14[[#This Row],[Litigating Sub Escrow]]</f>
        <v>0</v>
      </c>
      <c r="H8" s="31">
        <f>(((Table14[[#This Row],[Walmart]]-Table14[[#This Row],[Walmart Attorney Fees]])*0.15))</f>
        <v>0</v>
      </c>
      <c r="I8" s="31">
        <f>Table10[[#This Row],[Walmart Litigating Subs]]-Table10[[#This Row],[Walmart Escrow]]</f>
        <v>0</v>
      </c>
    </row>
    <row r="9" spans="1:9" ht="15.6" x14ac:dyDescent="0.3">
      <c r="A9" s="19">
        <v>8</v>
      </c>
      <c r="B9" s="20">
        <v>48197</v>
      </c>
      <c r="C9" s="24">
        <f>Table14[[#This Row],[Pharmacies Litigating]]</f>
        <v>3271270.0549567519</v>
      </c>
      <c r="D9" s="31">
        <f>((Table14[[#This Row],[Walgreens]]-Table14[[#This Row],[Walgreens Attorney Fees]])*0.15)</f>
        <v>1581715.5562820663</v>
      </c>
      <c r="E9" s="31">
        <f>((Table14[[#This Row],[CVS]]-Table14[[#This Row],[CVS Attorney Fees]])*0.15)</f>
        <v>1689554.4986746854</v>
      </c>
      <c r="F9" s="31">
        <f>Table10[[#This Row],[Walgreens Litigating]]+Table10[[#This Row],[CVS Litigating]]</f>
        <v>3271270.0549567519</v>
      </c>
      <c r="G9" s="31">
        <f>Table14[[#This Row],[Litigating Sub Escrow]]</f>
        <v>0</v>
      </c>
      <c r="H9" s="31">
        <f>(((Table14[[#This Row],[Walmart]]-Table14[[#This Row],[Walmart Attorney Fees]])*0.15))</f>
        <v>0</v>
      </c>
      <c r="I9" s="31">
        <f>Table10[[#This Row],[Walmart Litigating Subs]]-Table10[[#This Row],[Walmart Escrow]]</f>
        <v>0</v>
      </c>
    </row>
    <row r="10" spans="1:9" ht="15.6" x14ac:dyDescent="0.3">
      <c r="A10" s="21">
        <v>9</v>
      </c>
      <c r="B10" s="22">
        <v>48563</v>
      </c>
      <c r="C10" s="23">
        <f>Table14[[#This Row],[Pharmacies Litigating]]</f>
        <v>3270030.7478513415</v>
      </c>
      <c r="D10" s="31">
        <f>((Table14[[#This Row],[Walgreens]]-Table14[[#This Row],[Walgreens Attorney Fees]])*0.15)</f>
        <v>1581715.5562820663</v>
      </c>
      <c r="E10" s="31">
        <f>((Table14[[#This Row],[CVS]]-Table14[[#This Row],[CVS Attorney Fees]])*0.15)</f>
        <v>1688315.1915692752</v>
      </c>
      <c r="F10" s="31">
        <f>Table10[[#This Row],[Walgreens Litigating]]+Table10[[#This Row],[CVS Litigating]]</f>
        <v>3270030.7478513415</v>
      </c>
      <c r="G10" s="31">
        <f>Table14[[#This Row],[Litigating Sub Escrow]]</f>
        <v>0</v>
      </c>
      <c r="H10" s="31">
        <f>(((Table14[[#This Row],[Walmart]]-Table14[[#This Row],[Walmart Attorney Fees]])*0.15))</f>
        <v>0</v>
      </c>
      <c r="I10" s="31">
        <f>Table10[[#This Row],[Walmart Litigating Subs]]-Table10[[#This Row],[Walmart Escrow]]</f>
        <v>0</v>
      </c>
    </row>
    <row r="11" spans="1:9" ht="15.6" x14ac:dyDescent="0.3">
      <c r="A11" s="19">
        <v>10</v>
      </c>
      <c r="B11" s="20">
        <v>48928</v>
      </c>
      <c r="C11" s="24">
        <f>Table14[[#This Row],[Pharmacies Litigating]]</f>
        <v>3270030.7506042873</v>
      </c>
      <c r="D11" s="31">
        <f>((Table14[[#This Row],[Walgreens]]-Table14[[#This Row],[Walgreens Attorney Fees]])*0.15)</f>
        <v>1581715.5562820663</v>
      </c>
      <c r="E11" s="31">
        <f>((Table14[[#This Row],[CVS]]-Table14[[#This Row],[CVS Attorney Fees]])*0.15)</f>
        <v>1688315.1943222207</v>
      </c>
      <c r="F11" s="31">
        <f>Table10[[#This Row],[Walgreens Litigating]]+Table10[[#This Row],[CVS Litigating]]</f>
        <v>3270030.7506042868</v>
      </c>
      <c r="G11" s="31">
        <f>Table14[[#This Row],[Litigating Sub Escrow]]</f>
        <v>0</v>
      </c>
      <c r="H11" s="31">
        <f>(((Table14[[#This Row],[Walmart]]-Table14[[#This Row],[Walmart Attorney Fees]])*0.15))</f>
        <v>0</v>
      </c>
      <c r="I11" s="31">
        <f>Table10[[#This Row],[Walmart Litigating Subs]]-Table10[[#This Row],[Walmart Escrow]]</f>
        <v>0</v>
      </c>
    </row>
    <row r="12" spans="1:9" ht="15.6" x14ac:dyDescent="0.3">
      <c r="A12" s="21">
        <v>11</v>
      </c>
      <c r="B12" s="22">
        <v>49293</v>
      </c>
      <c r="C12" s="23">
        <f>Table14[[#This Row],[Pharmacies Litigating]]</f>
        <v>1581715.5562820663</v>
      </c>
      <c r="D12" s="31">
        <f>((Table14[[#This Row],[Walgreens]]-Table14[[#This Row],[Walgreens Attorney Fees]])*0.15)</f>
        <v>1581715.5562820663</v>
      </c>
      <c r="E12" s="31">
        <f>((Table14[[#This Row],[CVS]]-Table14[[#This Row],[CVS Attorney Fees]])*0.15)</f>
        <v>0</v>
      </c>
      <c r="F12" s="31">
        <f>Table10[[#This Row],[Walgreens Litigating]]+Table10[[#This Row],[CVS Litigating]]</f>
        <v>1581715.5562820663</v>
      </c>
      <c r="G12" s="31">
        <f>Table14[[#This Row],[Litigating Sub Escrow]]</f>
        <v>0</v>
      </c>
      <c r="H12" s="31">
        <f>(((Table14[[#This Row],[Walmart]]-Table14[[#This Row],[Walmart Attorney Fees]])*0.15))</f>
        <v>0</v>
      </c>
      <c r="I12" s="31">
        <f>Table10[[#This Row],[Walmart Litigating Subs]]-Table10[[#This Row],[Walmart Escrow]]</f>
        <v>0</v>
      </c>
    </row>
    <row r="13" spans="1:9" ht="15.6" x14ac:dyDescent="0.3">
      <c r="A13" s="19">
        <v>12</v>
      </c>
      <c r="B13" s="20">
        <v>49658</v>
      </c>
      <c r="C13" s="24">
        <f>Table14[[#This Row],[Pharmacies Litigating]]</f>
        <v>1581715.5562820663</v>
      </c>
      <c r="D13" s="31">
        <f>((Table14[[#This Row],[Walgreens]]-Table14[[#This Row],[Walgreens Attorney Fees]])*0.15)</f>
        <v>1581715.5562820663</v>
      </c>
      <c r="E13" s="31">
        <f>((Table14[[#This Row],[CVS]]-Table14[[#This Row],[CVS Attorney Fees]])*0.15)</f>
        <v>0</v>
      </c>
      <c r="F13" s="31">
        <f>Table10[[#This Row],[Walgreens Litigating]]+Table10[[#This Row],[CVS Litigating]]</f>
        <v>1581715.5562820663</v>
      </c>
      <c r="G13" s="31">
        <f>Table14[[#This Row],[Litigating Sub Escrow]]</f>
        <v>0</v>
      </c>
      <c r="H13" s="31">
        <f>(((Table14[[#This Row],[Walmart]]-Table14[[#This Row],[Walmart Attorney Fees]])*0.15))</f>
        <v>0</v>
      </c>
      <c r="I13" s="31">
        <f>Table10[[#This Row],[Walmart Litigating Subs]]-Table10[[#This Row],[Walmart Escrow]]</f>
        <v>0</v>
      </c>
    </row>
    <row r="14" spans="1:9" ht="15.6" x14ac:dyDescent="0.3">
      <c r="A14" s="21">
        <v>13</v>
      </c>
      <c r="B14" s="22">
        <v>50024</v>
      </c>
      <c r="C14" s="23">
        <f>Table14[[#This Row],[Pharmacies Litigating]]</f>
        <v>1581715.5562820663</v>
      </c>
      <c r="D14" s="31">
        <f>((Table14[[#This Row],[Walgreens]]-Table14[[#This Row],[Walgreens Attorney Fees]])*0.15)</f>
        <v>1581715.5562820663</v>
      </c>
      <c r="E14" s="31">
        <f>((Table14[[#This Row],[CVS]]-Table14[[#This Row],[CVS Attorney Fees]])*0.15)</f>
        <v>0</v>
      </c>
      <c r="F14" s="31">
        <f>Table10[[#This Row],[Walgreens Litigating]]+Table10[[#This Row],[CVS Litigating]]</f>
        <v>1581715.5562820663</v>
      </c>
      <c r="G14" s="31">
        <f>Table14[[#This Row],[Litigating Sub Escrow]]</f>
        <v>0</v>
      </c>
      <c r="H14" s="31">
        <f>(((Table14[[#This Row],[Walmart]]-Table14[[#This Row],[Walmart Attorney Fees]])*0.15))</f>
        <v>0</v>
      </c>
      <c r="I14" s="31">
        <f>Table10[[#This Row],[Walmart Litigating Subs]]-Table10[[#This Row],[Walmart Escrow]]</f>
        <v>0</v>
      </c>
    </row>
    <row r="15" spans="1:9" ht="15.6" x14ac:dyDescent="0.3">
      <c r="A15" s="19">
        <v>14</v>
      </c>
      <c r="B15" s="20">
        <v>50389</v>
      </c>
      <c r="C15" s="24">
        <f>Table14[[#This Row],[Pharmacies Litigating]]</f>
        <v>1581715.5562820663</v>
      </c>
      <c r="D15" s="31">
        <f>((Table14[[#This Row],[Walgreens]]-Table14[[#This Row],[Walgreens Attorney Fees]])*0.15)</f>
        <v>1581715.5562820663</v>
      </c>
      <c r="E15" s="31">
        <f>((Table14[[#This Row],[CVS]]-Table14[[#This Row],[CVS Attorney Fees]])*0.15)</f>
        <v>0</v>
      </c>
      <c r="F15" s="31">
        <f>Table10[[#This Row],[Walgreens Litigating]]+Table10[[#This Row],[CVS Litigating]]</f>
        <v>1581715.5562820663</v>
      </c>
      <c r="G15" s="31">
        <f>Table14[[#This Row],[Litigating Sub Escrow]]</f>
        <v>0</v>
      </c>
      <c r="H15" s="31">
        <f>(((Table14[[#This Row],[Walmart]]-Table14[[#This Row],[Walmart Attorney Fees]])*0.15))</f>
        <v>0</v>
      </c>
      <c r="I15" s="31">
        <f>Table10[[#This Row],[Walmart Litigating Subs]]-Table10[[#This Row],[Walmart Escrow]]</f>
        <v>0</v>
      </c>
    </row>
    <row r="16" spans="1:9" ht="15.6" x14ac:dyDescent="0.3">
      <c r="A16" s="21">
        <v>15</v>
      </c>
      <c r="B16" s="22">
        <v>50754</v>
      </c>
      <c r="C16" s="23">
        <f>Table14[[#This Row],[Pharmacies Litigating]]</f>
        <v>1581715.5562820663</v>
      </c>
      <c r="D16" s="31">
        <f>((Table14[[#This Row],[Walgreens]]-Table14[[#This Row],[Walgreens Attorney Fees]])*0.15)</f>
        <v>1581715.5562820663</v>
      </c>
      <c r="E16" s="31">
        <f>((Table14[[#This Row],[CVS]]-Table14[[#This Row],[CVS Attorney Fees]])*0.15)</f>
        <v>0</v>
      </c>
      <c r="F16" s="31">
        <f>Table10[[#This Row],[Walgreens Litigating]]+Table10[[#This Row],[CVS Litigating]]</f>
        <v>1581715.5562820663</v>
      </c>
      <c r="G16" s="31">
        <f>Table14[[#This Row],[Litigating Sub Escrow]]</f>
        <v>0</v>
      </c>
      <c r="H16" s="31">
        <f>(((Table14[[#This Row],[Walmart]]-Table14[[#This Row],[Walmart Attorney Fees]])*0.15))</f>
        <v>0</v>
      </c>
      <c r="I16" s="31">
        <f>Table10[[#This Row],[Walmart Litigating Subs]]-Table10[[#This Row],[Walmart Escrow]]</f>
        <v>0</v>
      </c>
    </row>
    <row r="17" spans="1:9" ht="15.6" x14ac:dyDescent="0.3">
      <c r="A17" s="24" t="s">
        <v>6</v>
      </c>
      <c r="B17" s="24"/>
      <c r="C17" s="24">
        <f>SUM(C2:C16)</f>
        <v>53487414.859249808</v>
      </c>
      <c r="D17" s="24">
        <f>((Table14[[#This Row],[Walgreens]]-Table14[[#This Row],[Walgreens Attorney Fees]])*0.15)</f>
        <v>20294987.482003782</v>
      </c>
      <c r="E17" s="24">
        <f>((Table14[[#This Row],[CVS]]-Table14[[#This Row],[CVS Attorney Fees]])*0.15)</f>
        <v>14988837.569543038</v>
      </c>
      <c r="F17" s="24">
        <f>Table10[[#This Row],[Walgreens Litigating]]+Table10[[#This Row],[CVS Litigating]]</f>
        <v>35283825.05154682</v>
      </c>
      <c r="G17" s="24">
        <f t="shared" ref="G17" si="0">SUM(G2:G16)</f>
        <v>1043597.8835978836</v>
      </c>
      <c r="H17" s="24">
        <f>(((Table14[[#This Row],[Walmart]]-Table14[[#This Row],[Walmart Attorney Fees]])*0.15))</f>
        <v>18203589.807702988</v>
      </c>
      <c r="I17" s="24">
        <f>Table10[[#This Row],[Walmart Litigating Subs]]-Table10[[#This Row],[Walmart Escrow]]</f>
        <v>17159991.924105104</v>
      </c>
    </row>
    <row r="19" spans="1:9" x14ac:dyDescent="0.3">
      <c r="A19" t="s">
        <v>234</v>
      </c>
    </row>
    <row r="20" spans="1:9" x14ac:dyDescent="0.3">
      <c r="D20" s="7"/>
    </row>
    <row r="23" spans="1:9" x14ac:dyDescent="0.3">
      <c r="G23" s="7"/>
      <c r="H23" s="7"/>
    </row>
    <row r="24" spans="1:9" x14ac:dyDescent="0.3">
      <c r="G24" s="7"/>
    </row>
    <row r="25" spans="1:9" x14ac:dyDescent="0.3">
      <c r="G25" s="7"/>
      <c r="H25" s="7"/>
    </row>
    <row r="26" spans="1:9" x14ac:dyDescent="0.3">
      <c r="H26" s="7"/>
    </row>
    <row r="27" spans="1:9" x14ac:dyDescent="0.3">
      <c r="G27" s="7"/>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R91"/>
  <sheetViews>
    <sheetView workbookViewId="0"/>
  </sheetViews>
  <sheetFormatPr defaultRowHeight="14.4" x14ac:dyDescent="0.3"/>
  <cols>
    <col min="1" max="1" width="30.44140625" customWidth="1"/>
    <col min="2" max="2" width="20.33203125" customWidth="1"/>
    <col min="3" max="18" width="16.6640625" customWidth="1"/>
  </cols>
  <sheetData>
    <row r="1" spans="1:18" x14ac:dyDescent="0.3">
      <c r="A1" t="s">
        <v>117</v>
      </c>
      <c r="B1" t="s">
        <v>218</v>
      </c>
      <c r="C1" t="s">
        <v>93</v>
      </c>
      <c r="D1" t="s">
        <v>94</v>
      </c>
      <c r="E1" t="s">
        <v>95</v>
      </c>
      <c r="F1" t="s">
        <v>96</v>
      </c>
      <c r="G1" t="s">
        <v>97</v>
      </c>
      <c r="H1" t="s">
        <v>98</v>
      </c>
      <c r="I1" t="s">
        <v>99</v>
      </c>
      <c r="J1" t="s">
        <v>100</v>
      </c>
      <c r="K1" t="s">
        <v>101</v>
      </c>
      <c r="L1" t="s">
        <v>102</v>
      </c>
      <c r="M1" t="s">
        <v>103</v>
      </c>
      <c r="N1" t="s">
        <v>104</v>
      </c>
      <c r="O1" t="s">
        <v>105</v>
      </c>
      <c r="P1" t="s">
        <v>115</v>
      </c>
      <c r="Q1" t="s">
        <v>116</v>
      </c>
      <c r="R1" t="s">
        <v>6</v>
      </c>
    </row>
    <row r="2" spans="1:18" x14ac:dyDescent="0.3">
      <c r="A2" t="s">
        <v>119</v>
      </c>
      <c r="B2">
        <v>1.6898834612310891E-2</v>
      </c>
      <c r="C2" s="17">
        <f>Table15[[#This Row],[Adjusted %]]*$C$84</f>
        <v>18369.820002351145</v>
      </c>
      <c r="D2" s="17">
        <f>Table15[[#This Row],[Adjusted %]]*$D$84</f>
        <v>55393.517767934674</v>
      </c>
      <c r="E2" s="17">
        <f>Table15[[#This Row],[Adjusted %]]*$E$84</f>
        <v>37869.616826227379</v>
      </c>
      <c r="F2" s="17">
        <f>Table15[[#This Row],[Adjusted %]]*$F$84</f>
        <v>41094.639495940311</v>
      </c>
      <c r="G2" s="17">
        <f>Table15[[#This Row],[Adjusted %]]*$G$84</f>
        <v>41094.639495940311</v>
      </c>
      <c r="H2" s="17">
        <f>Table15[[#This Row],[Adjusted %]]*$H$84</f>
        <v>52153.536616522353</v>
      </c>
      <c r="I2" s="17">
        <f>Table15[[#This Row],[Adjusted %]]*$I$84</f>
        <v>50833.936636572536</v>
      </c>
      <c r="J2" s="17">
        <f>Table15[[#This Row],[Adjusted %]]*$J$84</f>
        <v>55280.65163091931</v>
      </c>
      <c r="K2" s="17">
        <f>Table15[[#This Row],[Adjusted %]]*$K$84</f>
        <v>55259.708785111114</v>
      </c>
      <c r="L2" s="17">
        <f>Table15[[#This Row],[Adjusted %]]*$L$84</f>
        <v>55259.708831632684</v>
      </c>
      <c r="M2" s="17">
        <f>Table15[[#This Row],[Adjusted %]]*$M$84</f>
        <v>26729.149589329958</v>
      </c>
      <c r="N2" s="17">
        <f>Table15[[#This Row],[Adjusted %]]*$N$84</f>
        <v>26729.149589329958</v>
      </c>
      <c r="O2" s="17">
        <f>Table15[[#This Row],[Adjusted %]]*$O$84</f>
        <v>26729.149589329958</v>
      </c>
      <c r="P2" s="17">
        <f>Table15[[#This Row],[Adjusted %]]*$P$84</f>
        <v>26729.149589329958</v>
      </c>
      <c r="Q2" s="17">
        <f>Table15[[#This Row],[Adjusted %]]*$Q$84</f>
        <v>26729.149589329958</v>
      </c>
      <c r="R2" s="17">
        <f>SUM(Table15[[#This Row],[Payment 1]:[Payment 15]])</f>
        <v>596255.52403580165</v>
      </c>
    </row>
    <row r="3" spans="1:18" x14ac:dyDescent="0.3">
      <c r="A3" t="s">
        <v>121</v>
      </c>
      <c r="B3">
        <v>8.9986420618649629E-2</v>
      </c>
      <c r="C3" s="17">
        <f>Table15[[#This Row],[Adjusted %]]*$C$84</f>
        <v>97819.428815298845</v>
      </c>
      <c r="D3" s="17">
        <f>Table15[[#This Row],[Adjusted %]]*$D$84</f>
        <v>294970.89614574116</v>
      </c>
      <c r="E3" s="17">
        <f>Table15[[#This Row],[Adjusted %]]*$E$84</f>
        <v>201655.99265108042</v>
      </c>
      <c r="F3" s="17">
        <f>Table15[[#This Row],[Adjusted %]]*$F$84</f>
        <v>218829.26247230524</v>
      </c>
      <c r="G3" s="17">
        <f>Table15[[#This Row],[Adjusted %]]*$G$84</f>
        <v>218829.26247230524</v>
      </c>
      <c r="H3" s="17">
        <f>Table15[[#This Row],[Adjusted %]]*$H$84</f>
        <v>277717.97229766188</v>
      </c>
      <c r="I3" s="17">
        <f>Table15[[#This Row],[Adjusted %]]*$I$84</f>
        <v>270691.09254125436</v>
      </c>
      <c r="J3" s="17">
        <f>Table15[[#This Row],[Adjusted %]]*$J$84</f>
        <v>294369.88312253135</v>
      </c>
      <c r="K3" s="17">
        <f>Table15[[#This Row],[Adjusted %]]*$K$84</f>
        <v>294258.36231206823</v>
      </c>
      <c r="L3" s="17">
        <f>Table15[[#This Row],[Adjusted %]]*$L$84</f>
        <v>294258.3625597959</v>
      </c>
      <c r="M3" s="17">
        <f>Table15[[#This Row],[Adjusted %]]*$M$84</f>
        <v>142332.92134665939</v>
      </c>
      <c r="N3" s="17">
        <f>Table15[[#This Row],[Adjusted %]]*$N$84</f>
        <v>142332.92134665939</v>
      </c>
      <c r="O3" s="17">
        <f>Table15[[#This Row],[Adjusted %]]*$O$84</f>
        <v>142332.92134665939</v>
      </c>
      <c r="P3" s="17">
        <f>Table15[[#This Row],[Adjusted %]]*$P$84</f>
        <v>142332.92134665939</v>
      </c>
      <c r="Q3" s="17">
        <f>Table15[[#This Row],[Adjusted %]]*$Q$84</f>
        <v>142332.92134665939</v>
      </c>
      <c r="R3" s="17">
        <f>SUM(Table15[[#This Row],[Payment 1]:[Payment 15]])</f>
        <v>3175065.1221233392</v>
      </c>
    </row>
    <row r="4" spans="1:18" x14ac:dyDescent="0.3">
      <c r="A4" t="s">
        <v>123</v>
      </c>
      <c r="B4">
        <v>8.4494173061554455E-3</v>
      </c>
      <c r="C4" s="17">
        <f>Table15[[#This Row],[Adjusted %]]*$C$84</f>
        <v>9184.9100011755727</v>
      </c>
      <c r="D4" s="17">
        <f>Table15[[#This Row],[Adjusted %]]*$D$84</f>
        <v>27696.758883967337</v>
      </c>
      <c r="E4" s="17">
        <f>Table15[[#This Row],[Adjusted %]]*$E$84</f>
        <v>18934.808413113689</v>
      </c>
      <c r="F4" s="17">
        <f>Table15[[#This Row],[Adjusted %]]*$F$84</f>
        <v>20547.319747970156</v>
      </c>
      <c r="G4" s="17">
        <f>Table15[[#This Row],[Adjusted %]]*$G$84</f>
        <v>20547.319747970156</v>
      </c>
      <c r="H4" s="17">
        <f>Table15[[#This Row],[Adjusted %]]*$H$84</f>
        <v>26076.768308261177</v>
      </c>
      <c r="I4" s="17">
        <f>Table15[[#This Row],[Adjusted %]]*$I$84</f>
        <v>25416.968318286268</v>
      </c>
      <c r="J4" s="17">
        <f>Table15[[#This Row],[Adjusted %]]*$J$84</f>
        <v>27640.325815459655</v>
      </c>
      <c r="K4" s="17">
        <f>Table15[[#This Row],[Adjusted %]]*$K$84</f>
        <v>27629.854392555557</v>
      </c>
      <c r="L4" s="17">
        <f>Table15[[#This Row],[Adjusted %]]*$L$84</f>
        <v>27629.854415816342</v>
      </c>
      <c r="M4" s="17">
        <f>Table15[[#This Row],[Adjusted %]]*$M$84</f>
        <v>13364.574794664979</v>
      </c>
      <c r="N4" s="17">
        <f>Table15[[#This Row],[Adjusted %]]*$N$84</f>
        <v>13364.574794664979</v>
      </c>
      <c r="O4" s="17">
        <f>Table15[[#This Row],[Adjusted %]]*$O$84</f>
        <v>13364.574794664979</v>
      </c>
      <c r="P4" s="17">
        <f>Table15[[#This Row],[Adjusted %]]*$P$84</f>
        <v>13364.574794664979</v>
      </c>
      <c r="Q4" s="17">
        <f>Table15[[#This Row],[Adjusted %]]*$Q$84</f>
        <v>13364.574794664979</v>
      </c>
      <c r="R4" s="17">
        <f>SUM(Table15[[#This Row],[Payment 1]:[Payment 15]])</f>
        <v>298127.76201790082</v>
      </c>
    </row>
    <row r="5" spans="1:18" x14ac:dyDescent="0.3">
      <c r="A5" t="s">
        <v>124</v>
      </c>
      <c r="B5">
        <v>1.6898834612310891E-2</v>
      </c>
      <c r="C5" s="17">
        <f>Table15[[#This Row],[Adjusted %]]*$C$84</f>
        <v>18369.820002351145</v>
      </c>
      <c r="D5" s="17">
        <f>Table15[[#This Row],[Adjusted %]]*$D$84</f>
        <v>55393.517767934674</v>
      </c>
      <c r="E5" s="17">
        <f>Table15[[#This Row],[Adjusted %]]*$E$84</f>
        <v>37869.616826227379</v>
      </c>
      <c r="F5" s="17">
        <f>Table15[[#This Row],[Adjusted %]]*$F$84</f>
        <v>41094.639495940311</v>
      </c>
      <c r="G5" s="17">
        <f>Table15[[#This Row],[Adjusted %]]*$G$84</f>
        <v>41094.639495940311</v>
      </c>
      <c r="H5" s="17">
        <f>Table15[[#This Row],[Adjusted %]]*$H$84</f>
        <v>52153.536616522353</v>
      </c>
      <c r="I5" s="17">
        <f>Table15[[#This Row],[Adjusted %]]*$I$84</f>
        <v>50833.936636572536</v>
      </c>
      <c r="J5" s="17">
        <f>Table15[[#This Row],[Adjusted %]]*$J$84</f>
        <v>55280.65163091931</v>
      </c>
      <c r="K5" s="17">
        <f>Table15[[#This Row],[Adjusted %]]*$K$84</f>
        <v>55259.708785111114</v>
      </c>
      <c r="L5" s="17">
        <f>Table15[[#This Row],[Adjusted %]]*$L$84</f>
        <v>55259.708831632684</v>
      </c>
      <c r="M5" s="17">
        <f>Table15[[#This Row],[Adjusted %]]*$M$84</f>
        <v>26729.149589329958</v>
      </c>
      <c r="N5" s="17">
        <f>Table15[[#This Row],[Adjusted %]]*$N$84</f>
        <v>26729.149589329958</v>
      </c>
      <c r="O5" s="17">
        <f>Table15[[#This Row],[Adjusted %]]*$O$84</f>
        <v>26729.149589329958</v>
      </c>
      <c r="P5" s="17">
        <f>Table15[[#This Row],[Adjusted %]]*$P$84</f>
        <v>26729.149589329958</v>
      </c>
      <c r="Q5" s="17">
        <f>Table15[[#This Row],[Adjusted %]]*$Q$84</f>
        <v>26729.149589329958</v>
      </c>
      <c r="R5" s="17">
        <f>SUM(Table15[[#This Row],[Payment 1]:[Payment 15]])</f>
        <v>596255.52403580165</v>
      </c>
    </row>
    <row r="6" spans="1:18" x14ac:dyDescent="0.3">
      <c r="A6" t="s">
        <v>125</v>
      </c>
      <c r="B6">
        <v>4.2379722473701292E-3</v>
      </c>
      <c r="C6" s="17">
        <f>Table15[[#This Row],[Adjusted %]]*$C$84</f>
        <v>4606.8731451122749</v>
      </c>
      <c r="D6" s="17">
        <f>Table15[[#This Row],[Adjusted %]]*$D$84</f>
        <v>13891.856827434134</v>
      </c>
      <c r="E6" s="17">
        <f>Table15[[#This Row],[Adjusted %]]*$E$84</f>
        <v>9497.1273942863736</v>
      </c>
      <c r="F6" s="17">
        <f>Table15[[#This Row],[Adjusted %]]*$F$84</f>
        <v>10305.914324565341</v>
      </c>
      <c r="G6" s="17">
        <f>Table15[[#This Row],[Adjusted %]]*$G$84</f>
        <v>10305.914324565341</v>
      </c>
      <c r="H6" s="17">
        <f>Table15[[#This Row],[Adjusted %]]*$H$84</f>
        <v>13079.318536084465</v>
      </c>
      <c r="I6" s="17">
        <f>Table15[[#This Row],[Adjusted %]]*$I$84</f>
        <v>12748.382810576895</v>
      </c>
      <c r="J6" s="17">
        <f>Table15[[#This Row],[Adjusted %]]*$J$84</f>
        <v>13863.551706559672</v>
      </c>
      <c r="K6" s="17">
        <f>Table15[[#This Row],[Adjusted %]]*$K$84</f>
        <v>13858.299557440974</v>
      </c>
      <c r="L6" s="17">
        <f>Table15[[#This Row],[Adjusted %]]*$L$84</f>
        <v>13858.29956910788</v>
      </c>
      <c r="M6" s="17">
        <f>Table15[[#This Row],[Adjusted %]]*$M$84</f>
        <v>6703.2666307570025</v>
      </c>
      <c r="N6" s="17">
        <f>Table15[[#This Row],[Adjusted %]]*$N$84</f>
        <v>6703.2666307570025</v>
      </c>
      <c r="O6" s="17">
        <f>Table15[[#This Row],[Adjusted %]]*$O$84</f>
        <v>6703.2666307570025</v>
      </c>
      <c r="P6" s="17">
        <f>Table15[[#This Row],[Adjusted %]]*$P$84</f>
        <v>6703.2666307570025</v>
      </c>
      <c r="Q6" s="17">
        <f>Table15[[#This Row],[Adjusted %]]*$Q$84</f>
        <v>6703.2666307570025</v>
      </c>
      <c r="R6" s="17">
        <f>SUM(Table15[[#This Row],[Payment 1]:[Payment 15]])</f>
        <v>149531.87134951833</v>
      </c>
    </row>
    <row r="7" spans="1:18" x14ac:dyDescent="0.3">
      <c r="A7" t="s">
        <v>126</v>
      </c>
      <c r="B7">
        <v>8.4494173061554455E-3</v>
      </c>
      <c r="C7" s="17">
        <f>Table15[[#This Row],[Adjusted %]]*$C$84</f>
        <v>9184.9100011755727</v>
      </c>
      <c r="D7" s="17">
        <f>Table15[[#This Row],[Adjusted %]]*$D$84</f>
        <v>27696.758883967337</v>
      </c>
      <c r="E7" s="17">
        <f>Table15[[#This Row],[Adjusted %]]*$E$84</f>
        <v>18934.808413113689</v>
      </c>
      <c r="F7" s="17">
        <f>Table15[[#This Row],[Adjusted %]]*$F$84</f>
        <v>20547.319747970156</v>
      </c>
      <c r="G7" s="17">
        <f>Table15[[#This Row],[Adjusted %]]*$G$84</f>
        <v>20547.319747970156</v>
      </c>
      <c r="H7" s="17">
        <f>Table15[[#This Row],[Adjusted %]]*$H$84</f>
        <v>26076.768308261177</v>
      </c>
      <c r="I7" s="17">
        <f>Table15[[#This Row],[Adjusted %]]*$I$84</f>
        <v>25416.968318286268</v>
      </c>
      <c r="J7" s="17">
        <f>Table15[[#This Row],[Adjusted %]]*$J$84</f>
        <v>27640.325815459655</v>
      </c>
      <c r="K7" s="17">
        <f>Table15[[#This Row],[Adjusted %]]*$K$84</f>
        <v>27629.854392555557</v>
      </c>
      <c r="L7" s="17">
        <f>Table15[[#This Row],[Adjusted %]]*$L$84</f>
        <v>27629.854415816342</v>
      </c>
      <c r="M7" s="17">
        <f>Table15[[#This Row],[Adjusted %]]*$M$84</f>
        <v>13364.574794664979</v>
      </c>
      <c r="N7" s="17">
        <f>Table15[[#This Row],[Adjusted %]]*$N$84</f>
        <v>13364.574794664979</v>
      </c>
      <c r="O7" s="17">
        <f>Table15[[#This Row],[Adjusted %]]*$O$84</f>
        <v>13364.574794664979</v>
      </c>
      <c r="P7" s="17">
        <f>Table15[[#This Row],[Adjusted %]]*$P$84</f>
        <v>13364.574794664979</v>
      </c>
      <c r="Q7" s="17">
        <f>Table15[[#This Row],[Adjusted %]]*$Q$84</f>
        <v>13364.574794664979</v>
      </c>
      <c r="R7" s="17">
        <f>SUM(Table15[[#This Row],[Payment 1]:[Payment 15]])</f>
        <v>298127.76201790082</v>
      </c>
    </row>
    <row r="8" spans="1:18" x14ac:dyDescent="0.3">
      <c r="A8" t="s">
        <v>127</v>
      </c>
      <c r="B8">
        <v>8.4494173061554455E-3</v>
      </c>
      <c r="C8" s="17">
        <f>Table15[[#This Row],[Adjusted %]]*$C$84</f>
        <v>9184.9100011755727</v>
      </c>
      <c r="D8" s="17">
        <f>Table15[[#This Row],[Adjusted %]]*$D$84</f>
        <v>27696.758883967337</v>
      </c>
      <c r="E8" s="17">
        <f>Table15[[#This Row],[Adjusted %]]*$E$84</f>
        <v>18934.808413113689</v>
      </c>
      <c r="F8" s="17">
        <f>Table15[[#This Row],[Adjusted %]]*$F$84</f>
        <v>20547.319747970156</v>
      </c>
      <c r="G8" s="17">
        <f>Table15[[#This Row],[Adjusted %]]*$G$84</f>
        <v>20547.319747970156</v>
      </c>
      <c r="H8" s="17">
        <f>Table15[[#This Row],[Adjusted %]]*$H$84</f>
        <v>26076.768308261177</v>
      </c>
      <c r="I8" s="17">
        <f>Table15[[#This Row],[Adjusted %]]*$I$84</f>
        <v>25416.968318286268</v>
      </c>
      <c r="J8" s="17">
        <f>Table15[[#This Row],[Adjusted %]]*$J$84</f>
        <v>27640.325815459655</v>
      </c>
      <c r="K8" s="17">
        <f>Table15[[#This Row],[Adjusted %]]*$K$84</f>
        <v>27629.854392555557</v>
      </c>
      <c r="L8" s="17">
        <f>Table15[[#This Row],[Adjusted %]]*$L$84</f>
        <v>27629.854415816342</v>
      </c>
      <c r="M8" s="17">
        <f>Table15[[#This Row],[Adjusted %]]*$M$84</f>
        <v>13364.574794664979</v>
      </c>
      <c r="N8" s="17">
        <f>Table15[[#This Row],[Adjusted %]]*$N$84</f>
        <v>13364.574794664979</v>
      </c>
      <c r="O8" s="17">
        <f>Table15[[#This Row],[Adjusted %]]*$O$84</f>
        <v>13364.574794664979</v>
      </c>
      <c r="P8" s="17">
        <f>Table15[[#This Row],[Adjusted %]]*$P$84</f>
        <v>13364.574794664979</v>
      </c>
      <c r="Q8" s="17">
        <f>Table15[[#This Row],[Adjusted %]]*$Q$84</f>
        <v>13364.574794664979</v>
      </c>
      <c r="R8" s="17">
        <f>SUM(Table15[[#This Row],[Payment 1]:[Payment 15]])</f>
        <v>298127.76201790082</v>
      </c>
    </row>
    <row r="9" spans="1:18" x14ac:dyDescent="0.3">
      <c r="A9" t="s">
        <v>128</v>
      </c>
      <c r="B9">
        <v>8.4494173061554472E-3</v>
      </c>
      <c r="C9" s="17">
        <f>Table15[[#This Row],[Adjusted %]]*$C$84</f>
        <v>9184.9100011755745</v>
      </c>
      <c r="D9" s="17">
        <f>Table15[[#This Row],[Adjusted %]]*$D$84</f>
        <v>27696.758883967344</v>
      </c>
      <c r="E9" s="17">
        <f>Table15[[#This Row],[Adjusted %]]*$E$84</f>
        <v>18934.808413113693</v>
      </c>
      <c r="F9" s="17">
        <f>Table15[[#This Row],[Adjusted %]]*$F$84</f>
        <v>20547.319747970159</v>
      </c>
      <c r="G9" s="17">
        <f>Table15[[#This Row],[Adjusted %]]*$G$84</f>
        <v>20547.319747970159</v>
      </c>
      <c r="H9" s="17">
        <f>Table15[[#This Row],[Adjusted %]]*$H$84</f>
        <v>26076.768308261184</v>
      </c>
      <c r="I9" s="17">
        <f>Table15[[#This Row],[Adjusted %]]*$I$84</f>
        <v>25416.968318286272</v>
      </c>
      <c r="J9" s="17">
        <f>Table15[[#This Row],[Adjusted %]]*$J$84</f>
        <v>27640.325815459659</v>
      </c>
      <c r="K9" s="17">
        <f>Table15[[#This Row],[Adjusted %]]*$K$84</f>
        <v>27629.854392555564</v>
      </c>
      <c r="L9" s="17">
        <f>Table15[[#This Row],[Adjusted %]]*$L$84</f>
        <v>27629.85441581635</v>
      </c>
      <c r="M9" s="17">
        <f>Table15[[#This Row],[Adjusted %]]*$M$84</f>
        <v>13364.574794664981</v>
      </c>
      <c r="N9" s="17">
        <f>Table15[[#This Row],[Adjusted %]]*$N$84</f>
        <v>13364.574794664981</v>
      </c>
      <c r="O9" s="17">
        <f>Table15[[#This Row],[Adjusted %]]*$O$84</f>
        <v>13364.574794664981</v>
      </c>
      <c r="P9" s="17">
        <f>Table15[[#This Row],[Adjusted %]]*$P$84</f>
        <v>13364.574794664981</v>
      </c>
      <c r="Q9" s="17">
        <f>Table15[[#This Row],[Adjusted %]]*$Q$84</f>
        <v>13364.574794664981</v>
      </c>
      <c r="R9" s="17">
        <f>SUM(Table15[[#This Row],[Payment 1]:[Payment 15]])</f>
        <v>298127.76201790088</v>
      </c>
    </row>
    <row r="10" spans="1:18" x14ac:dyDescent="0.3">
      <c r="A10" t="s">
        <v>129</v>
      </c>
      <c r="B10">
        <v>4.6522200465657068E-2</v>
      </c>
      <c r="C10" s="17">
        <f>Table15[[#This Row],[Adjusted %]]*$C$84</f>
        <v>50571.7978945621</v>
      </c>
      <c r="D10" s="17">
        <f>Table15[[#This Row],[Adjusted %]]*$D$84</f>
        <v>152497.39980415069</v>
      </c>
      <c r="E10" s="17">
        <f>Table15[[#This Row],[Adjusted %]]*$E$84</f>
        <v>104254.40250559678</v>
      </c>
      <c r="F10" s="17">
        <f>Table15[[#This Row],[Adjusted %]]*$F$84</f>
        <v>113132.83433765767</v>
      </c>
      <c r="G10" s="17">
        <f>Table15[[#This Row],[Adjusted %]]*$G$84</f>
        <v>113132.83433765767</v>
      </c>
      <c r="H10" s="17">
        <f>Table15[[#This Row],[Adjusted %]]*$H$84</f>
        <v>143577.7875297548</v>
      </c>
      <c r="I10" s="17">
        <f>Table15[[#This Row],[Adjusted %]]*$I$84</f>
        <v>139944.95152596437</v>
      </c>
      <c r="J10" s="17">
        <f>Table15[[#This Row],[Adjusted %]]*$J$84</f>
        <v>152186.68127399901</v>
      </c>
      <c r="K10" s="17">
        <f>Table15[[#This Row],[Adjusted %]]*$K$84</f>
        <v>152129.0259804026</v>
      </c>
      <c r="L10" s="17">
        <f>Table15[[#This Row],[Adjusted %]]*$L$84</f>
        <v>152129.02610847569</v>
      </c>
      <c r="M10" s="17">
        <f>Table15[[#This Row],[Adjusted %]]*$M$84</f>
        <v>73584.888189002566</v>
      </c>
      <c r="N10" s="17">
        <f>Table15[[#This Row],[Adjusted %]]*$N$84</f>
        <v>73584.888189002566</v>
      </c>
      <c r="O10" s="17">
        <f>Table15[[#This Row],[Adjusted %]]*$O$84</f>
        <v>73584.888189002566</v>
      </c>
      <c r="P10" s="17">
        <f>Table15[[#This Row],[Adjusted %]]*$P$84</f>
        <v>73584.888189002566</v>
      </c>
      <c r="Q10" s="17">
        <f>Table15[[#This Row],[Adjusted %]]*$Q$84</f>
        <v>73584.888189002566</v>
      </c>
      <c r="R10" s="17">
        <f>SUM(Table15[[#This Row],[Payment 1]:[Payment 15]])</f>
        <v>1641481.1822432345</v>
      </c>
    </row>
    <row r="11" spans="1:18" x14ac:dyDescent="0.3">
      <c r="A11" t="s">
        <v>130</v>
      </c>
      <c r="B11">
        <v>1.6898834612310891E-2</v>
      </c>
      <c r="C11" s="17">
        <f>Table15[[#This Row],[Adjusted %]]*$C$84</f>
        <v>18369.820002351145</v>
      </c>
      <c r="D11" s="17">
        <f>Table15[[#This Row],[Adjusted %]]*$D$84</f>
        <v>55393.517767934674</v>
      </c>
      <c r="E11" s="17">
        <f>Table15[[#This Row],[Adjusted %]]*$E$84</f>
        <v>37869.616826227379</v>
      </c>
      <c r="F11" s="17">
        <f>Table15[[#This Row],[Adjusted %]]*$F$84</f>
        <v>41094.639495940311</v>
      </c>
      <c r="G11" s="17">
        <f>Table15[[#This Row],[Adjusted %]]*$G$84</f>
        <v>41094.639495940311</v>
      </c>
      <c r="H11" s="17">
        <f>Table15[[#This Row],[Adjusted %]]*$H$84</f>
        <v>52153.536616522353</v>
      </c>
      <c r="I11" s="17">
        <f>Table15[[#This Row],[Adjusted %]]*$I$84</f>
        <v>50833.936636572536</v>
      </c>
      <c r="J11" s="17">
        <f>Table15[[#This Row],[Adjusted %]]*$J$84</f>
        <v>55280.65163091931</v>
      </c>
      <c r="K11" s="17">
        <f>Table15[[#This Row],[Adjusted %]]*$K$84</f>
        <v>55259.708785111114</v>
      </c>
      <c r="L11" s="17">
        <f>Table15[[#This Row],[Adjusted %]]*$L$84</f>
        <v>55259.708831632684</v>
      </c>
      <c r="M11" s="17">
        <f>Table15[[#This Row],[Adjusted %]]*$M$84</f>
        <v>26729.149589329958</v>
      </c>
      <c r="N11" s="17">
        <f>Table15[[#This Row],[Adjusted %]]*$N$84</f>
        <v>26729.149589329958</v>
      </c>
      <c r="O11" s="17">
        <f>Table15[[#This Row],[Adjusted %]]*$O$84</f>
        <v>26729.149589329958</v>
      </c>
      <c r="P11" s="17">
        <f>Table15[[#This Row],[Adjusted %]]*$P$84</f>
        <v>26729.149589329958</v>
      </c>
      <c r="Q11" s="17">
        <f>Table15[[#This Row],[Adjusted %]]*$Q$84</f>
        <v>26729.149589329958</v>
      </c>
      <c r="R11" s="17">
        <f>SUM(Table15[[#This Row],[Payment 1]:[Payment 15]])</f>
        <v>596255.52403580165</v>
      </c>
    </row>
    <row r="12" spans="1:18" x14ac:dyDescent="0.3">
      <c r="A12" t="s">
        <v>131</v>
      </c>
      <c r="B12">
        <v>8.4494173061554455E-3</v>
      </c>
      <c r="C12" s="17">
        <f>Table15[[#This Row],[Adjusted %]]*$C$84</f>
        <v>9184.9100011755727</v>
      </c>
      <c r="D12" s="17">
        <f>Table15[[#This Row],[Adjusted %]]*$D$84</f>
        <v>27696.758883967337</v>
      </c>
      <c r="E12" s="17">
        <f>Table15[[#This Row],[Adjusted %]]*$E$84</f>
        <v>18934.808413113689</v>
      </c>
      <c r="F12" s="17">
        <f>Table15[[#This Row],[Adjusted %]]*$F$84</f>
        <v>20547.319747970156</v>
      </c>
      <c r="G12" s="17">
        <f>Table15[[#This Row],[Adjusted %]]*$G$84</f>
        <v>20547.319747970156</v>
      </c>
      <c r="H12" s="17">
        <f>Table15[[#This Row],[Adjusted %]]*$H$84</f>
        <v>26076.768308261177</v>
      </c>
      <c r="I12" s="17">
        <f>Table15[[#This Row],[Adjusted %]]*$I$84</f>
        <v>25416.968318286268</v>
      </c>
      <c r="J12" s="17">
        <f>Table15[[#This Row],[Adjusted %]]*$J$84</f>
        <v>27640.325815459655</v>
      </c>
      <c r="K12" s="17">
        <f>Table15[[#This Row],[Adjusted %]]*$K$84</f>
        <v>27629.854392555557</v>
      </c>
      <c r="L12" s="17">
        <f>Table15[[#This Row],[Adjusted %]]*$L$84</f>
        <v>27629.854415816342</v>
      </c>
      <c r="M12" s="17">
        <f>Table15[[#This Row],[Adjusted %]]*$M$84</f>
        <v>13364.574794664979</v>
      </c>
      <c r="N12" s="17">
        <f>Table15[[#This Row],[Adjusted %]]*$N$84</f>
        <v>13364.574794664979</v>
      </c>
      <c r="O12" s="17">
        <f>Table15[[#This Row],[Adjusted %]]*$O$84</f>
        <v>13364.574794664979</v>
      </c>
      <c r="P12" s="17">
        <f>Table15[[#This Row],[Adjusted %]]*$P$84</f>
        <v>13364.574794664979</v>
      </c>
      <c r="Q12" s="17">
        <f>Table15[[#This Row],[Adjusted %]]*$Q$84</f>
        <v>13364.574794664979</v>
      </c>
      <c r="R12" s="17">
        <f>SUM(Table15[[#This Row],[Payment 1]:[Payment 15]])</f>
        <v>298127.76201790082</v>
      </c>
    </row>
    <row r="13" spans="1:18" x14ac:dyDescent="0.3">
      <c r="A13" t="s">
        <v>132</v>
      </c>
      <c r="B13">
        <v>0</v>
      </c>
      <c r="C13" s="17">
        <f>Table15[[#This Row],[Adjusted %]]*$C$84</f>
        <v>0</v>
      </c>
      <c r="D13" s="17">
        <f>Table15[[#This Row],[Adjusted %]]*$D$84</f>
        <v>0</v>
      </c>
      <c r="E13" s="17">
        <f>Table15[[#This Row],[Adjusted %]]*$E$84</f>
        <v>0</v>
      </c>
      <c r="F13" s="17">
        <f>Table15[[#This Row],[Adjusted %]]*$F$84</f>
        <v>0</v>
      </c>
      <c r="G13" s="17">
        <f>Table15[[#This Row],[Adjusted %]]*$G$84</f>
        <v>0</v>
      </c>
      <c r="H13" s="17">
        <f>Table15[[#This Row],[Adjusted %]]*$H$84</f>
        <v>0</v>
      </c>
      <c r="I13" s="17">
        <f>Table15[[#This Row],[Adjusted %]]*$I$84</f>
        <v>0</v>
      </c>
      <c r="J13" s="17">
        <f>Table15[[#This Row],[Adjusted %]]*$J$84</f>
        <v>0</v>
      </c>
      <c r="K13" s="17">
        <f>Table15[[#This Row],[Adjusted %]]*$K$84</f>
        <v>0</v>
      </c>
      <c r="L13" s="17">
        <f>Table15[[#This Row],[Adjusted %]]*$L$84</f>
        <v>0</v>
      </c>
      <c r="M13" s="17">
        <f>Table15[[#This Row],[Adjusted %]]*$M$84</f>
        <v>0</v>
      </c>
      <c r="N13" s="17">
        <f>Table15[[#This Row],[Adjusted %]]*$N$84</f>
        <v>0</v>
      </c>
      <c r="O13" s="17">
        <f>Table15[[#This Row],[Adjusted %]]*$O$84</f>
        <v>0</v>
      </c>
      <c r="P13" s="17">
        <f>Table15[[#This Row],[Adjusted %]]*$P$84</f>
        <v>0</v>
      </c>
      <c r="Q13" s="17">
        <f>Table15[[#This Row],[Adjusted %]]*$Q$84</f>
        <v>0</v>
      </c>
      <c r="R13" s="17">
        <f>SUM(Table15[[#This Row],[Payment 1]:[Payment 15]])</f>
        <v>0</v>
      </c>
    </row>
    <row r="14" spans="1:18" x14ac:dyDescent="0.3">
      <c r="A14" t="s">
        <v>133</v>
      </c>
      <c r="B14">
        <v>4.2247086530777227E-3</v>
      </c>
      <c r="C14" s="17">
        <f>Table15[[#This Row],[Adjusted %]]*$C$84</f>
        <v>4592.4550005877863</v>
      </c>
      <c r="D14" s="17">
        <f>Table15[[#This Row],[Adjusted %]]*$D$84</f>
        <v>13848.379441983669</v>
      </c>
      <c r="E14" s="17">
        <f>Table15[[#This Row],[Adjusted %]]*$E$84</f>
        <v>9467.4042065568447</v>
      </c>
      <c r="F14" s="17">
        <f>Table15[[#This Row],[Adjusted %]]*$F$84</f>
        <v>10273.659873985078</v>
      </c>
      <c r="G14" s="17">
        <f>Table15[[#This Row],[Adjusted %]]*$G$84</f>
        <v>10273.659873985078</v>
      </c>
      <c r="H14" s="17">
        <f>Table15[[#This Row],[Adjusted %]]*$H$84</f>
        <v>13038.384154130588</v>
      </c>
      <c r="I14" s="17">
        <f>Table15[[#This Row],[Adjusted %]]*$I$84</f>
        <v>12708.484159143134</v>
      </c>
      <c r="J14" s="17">
        <f>Table15[[#This Row],[Adjusted %]]*$J$84</f>
        <v>13820.162907729828</v>
      </c>
      <c r="K14" s="17">
        <f>Table15[[#This Row],[Adjusted %]]*$K$84</f>
        <v>13814.927196277778</v>
      </c>
      <c r="L14" s="17">
        <f>Table15[[#This Row],[Adjusted %]]*$L$84</f>
        <v>13814.927207908171</v>
      </c>
      <c r="M14" s="17">
        <f>Table15[[#This Row],[Adjusted %]]*$M$84</f>
        <v>6682.2873973324895</v>
      </c>
      <c r="N14" s="17">
        <f>Table15[[#This Row],[Adjusted %]]*$N$84</f>
        <v>6682.2873973324895</v>
      </c>
      <c r="O14" s="17">
        <f>Table15[[#This Row],[Adjusted %]]*$O$84</f>
        <v>6682.2873973324895</v>
      </c>
      <c r="P14" s="17">
        <f>Table15[[#This Row],[Adjusted %]]*$P$84</f>
        <v>6682.2873973324895</v>
      </c>
      <c r="Q14" s="17">
        <f>Table15[[#This Row],[Adjusted %]]*$Q$84</f>
        <v>6682.2873973324895</v>
      </c>
      <c r="R14" s="17">
        <f>SUM(Table15[[#This Row],[Payment 1]:[Payment 15]])</f>
        <v>149063.88100895041</v>
      </c>
    </row>
    <row r="15" spans="1:18" x14ac:dyDescent="0.3">
      <c r="A15" t="s">
        <v>135</v>
      </c>
      <c r="B15">
        <v>4.2247086530777227E-3</v>
      </c>
      <c r="C15" s="17">
        <f>Table15[[#This Row],[Adjusted %]]*$C$84</f>
        <v>4592.4550005877863</v>
      </c>
      <c r="D15" s="17">
        <f>Table15[[#This Row],[Adjusted %]]*$D$84</f>
        <v>13848.379441983669</v>
      </c>
      <c r="E15" s="17">
        <f>Table15[[#This Row],[Adjusted %]]*$E$84</f>
        <v>9467.4042065568447</v>
      </c>
      <c r="F15" s="17">
        <f>Table15[[#This Row],[Adjusted %]]*$F$84</f>
        <v>10273.659873985078</v>
      </c>
      <c r="G15" s="17">
        <f>Table15[[#This Row],[Adjusted %]]*$G$84</f>
        <v>10273.659873985078</v>
      </c>
      <c r="H15" s="17">
        <f>Table15[[#This Row],[Adjusted %]]*$H$84</f>
        <v>13038.384154130588</v>
      </c>
      <c r="I15" s="17">
        <f>Table15[[#This Row],[Adjusted %]]*$I$84</f>
        <v>12708.484159143134</v>
      </c>
      <c r="J15" s="17">
        <f>Table15[[#This Row],[Adjusted %]]*$J$84</f>
        <v>13820.162907729828</v>
      </c>
      <c r="K15" s="17">
        <f>Table15[[#This Row],[Adjusted %]]*$K$84</f>
        <v>13814.927196277778</v>
      </c>
      <c r="L15" s="17">
        <f>Table15[[#This Row],[Adjusted %]]*$L$84</f>
        <v>13814.927207908171</v>
      </c>
      <c r="M15" s="17">
        <f>Table15[[#This Row],[Adjusted %]]*$M$84</f>
        <v>6682.2873973324895</v>
      </c>
      <c r="N15" s="17">
        <f>Table15[[#This Row],[Adjusted %]]*$N$84</f>
        <v>6682.2873973324895</v>
      </c>
      <c r="O15" s="17">
        <f>Table15[[#This Row],[Adjusted %]]*$O$84</f>
        <v>6682.2873973324895</v>
      </c>
      <c r="P15" s="17">
        <f>Table15[[#This Row],[Adjusted %]]*$P$84</f>
        <v>6682.2873973324895</v>
      </c>
      <c r="Q15" s="17">
        <f>Table15[[#This Row],[Adjusted %]]*$Q$84</f>
        <v>6682.2873973324895</v>
      </c>
      <c r="R15" s="17">
        <f>SUM(Table15[[#This Row],[Payment 1]:[Payment 15]])</f>
        <v>149063.88100895041</v>
      </c>
    </row>
    <row r="16" spans="1:18" x14ac:dyDescent="0.3">
      <c r="A16" t="s">
        <v>136</v>
      </c>
      <c r="B16">
        <v>4.2247086530777227E-3</v>
      </c>
      <c r="C16" s="17">
        <f>Table15[[#This Row],[Adjusted %]]*$C$84</f>
        <v>4592.4550005877863</v>
      </c>
      <c r="D16" s="17">
        <f>Table15[[#This Row],[Adjusted %]]*$D$84</f>
        <v>13848.379441983669</v>
      </c>
      <c r="E16" s="17">
        <f>Table15[[#This Row],[Adjusted %]]*$E$84</f>
        <v>9467.4042065568447</v>
      </c>
      <c r="F16" s="17">
        <f>Table15[[#This Row],[Adjusted %]]*$F$84</f>
        <v>10273.659873985078</v>
      </c>
      <c r="G16" s="17">
        <f>Table15[[#This Row],[Adjusted %]]*$G$84</f>
        <v>10273.659873985078</v>
      </c>
      <c r="H16" s="17">
        <f>Table15[[#This Row],[Adjusted %]]*$H$84</f>
        <v>13038.384154130588</v>
      </c>
      <c r="I16" s="17">
        <f>Table15[[#This Row],[Adjusted %]]*$I$84</f>
        <v>12708.484159143134</v>
      </c>
      <c r="J16" s="17">
        <f>Table15[[#This Row],[Adjusted %]]*$J$84</f>
        <v>13820.162907729828</v>
      </c>
      <c r="K16" s="17">
        <f>Table15[[#This Row],[Adjusted %]]*$K$84</f>
        <v>13814.927196277778</v>
      </c>
      <c r="L16" s="17">
        <f>Table15[[#This Row],[Adjusted %]]*$L$84</f>
        <v>13814.927207908171</v>
      </c>
      <c r="M16" s="17">
        <f>Table15[[#This Row],[Adjusted %]]*$M$84</f>
        <v>6682.2873973324895</v>
      </c>
      <c r="N16" s="17">
        <f>Table15[[#This Row],[Adjusted %]]*$N$84</f>
        <v>6682.2873973324895</v>
      </c>
      <c r="O16" s="17">
        <f>Table15[[#This Row],[Adjusted %]]*$O$84</f>
        <v>6682.2873973324895</v>
      </c>
      <c r="P16" s="17">
        <f>Table15[[#This Row],[Adjusted %]]*$P$84</f>
        <v>6682.2873973324895</v>
      </c>
      <c r="Q16" s="17">
        <f>Table15[[#This Row],[Adjusted %]]*$Q$84</f>
        <v>6682.2873973324895</v>
      </c>
      <c r="R16" s="17">
        <f>SUM(Table15[[#This Row],[Payment 1]:[Payment 15]])</f>
        <v>149063.88100895041</v>
      </c>
    </row>
    <row r="17" spans="1:18" x14ac:dyDescent="0.3">
      <c r="A17" t="s">
        <v>137</v>
      </c>
      <c r="B17">
        <v>8.4494173061554455E-3</v>
      </c>
      <c r="C17" s="17">
        <f>Table15[[#This Row],[Adjusted %]]*$C$84</f>
        <v>9184.9100011755727</v>
      </c>
      <c r="D17" s="17">
        <f>Table15[[#This Row],[Adjusted %]]*$D$84</f>
        <v>27696.758883967337</v>
      </c>
      <c r="E17" s="17">
        <f>Table15[[#This Row],[Adjusted %]]*$E$84</f>
        <v>18934.808413113689</v>
      </c>
      <c r="F17" s="17">
        <f>Table15[[#This Row],[Adjusted %]]*$F$84</f>
        <v>20547.319747970156</v>
      </c>
      <c r="G17" s="17">
        <f>Table15[[#This Row],[Adjusted %]]*$G$84</f>
        <v>20547.319747970156</v>
      </c>
      <c r="H17" s="17">
        <f>Table15[[#This Row],[Adjusted %]]*$H$84</f>
        <v>26076.768308261177</v>
      </c>
      <c r="I17" s="17">
        <f>Table15[[#This Row],[Adjusted %]]*$I$84</f>
        <v>25416.968318286268</v>
      </c>
      <c r="J17" s="17">
        <f>Table15[[#This Row],[Adjusted %]]*$J$84</f>
        <v>27640.325815459655</v>
      </c>
      <c r="K17" s="17">
        <f>Table15[[#This Row],[Adjusted %]]*$K$84</f>
        <v>27629.854392555557</v>
      </c>
      <c r="L17" s="17">
        <f>Table15[[#This Row],[Adjusted %]]*$L$84</f>
        <v>27629.854415816342</v>
      </c>
      <c r="M17" s="17">
        <f>Table15[[#This Row],[Adjusted %]]*$M$84</f>
        <v>13364.574794664979</v>
      </c>
      <c r="N17" s="17">
        <f>Table15[[#This Row],[Adjusted %]]*$N$84</f>
        <v>13364.574794664979</v>
      </c>
      <c r="O17" s="17">
        <f>Table15[[#This Row],[Adjusted %]]*$O$84</f>
        <v>13364.574794664979</v>
      </c>
      <c r="P17" s="17">
        <f>Table15[[#This Row],[Adjusted %]]*$P$84</f>
        <v>13364.574794664979</v>
      </c>
      <c r="Q17" s="17">
        <f>Table15[[#This Row],[Adjusted %]]*$Q$84</f>
        <v>13364.574794664979</v>
      </c>
      <c r="R17" s="17">
        <f>SUM(Table15[[#This Row],[Payment 1]:[Payment 15]])</f>
        <v>298127.76201790082</v>
      </c>
    </row>
    <row r="18" spans="1:18" x14ac:dyDescent="0.3">
      <c r="A18" t="s">
        <v>139</v>
      </c>
      <c r="B18">
        <v>2.0608231435065922E-2</v>
      </c>
      <c r="C18" s="17">
        <f>Table15[[#This Row],[Adjusted %]]*$C$84</f>
        <v>22402.107051403753</v>
      </c>
      <c r="D18" s="17">
        <f>Table15[[#This Row],[Adjusted %]]*$D$84</f>
        <v>67552.731318667371</v>
      </c>
      <c r="E18" s="17">
        <f>Table15[[#This Row],[Adjusted %]]*$E$84</f>
        <v>46182.227698921677</v>
      </c>
      <c r="F18" s="17">
        <f>Table15[[#This Row],[Adjusted %]]*$F$84</f>
        <v>50115.162429956938</v>
      </c>
      <c r="G18" s="17">
        <f>Table15[[#This Row],[Adjusted %]]*$G$84</f>
        <v>50115.162429956938</v>
      </c>
      <c r="H18" s="17">
        <f>Table15[[#This Row],[Adjusted %]]*$H$84</f>
        <v>63601.554628357968</v>
      </c>
      <c r="I18" s="17">
        <f>Table15[[#This Row],[Adjusted %]]*$I$84</f>
        <v>61992.294438977638</v>
      </c>
      <c r="J18" s="17">
        <f>Table15[[#This Row],[Adjusted %]]*$J$84</f>
        <v>67415.090379149566</v>
      </c>
      <c r="K18" s="17">
        <f>Table15[[#This Row],[Adjusted %]]*$K$84</f>
        <v>67389.550451502146</v>
      </c>
      <c r="L18" s="17">
        <f>Table15[[#This Row],[Adjusted %]]*$L$84</f>
        <v>67389.550508235479</v>
      </c>
      <c r="M18" s="17">
        <f>Table15[[#This Row],[Adjusted %]]*$M$84</f>
        <v>32596.36024830486</v>
      </c>
      <c r="N18" s="17">
        <f>Table15[[#This Row],[Adjusted %]]*$N$84</f>
        <v>32596.36024830486</v>
      </c>
      <c r="O18" s="17">
        <f>Table15[[#This Row],[Adjusted %]]*$O$84</f>
        <v>32596.36024830486</v>
      </c>
      <c r="P18" s="17">
        <f>Table15[[#This Row],[Adjusted %]]*$P$84</f>
        <v>32596.36024830486</v>
      </c>
      <c r="Q18" s="17">
        <f>Table15[[#This Row],[Adjusted %]]*$Q$84</f>
        <v>32596.36024830486</v>
      </c>
      <c r="R18" s="17">
        <f>SUM(Table15[[#This Row],[Payment 1]:[Payment 15]])</f>
        <v>727137.23257665406</v>
      </c>
    </row>
    <row r="19" spans="1:18" x14ac:dyDescent="0.3">
      <c r="A19" t="s">
        <v>140</v>
      </c>
      <c r="B19">
        <v>4.1506301090740168E-2</v>
      </c>
      <c r="C19" s="17">
        <f>Table15[[#This Row],[Adjusted %]]*$C$84</f>
        <v>45119.281742945124</v>
      </c>
      <c r="D19" s="17">
        <f>Table15[[#This Row],[Adjusted %]]*$D$84</f>
        <v>136055.53753844049</v>
      </c>
      <c r="E19" s="17">
        <f>Table15[[#This Row],[Adjusted %]]*$E$84</f>
        <v>93013.971332394052</v>
      </c>
      <c r="F19" s="17">
        <f>Table15[[#This Row],[Adjusted %]]*$F$84</f>
        <v>100935.15436214278</v>
      </c>
      <c r="G19" s="17">
        <f>Table15[[#This Row],[Adjusted %]]*$G$84</f>
        <v>100935.15436214278</v>
      </c>
      <c r="H19" s="17">
        <f>Table15[[#This Row],[Adjusted %]]*$H$84</f>
        <v>128097.61403163998</v>
      </c>
      <c r="I19" s="17">
        <f>Table15[[#This Row],[Adjusted %]]*$I$84</f>
        <v>124856.46070102922</v>
      </c>
      <c r="J19" s="17">
        <f>Table15[[#This Row],[Adjusted %]]*$J$84</f>
        <v>135778.31985015707</v>
      </c>
      <c r="K19" s="17">
        <f>Table15[[#This Row],[Adjusted %]]*$K$84</f>
        <v>135726.88079629603</v>
      </c>
      <c r="L19" s="17">
        <f>Table15[[#This Row],[Adjusted %]]*$L$84</f>
        <v>135726.88091056061</v>
      </c>
      <c r="M19" s="17">
        <f>Table15[[#This Row],[Adjusted %]]*$M$84</f>
        <v>65651.162118951019</v>
      </c>
      <c r="N19" s="17">
        <f>Table15[[#This Row],[Adjusted %]]*$N$84</f>
        <v>65651.162118951019</v>
      </c>
      <c r="O19" s="17">
        <f>Table15[[#This Row],[Adjusted %]]*$O$84</f>
        <v>65651.162118951019</v>
      </c>
      <c r="P19" s="17">
        <f>Table15[[#This Row],[Adjusted %]]*$P$84</f>
        <v>65651.162118951019</v>
      </c>
      <c r="Q19" s="17">
        <f>Table15[[#This Row],[Adjusted %]]*$Q$84</f>
        <v>65651.162118951019</v>
      </c>
      <c r="R19" s="17">
        <f>SUM(Table15[[#This Row],[Payment 1]:[Payment 15]])</f>
        <v>1464501.0662225035</v>
      </c>
    </row>
    <row r="20" spans="1:18" x14ac:dyDescent="0.3">
      <c r="A20" t="s">
        <v>141</v>
      </c>
      <c r="B20">
        <v>0</v>
      </c>
      <c r="C20" s="48">
        <f>Table15[[#This Row],[Adjusted %]]*$C$84</f>
        <v>0</v>
      </c>
      <c r="D20" s="48">
        <f>Table15[[#This Row],[Adjusted %]]*$D$84</f>
        <v>0</v>
      </c>
      <c r="E20" s="17">
        <f>Table15[[#This Row],[Adjusted %]]*$E$84</f>
        <v>0</v>
      </c>
      <c r="F20" s="17">
        <f>Table15[[#This Row],[Adjusted %]]*$F$84</f>
        <v>0</v>
      </c>
      <c r="G20" s="17">
        <f>Table15[[#This Row],[Adjusted %]]*$G$84</f>
        <v>0</v>
      </c>
      <c r="H20" s="17">
        <f>Table15[[#This Row],[Adjusted %]]*$H$84</f>
        <v>0</v>
      </c>
      <c r="I20" s="17">
        <f>Table15[[#This Row],[Adjusted %]]*$I$84</f>
        <v>0</v>
      </c>
      <c r="J20" s="17">
        <f>Table15[[#This Row],[Adjusted %]]*$J$84</f>
        <v>0</v>
      </c>
      <c r="K20" s="17">
        <f>Table15[[#This Row],[Adjusted %]]*$K$84</f>
        <v>0</v>
      </c>
      <c r="L20" s="17">
        <f>Table15[[#This Row],[Adjusted %]]*$L$84</f>
        <v>0</v>
      </c>
      <c r="M20" s="17">
        <f>Table15[[#This Row],[Adjusted %]]*$M$84</f>
        <v>0</v>
      </c>
      <c r="N20" s="17">
        <f>Table15[[#This Row],[Adjusted %]]*$N$84</f>
        <v>0</v>
      </c>
      <c r="O20" s="17">
        <f>Table15[[#This Row],[Adjusted %]]*$O$84</f>
        <v>0</v>
      </c>
      <c r="P20" s="17">
        <f>Table15[[#This Row],[Adjusted %]]*$P$84</f>
        <v>0</v>
      </c>
      <c r="Q20" s="17">
        <f>Table15[[#This Row],[Adjusted %]]*$Q$84</f>
        <v>0</v>
      </c>
      <c r="R20" s="17">
        <f>SUM(Table15[[#This Row],[Payment 1]:[Payment 15]])</f>
        <v>0</v>
      </c>
    </row>
    <row r="21" spans="1:18" x14ac:dyDescent="0.3">
      <c r="A21" t="s">
        <v>219</v>
      </c>
      <c r="B21">
        <v>1.2655466448598492E-2</v>
      </c>
      <c r="C21" s="48">
        <f>Table15[[#This Row],[Adjusted %]]*$C$84</f>
        <v>13757.081244950848</v>
      </c>
      <c r="D21" s="48">
        <f>Table15[[#This Row],[Adjusted %]]*$D$84</f>
        <v>41483.973402002353</v>
      </c>
      <c r="E21" s="17">
        <f>Table15[[#This Row],[Adjusted %]]*$E$84</f>
        <v>28360.397397845398</v>
      </c>
      <c r="F21" s="17">
        <f>Table15[[#This Row],[Adjusted %]]*$F$84</f>
        <v>30775.603364935469</v>
      </c>
      <c r="G21" s="17">
        <f>Table15[[#This Row],[Adjusted %]]*$G$84</f>
        <v>30775.603364935469</v>
      </c>
      <c r="H21" s="17">
        <f>Table15[[#This Row],[Adjusted %]]*$H$84</f>
        <v>39057.565090631644</v>
      </c>
      <c r="I21" s="17">
        <f>Table15[[#This Row],[Adjusted %]]*$I$84</f>
        <v>38069.322193712585</v>
      </c>
      <c r="J21" s="17">
        <f>Table15[[#This Row],[Adjusted %]]*$J$84</f>
        <v>41399.448424810122</v>
      </c>
      <c r="K21" s="17">
        <f>Table15[[#This Row],[Adjusted %]]*$K$84</f>
        <v>41383.764415318088</v>
      </c>
      <c r="L21" s="17">
        <f>Table15[[#This Row],[Adjusted %]]*$L$84</f>
        <v>41383.764450157898</v>
      </c>
      <c r="M21" s="17">
        <f>Table15[[#This Row],[Adjusted %]]*$M$84</f>
        <v>20017.348153753988</v>
      </c>
      <c r="N21" s="17">
        <f>Table15[[#This Row],[Adjusted %]]*$N$84</f>
        <v>20017.348153753988</v>
      </c>
      <c r="O21" s="17">
        <f>Table15[[#This Row],[Adjusted %]]*$O$84</f>
        <v>20017.348153753988</v>
      </c>
      <c r="P21" s="17">
        <f>Table15[[#This Row],[Adjusted %]]*$P$84</f>
        <v>20017.348153753988</v>
      </c>
      <c r="Q21" s="17">
        <f>Table15[[#This Row],[Adjusted %]]*$Q$84</f>
        <v>20017.348153753988</v>
      </c>
      <c r="R21" s="17">
        <f>SUM(Table15[[#This Row],[Payment 1]:[Payment 15]])</f>
        <v>446533.26411806967</v>
      </c>
    </row>
    <row r="22" spans="1:18" x14ac:dyDescent="0.3">
      <c r="A22" t="s">
        <v>142</v>
      </c>
      <c r="B22">
        <v>2.6152043847903653E-2</v>
      </c>
      <c r="C22" s="48">
        <f>Table15[[#This Row],[Adjusted %]]*$C$84</f>
        <v>28428.489253904216</v>
      </c>
      <c r="D22" s="48">
        <f>Table15[[#This Row],[Adjusted %]]*$D$84</f>
        <v>85725.065591286737</v>
      </c>
      <c r="E22" s="17">
        <f>Table15[[#This Row],[Adjusted %]]*$E$84</f>
        <v>58605.691011457093</v>
      </c>
      <c r="F22" s="17">
        <f>Table15[[#This Row],[Adjusted %]]*$F$84</f>
        <v>63596.623001960928</v>
      </c>
      <c r="G22" s="17">
        <f>Table15[[#This Row],[Adjusted %]]*$G$84</f>
        <v>63596.623001960928</v>
      </c>
      <c r="H22" s="17">
        <f>Table15[[#This Row],[Adjusted %]]*$H$84</f>
        <v>80710.984379059912</v>
      </c>
      <c r="I22" s="17">
        <f>Table15[[#This Row],[Adjusted %]]*$I$84</f>
        <v>78668.817725023342</v>
      </c>
      <c r="J22" s="17">
        <f>Table15[[#This Row],[Adjusted %]]*$J$84</f>
        <v>85550.397915563168</v>
      </c>
      <c r="K22" s="17">
        <f>Table15[[#This Row],[Adjusted %]]*$K$84</f>
        <v>85517.987501801457</v>
      </c>
      <c r="L22" s="17">
        <f>Table15[[#This Row],[Adjusted %]]*$L$84</f>
        <v>85517.987573796607</v>
      </c>
      <c r="M22" s="17">
        <f>Table15[[#This Row],[Adjusted %]]*$M$84</f>
        <v>41365.094582799917</v>
      </c>
      <c r="N22" s="17">
        <f>Table15[[#This Row],[Adjusted %]]*$N$84</f>
        <v>41365.094582799917</v>
      </c>
      <c r="O22" s="17">
        <f>Table15[[#This Row],[Adjusted %]]*$O$84</f>
        <v>41365.094582799917</v>
      </c>
      <c r="P22" s="17">
        <f>Table15[[#This Row],[Adjusted %]]*$P$84</f>
        <v>41365.094582799917</v>
      </c>
      <c r="Q22" s="17">
        <f>Table15[[#This Row],[Adjusted %]]*$Q$84</f>
        <v>41365.094582799917</v>
      </c>
      <c r="R22" s="17">
        <f>SUM(Table15[[#This Row],[Payment 1]:[Payment 15]])</f>
        <v>922744.13986981416</v>
      </c>
    </row>
    <row r="23" spans="1:18" x14ac:dyDescent="0.3">
      <c r="A23" t="s">
        <v>143</v>
      </c>
      <c r="B23">
        <v>3.9427141313926189E-2</v>
      </c>
      <c r="C23" s="48">
        <f>Table15[[#This Row],[Adjusted %]]*$C$84</f>
        <v>42859.138263679575</v>
      </c>
      <c r="D23" s="48">
        <f>Table15[[#This Row],[Adjusted %]]*$D$84</f>
        <v>129240.15785803243</v>
      </c>
      <c r="E23" s="17">
        <f>Table15[[#This Row],[Adjusted %]]*$E$84</f>
        <v>88354.656895936438</v>
      </c>
      <c r="F23" s="17">
        <f>Table15[[#This Row],[Adjusted %]]*$F$84</f>
        <v>95879.047036233766</v>
      </c>
      <c r="G23" s="17">
        <f>Table15[[#This Row],[Adjusted %]]*$G$84</f>
        <v>95879.047036233766</v>
      </c>
      <c r="H23" s="17">
        <f>Table15[[#This Row],[Adjusted %]]*$H$84</f>
        <v>121680.86766780064</v>
      </c>
      <c r="I23" s="17">
        <f>Table15[[#This Row],[Adjusted %]]*$I$84</f>
        <v>118602.07223125422</v>
      </c>
      <c r="J23" s="17">
        <f>Table15[[#This Row],[Adjusted %]]*$J$84</f>
        <v>128976.82673279494</v>
      </c>
      <c r="K23" s="17">
        <f>Table15[[#This Row],[Adjusted %]]*$K$84</f>
        <v>128927.96439641858</v>
      </c>
      <c r="L23" s="17">
        <f>Table15[[#This Row],[Adjusted %]]*$L$84</f>
        <v>128927.96450495934</v>
      </c>
      <c r="M23" s="17">
        <f>Table15[[#This Row],[Adjusted %]]*$M$84</f>
        <v>62362.522755968399</v>
      </c>
      <c r="N23" s="17">
        <f>Table15[[#This Row],[Adjusted %]]*$N$84</f>
        <v>62362.522755968399</v>
      </c>
      <c r="O23" s="17">
        <f>Table15[[#This Row],[Adjusted %]]*$O$84</f>
        <v>62362.522755968399</v>
      </c>
      <c r="P23" s="17">
        <f>Table15[[#This Row],[Adjusted %]]*$P$84</f>
        <v>62362.522755968399</v>
      </c>
      <c r="Q23" s="17">
        <f>Table15[[#This Row],[Adjusted %]]*$Q$84</f>
        <v>62362.522755968399</v>
      </c>
      <c r="R23" s="17">
        <f>SUM(Table15[[#This Row],[Payment 1]:[Payment 15]])</f>
        <v>1391140.3564031858</v>
      </c>
    </row>
    <row r="24" spans="1:18" x14ac:dyDescent="0.3">
      <c r="A24" t="s">
        <v>220</v>
      </c>
      <c r="B24">
        <v>1.3474674937241388E-2</v>
      </c>
      <c r="C24" s="48">
        <f>Table15[[#This Row],[Adjusted %]]*$C$84</f>
        <v>14647.599012951552</v>
      </c>
      <c r="D24" s="48">
        <f>Table15[[#This Row],[Adjusted %]]*$D$84</f>
        <v>44169.297035989774</v>
      </c>
      <c r="E24" s="17">
        <f>Table15[[#This Row],[Adjusted %]]*$E$84</f>
        <v>30196.211066505057</v>
      </c>
      <c r="F24" s="17">
        <f>Table15[[#This Row],[Adjusted %]]*$F$84</f>
        <v>32767.757160456298</v>
      </c>
      <c r="G24" s="17">
        <f>Table15[[#This Row],[Adjusted %]]*$G$84</f>
        <v>32767.757160456298</v>
      </c>
      <c r="H24" s="17">
        <f>Table15[[#This Row],[Adjusted %]]*$H$84</f>
        <v>41585.823452180317</v>
      </c>
      <c r="I24" s="17">
        <f>Table15[[#This Row],[Adjusted %]]*$I$84</f>
        <v>40533.61001942322</v>
      </c>
      <c r="J24" s="17">
        <f>Table15[[#This Row],[Adjusted %]]*$J$84</f>
        <v>44079.300622474002</v>
      </c>
      <c r="K24" s="17">
        <f>Table15[[#This Row],[Adjusted %]]*$K$84</f>
        <v>44062.601362081186</v>
      </c>
      <c r="L24" s="17">
        <f>Table15[[#This Row],[Adjusted %]]*$L$84</f>
        <v>44062.601399176223</v>
      </c>
      <c r="M24" s="17">
        <f>Table15[[#This Row],[Adjusted %]]*$M$84</f>
        <v>21313.102964078778</v>
      </c>
      <c r="N24" s="17">
        <f>Table15[[#This Row],[Adjusted %]]*$N$84</f>
        <v>21313.102964078778</v>
      </c>
      <c r="O24" s="17">
        <f>Table15[[#This Row],[Adjusted %]]*$O$84</f>
        <v>21313.102964078778</v>
      </c>
      <c r="P24" s="17">
        <f>Table15[[#This Row],[Adjusted %]]*$P$84</f>
        <v>21313.102964078778</v>
      </c>
      <c r="Q24" s="17">
        <f>Table15[[#This Row],[Adjusted %]]*$Q$84</f>
        <v>21313.102964078778</v>
      </c>
      <c r="R24" s="17">
        <f>SUM(Table15[[#This Row],[Payment 1]:[Payment 15]])</f>
        <v>475438.07311208779</v>
      </c>
    </row>
    <row r="25" spans="1:18" x14ac:dyDescent="0.3">
      <c r="A25" t="s">
        <v>144</v>
      </c>
      <c r="B25">
        <v>3.2589541327809404E-2</v>
      </c>
      <c r="C25" s="48">
        <f>Table15[[#This Row],[Adjusted %]]*$C$84</f>
        <v>35426.348732646489</v>
      </c>
      <c r="D25" s="48">
        <f>Table15[[#This Row],[Adjusted %]]*$D$84</f>
        <v>106826.8539225609</v>
      </c>
      <c r="E25" s="17">
        <f>Table15[[#This Row],[Adjusted %]]*$E$84</f>
        <v>73031.867045290579</v>
      </c>
      <c r="F25" s="17">
        <f>Table15[[#This Row],[Adjusted %]]*$F$84</f>
        <v>79251.34974862235</v>
      </c>
      <c r="G25" s="17">
        <f>Table15[[#This Row],[Adjusted %]]*$G$84</f>
        <v>79251.34974862235</v>
      </c>
      <c r="H25" s="17">
        <f>Table15[[#This Row],[Adjusted %]]*$H$84</f>
        <v>100578.52366442862</v>
      </c>
      <c r="I25" s="17">
        <f>Table15[[#This Row],[Adjusted %]]*$I$84</f>
        <v>98033.664266170366</v>
      </c>
      <c r="J25" s="17">
        <f>Table15[[#This Row],[Adjusted %]]*$J$84</f>
        <v>106609.19065043841</v>
      </c>
      <c r="K25" s="17">
        <f>Table15[[#This Row],[Adjusted %]]*$K$84</f>
        <v>106568.80220030878</v>
      </c>
      <c r="L25" s="17">
        <f>Table15[[#This Row],[Adjusted %]]*$L$84</f>
        <v>106568.80229002601</v>
      </c>
      <c r="M25" s="17">
        <f>Table15[[#This Row],[Adjusted %]]*$M$84</f>
        <v>51547.384490293443</v>
      </c>
      <c r="N25" s="17">
        <f>Table15[[#This Row],[Adjusted %]]*$N$84</f>
        <v>51547.384490293443</v>
      </c>
      <c r="O25" s="17">
        <f>Table15[[#This Row],[Adjusted %]]*$O$84</f>
        <v>51547.384490293443</v>
      </c>
      <c r="P25" s="17">
        <f>Table15[[#This Row],[Adjusted %]]*$P$84</f>
        <v>51547.384490293443</v>
      </c>
      <c r="Q25" s="17">
        <f>Table15[[#This Row],[Adjusted %]]*$Q$84</f>
        <v>51547.384490293443</v>
      </c>
      <c r="R25" s="17">
        <f>SUM(Table15[[#This Row],[Payment 1]:[Payment 15]])</f>
        <v>1149883.6747205821</v>
      </c>
    </row>
    <row r="26" spans="1:18" x14ac:dyDescent="0.3">
      <c r="A26" t="s">
        <v>145</v>
      </c>
      <c r="B26">
        <v>6.2390815152689461E-3</v>
      </c>
      <c r="C26" s="48">
        <f>Table15[[#This Row],[Adjusted %]]*$C$84</f>
        <v>6782.1720872983869</v>
      </c>
      <c r="D26" s="48">
        <f>Table15[[#This Row],[Adjusted %]]*$D$84</f>
        <v>20451.390921351955</v>
      </c>
      <c r="E26" s="17">
        <f>Table15[[#This Row],[Adjusted %]]*$E$84</f>
        <v>13981.533741901228</v>
      </c>
      <c r="F26" s="17">
        <f>Table15[[#This Row],[Adjusted %]]*$F$84</f>
        <v>15172.218175860413</v>
      </c>
      <c r="G26" s="17">
        <f>Table15[[#This Row],[Adjusted %]]*$G$84</f>
        <v>15172.218175860413</v>
      </c>
      <c r="H26" s="17">
        <f>Table15[[#This Row],[Adjusted %]]*$H$84</f>
        <v>19255.183787821574</v>
      </c>
      <c r="I26" s="17">
        <f>Table15[[#This Row],[Adjusted %]]*$I$84</f>
        <v>18767.98499386117</v>
      </c>
      <c r="J26" s="17">
        <f>Table15[[#This Row],[Adjusted %]]*$J$84</f>
        <v>20409.7205313335</v>
      </c>
      <c r="K26" s="17">
        <f>Table15[[#This Row],[Adjusted %]]*$K$84</f>
        <v>20401.988393280393</v>
      </c>
      <c r="L26" s="17">
        <f>Table15[[#This Row],[Adjusted %]]*$L$84</f>
        <v>20401.988410456244</v>
      </c>
      <c r="M26" s="17">
        <f>Table15[[#This Row],[Adjusted %]]*$M$84</f>
        <v>9868.4522896127783</v>
      </c>
      <c r="N26" s="17">
        <f>Table15[[#This Row],[Adjusted %]]*$N$84</f>
        <v>9868.4522896127783</v>
      </c>
      <c r="O26" s="17">
        <f>Table15[[#This Row],[Adjusted %]]*$O$84</f>
        <v>9868.4522896127783</v>
      </c>
      <c r="P26" s="17">
        <f>Table15[[#This Row],[Adjusted %]]*$P$84</f>
        <v>9868.4522896127783</v>
      </c>
      <c r="Q26" s="17">
        <f>Table15[[#This Row],[Adjusted %]]*$Q$84</f>
        <v>9868.4522896127783</v>
      </c>
      <c r="R26" s="17">
        <f>SUM(Table15[[#This Row],[Payment 1]:[Payment 15]])</f>
        <v>220138.66066708925</v>
      </c>
    </row>
    <row r="27" spans="1:18" x14ac:dyDescent="0.3">
      <c r="A27" t="s">
        <v>146</v>
      </c>
      <c r="B27">
        <v>2.4060007399784249E-2</v>
      </c>
      <c r="C27" s="48">
        <f>Table15[[#This Row],[Adjusted %]]*$C$84</f>
        <v>26154.348233415454</v>
      </c>
      <c r="D27" s="48">
        <f>Table15[[#This Row],[Adjusted %]]*$D$84</f>
        <v>78867.476839240713</v>
      </c>
      <c r="E27" s="17">
        <f>Table15[[#This Row],[Adjusted %]]*$E$84</f>
        <v>53917.520466307906</v>
      </c>
      <c r="F27" s="17">
        <f>Table15[[#This Row],[Adjusted %]]*$F$84</f>
        <v>58509.202146016003</v>
      </c>
      <c r="G27" s="17">
        <f>Table15[[#This Row],[Adjusted %]]*$G$84</f>
        <v>58509.202146016003</v>
      </c>
      <c r="H27" s="17">
        <f>Table15[[#This Row],[Adjusted %]]*$H$84</f>
        <v>74254.497763076972</v>
      </c>
      <c r="I27" s="17">
        <f>Table15[[#This Row],[Adjusted %]]*$I$84</f>
        <v>72375.694519496014</v>
      </c>
      <c r="J27" s="17">
        <f>Table15[[#This Row],[Adjusted %]]*$J$84</f>
        <v>78706.781728952075</v>
      </c>
      <c r="K27" s="17">
        <f>Table15[[#This Row],[Adjusted %]]*$K$84</f>
        <v>78676.963990825301</v>
      </c>
      <c r="L27" s="17">
        <f>Table15[[#This Row],[Adjusted %]]*$L$84</f>
        <v>78676.964057061181</v>
      </c>
      <c r="M27" s="17">
        <f>Table15[[#This Row],[Adjusted %]]*$M$84</f>
        <v>38056.087988500374</v>
      </c>
      <c r="N27" s="17">
        <f>Table15[[#This Row],[Adjusted %]]*$N$84</f>
        <v>38056.087988500374</v>
      </c>
      <c r="O27" s="17">
        <f>Table15[[#This Row],[Adjusted %]]*$O$84</f>
        <v>38056.087988500374</v>
      </c>
      <c r="P27" s="17">
        <f>Table15[[#This Row],[Adjusted %]]*$P$84</f>
        <v>38056.087988500374</v>
      </c>
      <c r="Q27" s="17">
        <f>Table15[[#This Row],[Adjusted %]]*$Q$84</f>
        <v>38056.087988500374</v>
      </c>
      <c r="R27" s="17">
        <f>SUM(Table15[[#This Row],[Payment 1]:[Payment 15]])</f>
        <v>848929.09183290938</v>
      </c>
    </row>
    <row r="28" spans="1:18" x14ac:dyDescent="0.3">
      <c r="A28" t="s">
        <v>147</v>
      </c>
      <c r="B28">
        <v>3.51762122630256E-2</v>
      </c>
      <c r="C28" s="48">
        <f>Table15[[#This Row],[Adjusted %]]*$C$84</f>
        <v>38238.180469884668</v>
      </c>
      <c r="D28" s="48">
        <f>Table15[[#This Row],[Adjusted %]]*$D$84</f>
        <v>115305.8292896146</v>
      </c>
      <c r="E28" s="17">
        <f>Table15[[#This Row],[Adjusted %]]*$E$84</f>
        <v>78828.493819826559</v>
      </c>
      <c r="F28" s="17">
        <f>Table15[[#This Row],[Adjusted %]]*$F$84</f>
        <v>85541.624315834066</v>
      </c>
      <c r="G28" s="17">
        <f>Table15[[#This Row],[Adjusted %]]*$G$84</f>
        <v>85541.624315834066</v>
      </c>
      <c r="H28" s="17">
        <f>Table15[[#This Row],[Adjusted %]]*$H$84</f>
        <v>108561.56157382467</v>
      </c>
      <c r="I28" s="17">
        <f>Table15[[#This Row],[Adjusted %]]*$I$84</f>
        <v>105814.71363656022</v>
      </c>
      <c r="J28" s="17">
        <f>Table15[[#This Row],[Adjusted %]]*$J$84</f>
        <v>115070.88982283813</v>
      </c>
      <c r="K28" s="17">
        <f>Table15[[#This Row],[Adjusted %]]*$K$84</f>
        <v>115027.29569303914</v>
      </c>
      <c r="L28" s="17">
        <f>Table15[[#This Row],[Adjusted %]]*$L$84</f>
        <v>115027.29578987732</v>
      </c>
      <c r="M28" s="17">
        <f>Table15[[#This Row],[Adjusted %]]*$M$84</f>
        <v>55638.762147507579</v>
      </c>
      <c r="N28" s="17">
        <f>Table15[[#This Row],[Adjusted %]]*$N$84</f>
        <v>55638.762147507579</v>
      </c>
      <c r="O28" s="17">
        <f>Table15[[#This Row],[Adjusted %]]*$O$84</f>
        <v>55638.762147507579</v>
      </c>
      <c r="P28" s="17">
        <f>Table15[[#This Row],[Adjusted %]]*$P$84</f>
        <v>55638.762147507579</v>
      </c>
      <c r="Q28" s="17">
        <f>Table15[[#This Row],[Adjusted %]]*$Q$84</f>
        <v>55638.762147507579</v>
      </c>
      <c r="R28" s="17">
        <f>SUM(Table15[[#This Row],[Payment 1]:[Payment 15]])</f>
        <v>1241151.3194646714</v>
      </c>
    </row>
    <row r="29" spans="1:18" x14ac:dyDescent="0.3">
      <c r="A29" t="s">
        <v>148</v>
      </c>
      <c r="B29">
        <v>5.1558829009968827E-3</v>
      </c>
      <c r="C29" s="48">
        <f>Table15[[#This Row],[Adjusted %]]*$C$84</f>
        <v>5604.6847618423417</v>
      </c>
      <c r="D29" s="48">
        <f>Table15[[#This Row],[Adjusted %]]*$D$84</f>
        <v>16900.721122964213</v>
      </c>
      <c r="E29" s="17">
        <f>Table15[[#This Row],[Adjusted %]]*$E$84</f>
        <v>11554.128692366039</v>
      </c>
      <c r="F29" s="17">
        <f>Table15[[#This Row],[Adjusted %]]*$F$84</f>
        <v>12538.092357291591</v>
      </c>
      <c r="G29" s="17">
        <f>Table15[[#This Row],[Adjusted %]]*$G$84</f>
        <v>12538.092357291591</v>
      </c>
      <c r="H29" s="17">
        <f>Table15[[#This Row],[Adjusted %]]*$H$84</f>
        <v>15912.193582375743</v>
      </c>
      <c r="I29" s="17">
        <f>Table15[[#This Row],[Adjusted %]]*$I$84</f>
        <v>15509.57984427675</v>
      </c>
      <c r="J29" s="17">
        <f>Table15[[#This Row],[Adjusted %]]*$J$84</f>
        <v>16866.28534089465</v>
      </c>
      <c r="K29" s="17">
        <f>Table15[[#This Row],[Adjusted %]]*$K$84</f>
        <v>16859.89561858078</v>
      </c>
      <c r="L29" s="17">
        <f>Table15[[#This Row],[Adjusted %]]*$L$84</f>
        <v>16859.895632774645</v>
      </c>
      <c r="M29" s="17">
        <f>Table15[[#This Row],[Adjusted %]]*$M$84</f>
        <v>8155.1401908754779</v>
      </c>
      <c r="N29" s="17">
        <f>Table15[[#This Row],[Adjusted %]]*$N$84</f>
        <v>8155.1401908754779</v>
      </c>
      <c r="O29" s="17">
        <f>Table15[[#This Row],[Adjusted %]]*$O$84</f>
        <v>8155.1401908754779</v>
      </c>
      <c r="P29" s="17">
        <f>Table15[[#This Row],[Adjusted %]]*$P$84</f>
        <v>8155.1401908754779</v>
      </c>
      <c r="Q29" s="17">
        <f>Table15[[#This Row],[Adjusted %]]*$Q$84</f>
        <v>8155.1401908754779</v>
      </c>
      <c r="R29" s="17">
        <f>SUM(Table15[[#This Row],[Payment 1]:[Payment 15]])</f>
        <v>181919.27026503574</v>
      </c>
    </row>
    <row r="30" spans="1:18" x14ac:dyDescent="0.3">
      <c r="A30" t="s">
        <v>221</v>
      </c>
      <c r="B30">
        <v>6.376803589261017E-3</v>
      </c>
      <c r="C30" s="48">
        <f>Table15[[#This Row],[Adjusted %]]*$C$84</f>
        <v>6931.8823938151309</v>
      </c>
      <c r="D30" s="48">
        <f>Table15[[#This Row],[Adjusted %]]*$D$84</f>
        <v>20902.836854029403</v>
      </c>
      <c r="E30" s="17">
        <f>Table15[[#This Row],[Adjusted %]]*$E$84</f>
        <v>14290.163436803005</v>
      </c>
      <c r="F30" s="17">
        <f>Table15[[#This Row],[Adjusted %]]*$F$84</f>
        <v>15507.13115129212</v>
      </c>
      <c r="G30" s="17">
        <f>Table15[[#This Row],[Adjusted %]]*$G$84</f>
        <v>15507.13115129212</v>
      </c>
      <c r="H30" s="17">
        <f>Table15[[#This Row],[Adjusted %]]*$H$84</f>
        <v>19680.224531377717</v>
      </c>
      <c r="I30" s="17">
        <f>Table15[[#This Row],[Adjusted %]]*$I$84</f>
        <v>19182.271265274827</v>
      </c>
      <c r="J30" s="17">
        <f>Table15[[#This Row],[Adjusted %]]*$J$84</f>
        <v>20860.246627890301</v>
      </c>
      <c r="K30" s="17">
        <f>Table15[[#This Row],[Adjusted %]]*$K$84</f>
        <v>20852.343809892322</v>
      </c>
      <c r="L30" s="17">
        <f>Table15[[#This Row],[Adjusted %]]*$L$84</f>
        <v>20852.343827447312</v>
      </c>
      <c r="M30" s="17">
        <f>Table15[[#This Row],[Adjusted %]]*$M$84</f>
        <v>10086.289436489467</v>
      </c>
      <c r="N30" s="17">
        <f>Table15[[#This Row],[Adjusted %]]*$N$84</f>
        <v>10086.289436489467</v>
      </c>
      <c r="O30" s="17">
        <f>Table15[[#This Row],[Adjusted %]]*$O$84</f>
        <v>10086.289436489467</v>
      </c>
      <c r="P30" s="17">
        <f>Table15[[#This Row],[Adjusted %]]*$P$84</f>
        <v>10086.289436489467</v>
      </c>
      <c r="Q30" s="17">
        <f>Table15[[#This Row],[Adjusted %]]*$Q$84</f>
        <v>10086.289436489467</v>
      </c>
      <c r="R30" s="17">
        <f>SUM(Table15[[#This Row],[Payment 1]:[Payment 15]])</f>
        <v>224998.02223156157</v>
      </c>
    </row>
    <row r="31" spans="1:18" x14ac:dyDescent="0.3">
      <c r="A31" t="s">
        <v>149</v>
      </c>
      <c r="B31">
        <v>2.6264260695870859E-2</v>
      </c>
      <c r="C31" s="48">
        <f>Table15[[#This Row],[Adjusted %]]*$C$84</f>
        <v>28550.474192255351</v>
      </c>
      <c r="D31" s="48">
        <f>Table15[[#This Row],[Adjusted %]]*$D$84</f>
        <v>86092.906694199512</v>
      </c>
      <c r="E31" s="17">
        <f>Table15[[#This Row],[Adjusted %]]*$E$84</f>
        <v>58857.164508385053</v>
      </c>
      <c r="F31" s="17">
        <f>Table15[[#This Row],[Adjusted %]]*$F$84</f>
        <v>63869.512288019949</v>
      </c>
      <c r="G31" s="17">
        <f>Table15[[#This Row],[Adjusted %]]*$G$84</f>
        <v>63869.512288019949</v>
      </c>
      <c r="H31" s="17">
        <f>Table15[[#This Row],[Adjusted %]]*$H$84</f>
        <v>81057.310360922886</v>
      </c>
      <c r="I31" s="17">
        <f>Table15[[#This Row],[Adjusted %]]*$I$84</f>
        <v>79006.380892542889</v>
      </c>
      <c r="J31" s="17">
        <f>Table15[[#This Row],[Adjusted %]]*$J$84</f>
        <v>85917.489529979925</v>
      </c>
      <c r="K31" s="17">
        <f>Table15[[#This Row],[Adjusted %]]*$K$84</f>
        <v>85884.940045081181</v>
      </c>
      <c r="L31" s="17">
        <f>Table15[[#This Row],[Adjusted %]]*$L$84</f>
        <v>85884.940117385253</v>
      </c>
      <c r="M31" s="17">
        <f>Table15[[#This Row],[Adjusted %]]*$M$84</f>
        <v>41542.589716906587</v>
      </c>
      <c r="N31" s="17">
        <f>Table15[[#This Row],[Adjusted %]]*$N$84</f>
        <v>41542.589716906587</v>
      </c>
      <c r="O31" s="17">
        <f>Table15[[#This Row],[Adjusted %]]*$O$84</f>
        <v>41542.589716906587</v>
      </c>
      <c r="P31" s="17">
        <f>Table15[[#This Row],[Adjusted %]]*$P$84</f>
        <v>41542.589716906587</v>
      </c>
      <c r="Q31" s="17">
        <f>Table15[[#This Row],[Adjusted %]]*$Q$84</f>
        <v>41542.589716906587</v>
      </c>
      <c r="R31" s="17">
        <f>SUM(Table15[[#This Row],[Payment 1]:[Payment 15]])</f>
        <v>926703.57950132468</v>
      </c>
    </row>
    <row r="32" spans="1:18" x14ac:dyDescent="0.3">
      <c r="A32" t="s">
        <v>150</v>
      </c>
      <c r="B32">
        <v>2.4723863802197009E-2</v>
      </c>
      <c r="C32" s="48">
        <f>Table15[[#This Row],[Adjusted %]]*$C$84</f>
        <v>26875.991050775578</v>
      </c>
      <c r="D32" s="48">
        <f>Table15[[#This Row],[Adjusted %]]*$D$84</f>
        <v>81043.564259826439</v>
      </c>
      <c r="E32" s="17">
        <f>Table15[[#This Row],[Adjusted %]]*$E$84</f>
        <v>55405.196283236393</v>
      </c>
      <c r="F32" s="17">
        <f>Table15[[#This Row],[Adjusted %]]*$F$84</f>
        <v>60123.570246544659</v>
      </c>
      <c r="G32" s="17">
        <f>Table15[[#This Row],[Adjusted %]]*$G$84</f>
        <v>60123.570246544659</v>
      </c>
      <c r="H32" s="17">
        <f>Table15[[#This Row],[Adjusted %]]*$H$84</f>
        <v>76303.30526878059</v>
      </c>
      <c r="I32" s="17">
        <f>Table15[[#This Row],[Adjusted %]]*$I$84</f>
        <v>74372.662657846144</v>
      </c>
      <c r="J32" s="17">
        <f>Table15[[#This Row],[Adjusted %]]*$J$84</f>
        <v>80878.435298956261</v>
      </c>
      <c r="K32" s="17">
        <f>Table15[[#This Row],[Adjusted %]]*$K$84</f>
        <v>80847.794838873</v>
      </c>
      <c r="L32" s="17">
        <f>Table15[[#This Row],[Adjusted %]]*$L$84</f>
        <v>80847.79490693644</v>
      </c>
      <c r="M32" s="17">
        <f>Table15[[#This Row],[Adjusted %]]*$M$84</f>
        <v>39106.119987334081</v>
      </c>
      <c r="N32" s="17">
        <f>Table15[[#This Row],[Adjusted %]]*$N$84</f>
        <v>39106.119987334081</v>
      </c>
      <c r="O32" s="17">
        <f>Table15[[#This Row],[Adjusted %]]*$O$84</f>
        <v>39106.119987334081</v>
      </c>
      <c r="P32" s="17">
        <f>Table15[[#This Row],[Adjusted %]]*$P$84</f>
        <v>39106.119987334081</v>
      </c>
      <c r="Q32" s="17">
        <f>Table15[[#This Row],[Adjusted %]]*$Q$84</f>
        <v>39106.119987334081</v>
      </c>
      <c r="R32" s="17">
        <f>SUM(Table15[[#This Row],[Payment 1]:[Payment 15]])</f>
        <v>872352.48499499075</v>
      </c>
    </row>
    <row r="33" spans="1:18" x14ac:dyDescent="0.3">
      <c r="A33" t="s">
        <v>151</v>
      </c>
      <c r="B33">
        <v>0</v>
      </c>
      <c r="C33" s="48">
        <f>Table15[[#This Row],[Adjusted %]]*$C$84</f>
        <v>0</v>
      </c>
      <c r="D33" s="48">
        <f>Table15[[#This Row],[Adjusted %]]*$D$84</f>
        <v>0</v>
      </c>
      <c r="E33" s="17">
        <f>Table15[[#This Row],[Adjusted %]]*$E$84</f>
        <v>0</v>
      </c>
      <c r="F33" s="17">
        <f>Table15[[#This Row],[Adjusted %]]*$F$84</f>
        <v>0</v>
      </c>
      <c r="G33" s="17">
        <f>Table15[[#This Row],[Adjusted %]]*$G$84</f>
        <v>0</v>
      </c>
      <c r="H33" s="17">
        <f>Table15[[#This Row],[Adjusted %]]*$H$84</f>
        <v>0</v>
      </c>
      <c r="I33" s="17">
        <f>Table15[[#This Row],[Adjusted %]]*$I$84</f>
        <v>0</v>
      </c>
      <c r="J33" s="17">
        <f>Table15[[#This Row],[Adjusted %]]*$J$84</f>
        <v>0</v>
      </c>
      <c r="K33" s="17">
        <f>Table15[[#This Row],[Adjusted %]]*$K$84</f>
        <v>0</v>
      </c>
      <c r="L33" s="17">
        <f>Table15[[#This Row],[Adjusted %]]*$L$84</f>
        <v>0</v>
      </c>
      <c r="M33" s="17">
        <f>Table15[[#This Row],[Adjusted %]]*$M$84</f>
        <v>0</v>
      </c>
      <c r="N33" s="17">
        <f>Table15[[#This Row],[Adjusted %]]*$N$84</f>
        <v>0</v>
      </c>
      <c r="O33" s="17">
        <f>Table15[[#This Row],[Adjusted %]]*$O$84</f>
        <v>0</v>
      </c>
      <c r="P33" s="17">
        <f>Table15[[#This Row],[Adjusted %]]*$P$84</f>
        <v>0</v>
      </c>
      <c r="Q33" s="17">
        <f>Table15[[#This Row],[Adjusted %]]*$Q$84</f>
        <v>0</v>
      </c>
      <c r="R33" s="17">
        <f>SUM(Table15[[#This Row],[Payment 1]:[Payment 15]])</f>
        <v>0</v>
      </c>
    </row>
    <row r="34" spans="1:18" x14ac:dyDescent="0.3">
      <c r="A34" t="s">
        <v>152</v>
      </c>
      <c r="B34">
        <v>2.5766830968202328E-2</v>
      </c>
      <c r="C34" s="48">
        <f>Table15[[#This Row],[Adjusted %]]*$C$84</f>
        <v>28009.744918863173</v>
      </c>
      <c r="D34" s="48">
        <f>Table15[[#This Row],[Adjusted %]]*$D$84</f>
        <v>84462.357423196401</v>
      </c>
      <c r="E34" s="17">
        <f>Table15[[#This Row],[Adjusted %]]*$E$84</f>
        <v>57742.444255956601</v>
      </c>
      <c r="F34" s="17">
        <f>Table15[[#This Row],[Adjusted %]]*$F$84</f>
        <v>62659.861101883711</v>
      </c>
      <c r="G34" s="17">
        <f>Table15[[#This Row],[Adjusted %]]*$G$84</f>
        <v>62659.861101883711</v>
      </c>
      <c r="H34" s="17">
        <f>Table15[[#This Row],[Adjusted %]]*$H$84</f>
        <v>79522.132337628413</v>
      </c>
      <c r="I34" s="17">
        <f>Table15[[#This Row],[Adjusted %]]*$I$84</f>
        <v>77510.046273170476</v>
      </c>
      <c r="J34" s="17">
        <f>Table15[[#This Row],[Adjusted %]]*$J$84</f>
        <v>84290.26255741257</v>
      </c>
      <c r="K34" s="17">
        <f>Table15[[#This Row],[Adjusted %]]*$K$84</f>
        <v>84258.329540709761</v>
      </c>
      <c r="L34" s="17">
        <f>Table15[[#This Row],[Adjusted %]]*$L$84</f>
        <v>84258.32961164444</v>
      </c>
      <c r="M34" s="17">
        <f>Table15[[#This Row],[Adjusted %]]*$M$84</f>
        <v>40755.797378496121</v>
      </c>
      <c r="N34" s="17">
        <f>Table15[[#This Row],[Adjusted %]]*$N$84</f>
        <v>40755.797378496121</v>
      </c>
      <c r="O34" s="17">
        <f>Table15[[#This Row],[Adjusted %]]*$O$84</f>
        <v>40755.797378496121</v>
      </c>
      <c r="P34" s="17">
        <f>Table15[[#This Row],[Adjusted %]]*$P$84</f>
        <v>40755.797378496121</v>
      </c>
      <c r="Q34" s="17">
        <f>Table15[[#This Row],[Adjusted %]]*$Q$84</f>
        <v>40755.797378496121</v>
      </c>
      <c r="R34" s="17">
        <f>SUM(Table15[[#This Row],[Payment 1]:[Payment 15]])</f>
        <v>909152.35601482994</v>
      </c>
    </row>
    <row r="35" spans="1:18" x14ac:dyDescent="0.3">
      <c r="A35" t="s">
        <v>153</v>
      </c>
      <c r="B35">
        <v>4.8765381278234217E-3</v>
      </c>
      <c r="C35" s="17">
        <f>Table15[[#This Row],[Adjusted %]]*$C$84</f>
        <v>5301.023987622103</v>
      </c>
      <c r="D35" s="17">
        <f>Table15[[#This Row],[Adjusted %]]*$D$84</f>
        <v>15985.043207228473</v>
      </c>
      <c r="E35" s="17">
        <f>Table15[[#This Row],[Adjusted %]]*$E$84</f>
        <v>10928.128156519517</v>
      </c>
      <c r="F35" s="17">
        <f>Table15[[#This Row],[Adjusted %]]*$F$84</f>
        <v>11858.780853747101</v>
      </c>
      <c r="G35" s="17">
        <f>Table15[[#This Row],[Adjusted %]]*$G$84</f>
        <v>11858.780853747101</v>
      </c>
      <c r="H35" s="17">
        <f>Table15[[#This Row],[Adjusted %]]*$H$84</f>
        <v>15050.073904269491</v>
      </c>
      <c r="I35" s="17">
        <f>Table15[[#This Row],[Adjusted %]]*$I$84</f>
        <v>14669.273703348397</v>
      </c>
      <c r="J35" s="17">
        <f>Table15[[#This Row],[Adjusted %]]*$J$84</f>
        <v>15952.47314940362</v>
      </c>
      <c r="K35" s="17">
        <f>Table15[[#This Row],[Adjusted %]]*$K$84</f>
        <v>15946.429621052004</v>
      </c>
      <c r="L35" s="17">
        <f>Table15[[#This Row],[Adjusted %]]*$L$84</f>
        <v>15946.429634476846</v>
      </c>
      <c r="M35" s="17">
        <f>Table15[[#This Row],[Adjusted %]]*$M$84</f>
        <v>7713.2962175809298</v>
      </c>
      <c r="N35" s="17">
        <f>Table15[[#This Row],[Adjusted %]]*$N$84</f>
        <v>7713.2962175809298</v>
      </c>
      <c r="O35" s="17">
        <f>Table15[[#This Row],[Adjusted %]]*$O$84</f>
        <v>7713.2962175809298</v>
      </c>
      <c r="P35" s="17">
        <f>Table15[[#This Row],[Adjusted %]]*$P$84</f>
        <v>7713.2962175809298</v>
      </c>
      <c r="Q35" s="17">
        <f>Table15[[#This Row],[Adjusted %]]*$Q$84</f>
        <v>7713.2962175809298</v>
      </c>
      <c r="R35" s="17">
        <f>SUM(Table15[[#This Row],[Payment 1]:[Payment 15]])</f>
        <v>172062.91815931932</v>
      </c>
    </row>
    <row r="36" spans="1:18" x14ac:dyDescent="0.3">
      <c r="A36" t="s">
        <v>154</v>
      </c>
      <c r="B36">
        <v>1.689883461231089E-3</v>
      </c>
      <c r="C36" s="17">
        <f>Table15[[#This Row],[Adjusted %]]*$C$84</f>
        <v>1836.9820002351146</v>
      </c>
      <c r="D36" s="17">
        <f>Table15[[#This Row],[Adjusted %]]*$D$84</f>
        <v>5539.3517767934673</v>
      </c>
      <c r="E36" s="17">
        <f>Table15[[#This Row],[Adjusted %]]*$E$84</f>
        <v>3786.961682622738</v>
      </c>
      <c r="F36" s="17">
        <f>Table15[[#This Row],[Adjusted %]]*$F$84</f>
        <v>4109.463949594031</v>
      </c>
      <c r="G36" s="17">
        <f>Table15[[#This Row],[Adjusted %]]*$G$84</f>
        <v>4109.463949594031</v>
      </c>
      <c r="H36" s="17">
        <f>Table15[[#This Row],[Adjusted %]]*$H$84</f>
        <v>5215.3536616522351</v>
      </c>
      <c r="I36" s="17">
        <f>Table15[[#This Row],[Adjusted %]]*$I$84</f>
        <v>5083.3936636572535</v>
      </c>
      <c r="J36" s="17">
        <f>Table15[[#This Row],[Adjusted %]]*$J$84</f>
        <v>5528.065163091931</v>
      </c>
      <c r="K36" s="17">
        <f>Table15[[#This Row],[Adjusted %]]*$K$84</f>
        <v>5525.9708785111116</v>
      </c>
      <c r="L36" s="17">
        <f>Table15[[#This Row],[Adjusted %]]*$L$84</f>
        <v>5525.9708831632679</v>
      </c>
      <c r="M36" s="17">
        <f>Table15[[#This Row],[Adjusted %]]*$M$84</f>
        <v>2672.9149589329954</v>
      </c>
      <c r="N36" s="17">
        <f>Table15[[#This Row],[Adjusted %]]*$N$84</f>
        <v>2672.9149589329954</v>
      </c>
      <c r="O36" s="17">
        <f>Table15[[#This Row],[Adjusted %]]*$O$84</f>
        <v>2672.9149589329954</v>
      </c>
      <c r="P36" s="17">
        <f>Table15[[#This Row],[Adjusted %]]*$P$84</f>
        <v>2672.9149589329954</v>
      </c>
      <c r="Q36" s="17">
        <f>Table15[[#This Row],[Adjusted %]]*$Q$84</f>
        <v>2672.9149589329954</v>
      </c>
      <c r="R36" s="17">
        <f>SUM(Table15[[#This Row],[Payment 1]:[Payment 15]])</f>
        <v>59625.552403580172</v>
      </c>
    </row>
    <row r="37" spans="1:18" x14ac:dyDescent="0.3">
      <c r="A37" t="s">
        <v>155</v>
      </c>
      <c r="B37">
        <v>1.9491116644861282E-2</v>
      </c>
      <c r="C37" s="17">
        <f>Table15[[#This Row],[Adjusted %]]*$C$84</f>
        <v>21187.751263634003</v>
      </c>
      <c r="D37" s="17">
        <f>Table15[[#This Row],[Adjusted %]]*$D$84</f>
        <v>63890.886025800675</v>
      </c>
      <c r="E37" s="17">
        <f>Table15[[#This Row],[Adjusted %]]*$E$84</f>
        <v>43678.817846910824</v>
      </c>
      <c r="F37" s="17">
        <f>Table15[[#This Row],[Adjusted %]]*$F$84</f>
        <v>47398.559147408749</v>
      </c>
      <c r="G37" s="17">
        <f>Table15[[#This Row],[Adjusted %]]*$G$84</f>
        <v>47398.559147408749</v>
      </c>
      <c r="H37" s="17">
        <f>Table15[[#This Row],[Adjusted %]]*$H$84</f>
        <v>60153.89161179986</v>
      </c>
      <c r="I37" s="17">
        <f>Table15[[#This Row],[Adjusted %]]*$I$84</f>
        <v>58631.864932219178</v>
      </c>
      <c r="J37" s="17">
        <f>Table15[[#This Row],[Adjusted %]]*$J$84</f>
        <v>63760.706218003827</v>
      </c>
      <c r="K37" s="17">
        <f>Table15[[#This Row],[Adjusted %]]*$K$84</f>
        <v>63736.550738653466</v>
      </c>
      <c r="L37" s="17">
        <f>Table15[[#This Row],[Adjusted %]]*$L$84</f>
        <v>63736.550792311442</v>
      </c>
      <c r="M37" s="17">
        <f>Table15[[#This Row],[Adjusted %]]*$M$84</f>
        <v>30829.402406485402</v>
      </c>
      <c r="N37" s="17">
        <f>Table15[[#This Row],[Adjusted %]]*$N$84</f>
        <v>30829.402406485402</v>
      </c>
      <c r="O37" s="17">
        <f>Table15[[#This Row],[Adjusted %]]*$O$84</f>
        <v>30829.402406485402</v>
      </c>
      <c r="P37" s="17">
        <f>Table15[[#This Row],[Adjusted %]]*$P$84</f>
        <v>30829.402406485402</v>
      </c>
      <c r="Q37" s="17">
        <f>Table15[[#This Row],[Adjusted %]]*$Q$84</f>
        <v>30829.402406485402</v>
      </c>
      <c r="R37" s="17">
        <f>SUM(Table15[[#This Row],[Payment 1]:[Payment 15]])</f>
        <v>687721.1497565778</v>
      </c>
    </row>
    <row r="38" spans="1:18" x14ac:dyDescent="0.3">
      <c r="A38" t="s">
        <v>156</v>
      </c>
      <c r="B38">
        <v>1.689883461231089E-3</v>
      </c>
      <c r="C38" s="17">
        <f>Table15[[#This Row],[Adjusted %]]*$C$84</f>
        <v>1836.9820002351146</v>
      </c>
      <c r="D38" s="17">
        <f>Table15[[#This Row],[Adjusted %]]*$D$84</f>
        <v>5539.3517767934673</v>
      </c>
      <c r="E38" s="17">
        <f>Table15[[#This Row],[Adjusted %]]*$E$84</f>
        <v>3786.961682622738</v>
      </c>
      <c r="F38" s="17">
        <f>Table15[[#This Row],[Adjusted %]]*$F$84</f>
        <v>4109.463949594031</v>
      </c>
      <c r="G38" s="17">
        <f>Table15[[#This Row],[Adjusted %]]*$G$84</f>
        <v>4109.463949594031</v>
      </c>
      <c r="H38" s="17">
        <f>Table15[[#This Row],[Adjusted %]]*$H$84</f>
        <v>5215.3536616522351</v>
      </c>
      <c r="I38" s="17">
        <f>Table15[[#This Row],[Adjusted %]]*$I$84</f>
        <v>5083.3936636572535</v>
      </c>
      <c r="J38" s="17">
        <f>Table15[[#This Row],[Adjusted %]]*$J$84</f>
        <v>5528.065163091931</v>
      </c>
      <c r="K38" s="17">
        <f>Table15[[#This Row],[Adjusted %]]*$K$84</f>
        <v>5525.9708785111116</v>
      </c>
      <c r="L38" s="17">
        <f>Table15[[#This Row],[Adjusted %]]*$L$84</f>
        <v>5525.9708831632679</v>
      </c>
      <c r="M38" s="17">
        <f>Table15[[#This Row],[Adjusted %]]*$M$84</f>
        <v>2672.9149589329954</v>
      </c>
      <c r="N38" s="17">
        <f>Table15[[#This Row],[Adjusted %]]*$N$84</f>
        <v>2672.9149589329954</v>
      </c>
      <c r="O38" s="17">
        <f>Table15[[#This Row],[Adjusted %]]*$O$84</f>
        <v>2672.9149589329954</v>
      </c>
      <c r="P38" s="17">
        <f>Table15[[#This Row],[Adjusted %]]*$P$84</f>
        <v>2672.9149589329954</v>
      </c>
      <c r="Q38" s="17">
        <f>Table15[[#This Row],[Adjusted %]]*$Q$84</f>
        <v>2672.9149589329954</v>
      </c>
      <c r="R38" s="17">
        <f>SUM(Table15[[#This Row],[Payment 1]:[Payment 15]])</f>
        <v>59625.552403580172</v>
      </c>
    </row>
    <row r="39" spans="1:18" x14ac:dyDescent="0.3">
      <c r="A39" t="s">
        <v>157</v>
      </c>
      <c r="B39">
        <v>4.2247086530777227E-3</v>
      </c>
      <c r="C39" s="17">
        <f>Table15[[#This Row],[Adjusted %]]*$C$84</f>
        <v>4592.4550005877863</v>
      </c>
      <c r="D39" s="17">
        <f>Table15[[#This Row],[Adjusted %]]*$D$84</f>
        <v>13848.379441983669</v>
      </c>
      <c r="E39" s="17">
        <f>Table15[[#This Row],[Adjusted %]]*$E$84</f>
        <v>9467.4042065568447</v>
      </c>
      <c r="F39" s="17">
        <f>Table15[[#This Row],[Adjusted %]]*$F$84</f>
        <v>10273.659873985078</v>
      </c>
      <c r="G39" s="17">
        <f>Table15[[#This Row],[Adjusted %]]*$G$84</f>
        <v>10273.659873985078</v>
      </c>
      <c r="H39" s="17">
        <f>Table15[[#This Row],[Adjusted %]]*$H$84</f>
        <v>13038.384154130588</v>
      </c>
      <c r="I39" s="17">
        <f>Table15[[#This Row],[Adjusted %]]*$I$84</f>
        <v>12708.484159143134</v>
      </c>
      <c r="J39" s="17">
        <f>Table15[[#This Row],[Adjusted %]]*$J$84</f>
        <v>13820.162907729828</v>
      </c>
      <c r="K39" s="17">
        <f>Table15[[#This Row],[Adjusted %]]*$K$84</f>
        <v>13814.927196277778</v>
      </c>
      <c r="L39" s="17">
        <f>Table15[[#This Row],[Adjusted %]]*$L$84</f>
        <v>13814.927207908171</v>
      </c>
      <c r="M39" s="17">
        <f>Table15[[#This Row],[Adjusted %]]*$M$84</f>
        <v>6682.2873973324895</v>
      </c>
      <c r="N39" s="17">
        <f>Table15[[#This Row],[Adjusted %]]*$N$84</f>
        <v>6682.2873973324895</v>
      </c>
      <c r="O39" s="17">
        <f>Table15[[#This Row],[Adjusted %]]*$O$84</f>
        <v>6682.2873973324895</v>
      </c>
      <c r="P39" s="17">
        <f>Table15[[#This Row],[Adjusted %]]*$P$84</f>
        <v>6682.2873973324895</v>
      </c>
      <c r="Q39" s="17">
        <f>Table15[[#This Row],[Adjusted %]]*$Q$84</f>
        <v>6682.2873973324895</v>
      </c>
      <c r="R39" s="17">
        <f>SUM(Table15[[#This Row],[Payment 1]:[Payment 15]])</f>
        <v>149063.88100895041</v>
      </c>
    </row>
    <row r="40" spans="1:18" x14ac:dyDescent="0.3">
      <c r="A40" t="s">
        <v>158</v>
      </c>
      <c r="B40">
        <v>1.6898834612310891E-2</v>
      </c>
      <c r="C40" s="17">
        <f>Table15[[#This Row],[Adjusted %]]*$C$84</f>
        <v>18369.820002351145</v>
      </c>
      <c r="D40" s="17">
        <f>Table15[[#This Row],[Adjusted %]]*$D$84</f>
        <v>55393.517767934674</v>
      </c>
      <c r="E40" s="17">
        <f>Table15[[#This Row],[Adjusted %]]*$E$84</f>
        <v>37869.616826227379</v>
      </c>
      <c r="F40" s="17">
        <f>Table15[[#This Row],[Adjusted %]]*$F$84</f>
        <v>41094.639495940311</v>
      </c>
      <c r="G40" s="17">
        <f>Table15[[#This Row],[Adjusted %]]*$G$84</f>
        <v>41094.639495940311</v>
      </c>
      <c r="H40" s="17">
        <f>Table15[[#This Row],[Adjusted %]]*$H$84</f>
        <v>52153.536616522353</v>
      </c>
      <c r="I40" s="17">
        <f>Table15[[#This Row],[Adjusted %]]*$I$84</f>
        <v>50833.936636572536</v>
      </c>
      <c r="J40" s="17">
        <f>Table15[[#This Row],[Adjusted %]]*$J$84</f>
        <v>55280.65163091931</v>
      </c>
      <c r="K40" s="17">
        <f>Table15[[#This Row],[Adjusted %]]*$K$84</f>
        <v>55259.708785111114</v>
      </c>
      <c r="L40" s="17">
        <f>Table15[[#This Row],[Adjusted %]]*$L$84</f>
        <v>55259.708831632684</v>
      </c>
      <c r="M40" s="17">
        <f>Table15[[#This Row],[Adjusted %]]*$M$84</f>
        <v>26729.149589329958</v>
      </c>
      <c r="N40" s="17">
        <f>Table15[[#This Row],[Adjusted %]]*$N$84</f>
        <v>26729.149589329958</v>
      </c>
      <c r="O40" s="17">
        <f>Table15[[#This Row],[Adjusted %]]*$O$84</f>
        <v>26729.149589329958</v>
      </c>
      <c r="P40" s="17">
        <f>Table15[[#This Row],[Adjusted %]]*$P$84</f>
        <v>26729.149589329958</v>
      </c>
      <c r="Q40" s="17">
        <f>Table15[[#This Row],[Adjusted %]]*$Q$84</f>
        <v>26729.149589329958</v>
      </c>
      <c r="R40" s="17">
        <f>SUM(Table15[[#This Row],[Payment 1]:[Payment 15]])</f>
        <v>596255.52403580165</v>
      </c>
    </row>
    <row r="41" spans="1:18" x14ac:dyDescent="0.3">
      <c r="A41" t="s">
        <v>159</v>
      </c>
      <c r="B41">
        <v>1.689883461231089E-3</v>
      </c>
      <c r="C41" s="17">
        <f>Table15[[#This Row],[Adjusted %]]*$C$84</f>
        <v>1836.9820002351146</v>
      </c>
      <c r="D41" s="17">
        <f>Table15[[#This Row],[Adjusted %]]*$D$84</f>
        <v>5539.3517767934673</v>
      </c>
      <c r="E41" s="17">
        <f>Table15[[#This Row],[Adjusted %]]*$E$84</f>
        <v>3786.961682622738</v>
      </c>
      <c r="F41" s="17">
        <f>Table15[[#This Row],[Adjusted %]]*$F$84</f>
        <v>4109.463949594031</v>
      </c>
      <c r="G41" s="17">
        <f>Table15[[#This Row],[Adjusted %]]*$G$84</f>
        <v>4109.463949594031</v>
      </c>
      <c r="H41" s="17">
        <f>Table15[[#This Row],[Adjusted %]]*$H$84</f>
        <v>5215.3536616522351</v>
      </c>
      <c r="I41" s="17">
        <f>Table15[[#This Row],[Adjusted %]]*$I$84</f>
        <v>5083.3936636572535</v>
      </c>
      <c r="J41" s="17">
        <f>Table15[[#This Row],[Adjusted %]]*$J$84</f>
        <v>5528.065163091931</v>
      </c>
      <c r="K41" s="17">
        <f>Table15[[#This Row],[Adjusted %]]*$K$84</f>
        <v>5525.9708785111116</v>
      </c>
      <c r="L41" s="17">
        <f>Table15[[#This Row],[Adjusted %]]*$L$84</f>
        <v>5525.9708831632679</v>
      </c>
      <c r="M41" s="17">
        <f>Table15[[#This Row],[Adjusted %]]*$M$84</f>
        <v>2672.9149589329954</v>
      </c>
      <c r="N41" s="17">
        <f>Table15[[#This Row],[Adjusted %]]*$N$84</f>
        <v>2672.9149589329954</v>
      </c>
      <c r="O41" s="17">
        <f>Table15[[#This Row],[Adjusted %]]*$O$84</f>
        <v>2672.9149589329954</v>
      </c>
      <c r="P41" s="17">
        <f>Table15[[#This Row],[Adjusted %]]*$P$84</f>
        <v>2672.9149589329954</v>
      </c>
      <c r="Q41" s="17">
        <f>Table15[[#This Row],[Adjusted %]]*$Q$84</f>
        <v>2672.9149589329954</v>
      </c>
      <c r="R41" s="17">
        <f>SUM(Table15[[#This Row],[Payment 1]:[Payment 15]])</f>
        <v>59625.552403580172</v>
      </c>
    </row>
    <row r="42" spans="1:18" x14ac:dyDescent="0.3">
      <c r="A42" t="s">
        <v>160</v>
      </c>
      <c r="B42">
        <v>1.6898834612310891E-2</v>
      </c>
      <c r="C42" s="17">
        <f>Table15[[#This Row],[Adjusted %]]*$C$84</f>
        <v>18369.820002351145</v>
      </c>
      <c r="D42" s="17">
        <f>Table15[[#This Row],[Adjusted %]]*$D$84</f>
        <v>55393.517767934674</v>
      </c>
      <c r="E42" s="17">
        <f>Table15[[#This Row],[Adjusted %]]*$E$84</f>
        <v>37869.616826227379</v>
      </c>
      <c r="F42" s="17">
        <f>Table15[[#This Row],[Adjusted %]]*$F$84</f>
        <v>41094.639495940311</v>
      </c>
      <c r="G42" s="17">
        <f>Table15[[#This Row],[Adjusted %]]*$G$84</f>
        <v>41094.639495940311</v>
      </c>
      <c r="H42" s="17">
        <f>Table15[[#This Row],[Adjusted %]]*$H$84</f>
        <v>52153.536616522353</v>
      </c>
      <c r="I42" s="17">
        <f>Table15[[#This Row],[Adjusted %]]*$I$84</f>
        <v>50833.936636572536</v>
      </c>
      <c r="J42" s="17">
        <f>Table15[[#This Row],[Adjusted %]]*$J$84</f>
        <v>55280.65163091931</v>
      </c>
      <c r="K42" s="17">
        <f>Table15[[#This Row],[Adjusted %]]*$K$84</f>
        <v>55259.708785111114</v>
      </c>
      <c r="L42" s="17">
        <f>Table15[[#This Row],[Adjusted %]]*$L$84</f>
        <v>55259.708831632684</v>
      </c>
      <c r="M42" s="17">
        <f>Table15[[#This Row],[Adjusted %]]*$M$84</f>
        <v>26729.149589329958</v>
      </c>
      <c r="N42" s="17">
        <f>Table15[[#This Row],[Adjusted %]]*$N$84</f>
        <v>26729.149589329958</v>
      </c>
      <c r="O42" s="17">
        <f>Table15[[#This Row],[Adjusted %]]*$O$84</f>
        <v>26729.149589329958</v>
      </c>
      <c r="P42" s="17">
        <f>Table15[[#This Row],[Adjusted %]]*$P$84</f>
        <v>26729.149589329958</v>
      </c>
      <c r="Q42" s="17">
        <f>Table15[[#This Row],[Adjusted %]]*$Q$84</f>
        <v>26729.149589329958</v>
      </c>
      <c r="R42" s="17">
        <f>SUM(Table15[[#This Row],[Payment 1]:[Payment 15]])</f>
        <v>596255.52403580165</v>
      </c>
    </row>
    <row r="43" spans="1:18" x14ac:dyDescent="0.3">
      <c r="A43" t="s">
        <v>161</v>
      </c>
      <c r="B43">
        <v>4.2247086530777227E-3</v>
      </c>
      <c r="C43" s="17">
        <f>Table15[[#This Row],[Adjusted %]]*$C$84</f>
        <v>4592.4550005877863</v>
      </c>
      <c r="D43" s="17">
        <f>Table15[[#This Row],[Adjusted %]]*$D$84</f>
        <v>13848.379441983669</v>
      </c>
      <c r="E43" s="17">
        <f>Table15[[#This Row],[Adjusted %]]*$E$84</f>
        <v>9467.4042065568447</v>
      </c>
      <c r="F43" s="17">
        <f>Table15[[#This Row],[Adjusted %]]*$F$84</f>
        <v>10273.659873985078</v>
      </c>
      <c r="G43" s="17">
        <f>Table15[[#This Row],[Adjusted %]]*$G$84</f>
        <v>10273.659873985078</v>
      </c>
      <c r="H43" s="17">
        <f>Table15[[#This Row],[Adjusted %]]*$H$84</f>
        <v>13038.384154130588</v>
      </c>
      <c r="I43" s="17">
        <f>Table15[[#This Row],[Adjusted %]]*$I$84</f>
        <v>12708.484159143134</v>
      </c>
      <c r="J43" s="17">
        <f>Table15[[#This Row],[Adjusted %]]*$J$84</f>
        <v>13820.162907729828</v>
      </c>
      <c r="K43" s="17">
        <f>Table15[[#This Row],[Adjusted %]]*$K$84</f>
        <v>13814.927196277778</v>
      </c>
      <c r="L43" s="17">
        <f>Table15[[#This Row],[Adjusted %]]*$L$84</f>
        <v>13814.927207908171</v>
      </c>
      <c r="M43" s="17">
        <f>Table15[[#This Row],[Adjusted %]]*$M$84</f>
        <v>6682.2873973324895</v>
      </c>
      <c r="N43" s="17">
        <f>Table15[[#This Row],[Adjusted %]]*$N$84</f>
        <v>6682.2873973324895</v>
      </c>
      <c r="O43" s="17">
        <f>Table15[[#This Row],[Adjusted %]]*$O$84</f>
        <v>6682.2873973324895</v>
      </c>
      <c r="P43" s="17">
        <f>Table15[[#This Row],[Adjusted %]]*$P$84</f>
        <v>6682.2873973324895</v>
      </c>
      <c r="Q43" s="17">
        <f>Table15[[#This Row],[Adjusted %]]*$Q$84</f>
        <v>6682.2873973324895</v>
      </c>
      <c r="R43" s="17">
        <f>SUM(Table15[[#This Row],[Payment 1]:[Payment 15]])</f>
        <v>149063.88100895041</v>
      </c>
    </row>
    <row r="44" spans="1:18" x14ac:dyDescent="0.3">
      <c r="A44" t="s">
        <v>162</v>
      </c>
      <c r="B44">
        <v>4.2247086530777227E-3</v>
      </c>
      <c r="C44" s="17">
        <f>Table15[[#This Row],[Adjusted %]]*$C$84</f>
        <v>4592.4550005877863</v>
      </c>
      <c r="D44" s="17">
        <f>Table15[[#This Row],[Adjusted %]]*$D$84</f>
        <v>13848.379441983669</v>
      </c>
      <c r="E44" s="17">
        <f>Table15[[#This Row],[Adjusted %]]*$E$84</f>
        <v>9467.4042065568447</v>
      </c>
      <c r="F44" s="17">
        <f>Table15[[#This Row],[Adjusted %]]*$F$84</f>
        <v>10273.659873985078</v>
      </c>
      <c r="G44" s="17">
        <f>Table15[[#This Row],[Adjusted %]]*$G$84</f>
        <v>10273.659873985078</v>
      </c>
      <c r="H44" s="17">
        <f>Table15[[#This Row],[Adjusted %]]*$H$84</f>
        <v>13038.384154130588</v>
      </c>
      <c r="I44" s="17">
        <f>Table15[[#This Row],[Adjusted %]]*$I$84</f>
        <v>12708.484159143134</v>
      </c>
      <c r="J44" s="17">
        <f>Table15[[#This Row],[Adjusted %]]*$J$84</f>
        <v>13820.162907729828</v>
      </c>
      <c r="K44" s="17">
        <f>Table15[[#This Row],[Adjusted %]]*$K$84</f>
        <v>13814.927196277778</v>
      </c>
      <c r="L44" s="17">
        <f>Table15[[#This Row],[Adjusted %]]*$L$84</f>
        <v>13814.927207908171</v>
      </c>
      <c r="M44" s="17">
        <f>Table15[[#This Row],[Adjusted %]]*$M$84</f>
        <v>6682.2873973324895</v>
      </c>
      <c r="N44" s="17">
        <f>Table15[[#This Row],[Adjusted %]]*$N$84</f>
        <v>6682.2873973324895</v>
      </c>
      <c r="O44" s="17">
        <f>Table15[[#This Row],[Adjusted %]]*$O$84</f>
        <v>6682.2873973324895</v>
      </c>
      <c r="P44" s="17">
        <f>Table15[[#This Row],[Adjusted %]]*$P$84</f>
        <v>6682.2873973324895</v>
      </c>
      <c r="Q44" s="17">
        <f>Table15[[#This Row],[Adjusted %]]*$Q$84</f>
        <v>6682.2873973324895</v>
      </c>
      <c r="R44" s="17">
        <f>SUM(Table15[[#This Row],[Payment 1]:[Payment 15]])</f>
        <v>149063.88100895041</v>
      </c>
    </row>
    <row r="45" spans="1:18" x14ac:dyDescent="0.3">
      <c r="A45" t="s">
        <v>163</v>
      </c>
      <c r="B45">
        <v>4.2247086530777227E-3</v>
      </c>
      <c r="C45" s="17">
        <f>Table15[[#This Row],[Adjusted %]]*$C$84</f>
        <v>4592.4550005877863</v>
      </c>
      <c r="D45" s="17">
        <f>Table15[[#This Row],[Adjusted %]]*$D$84</f>
        <v>13848.379441983669</v>
      </c>
      <c r="E45" s="17">
        <f>Table15[[#This Row],[Adjusted %]]*$E$84</f>
        <v>9467.4042065568447</v>
      </c>
      <c r="F45" s="17">
        <f>Table15[[#This Row],[Adjusted %]]*$F$84</f>
        <v>10273.659873985078</v>
      </c>
      <c r="G45" s="17">
        <f>Table15[[#This Row],[Adjusted %]]*$G$84</f>
        <v>10273.659873985078</v>
      </c>
      <c r="H45" s="17">
        <f>Table15[[#This Row],[Adjusted %]]*$H$84</f>
        <v>13038.384154130588</v>
      </c>
      <c r="I45" s="17">
        <f>Table15[[#This Row],[Adjusted %]]*$I$84</f>
        <v>12708.484159143134</v>
      </c>
      <c r="J45" s="17">
        <f>Table15[[#This Row],[Adjusted %]]*$J$84</f>
        <v>13820.162907729828</v>
      </c>
      <c r="K45" s="17">
        <f>Table15[[#This Row],[Adjusted %]]*$K$84</f>
        <v>13814.927196277778</v>
      </c>
      <c r="L45" s="17">
        <f>Table15[[#This Row],[Adjusted %]]*$L$84</f>
        <v>13814.927207908171</v>
      </c>
      <c r="M45" s="17">
        <f>Table15[[#This Row],[Adjusted %]]*$M$84</f>
        <v>6682.2873973324895</v>
      </c>
      <c r="N45" s="17">
        <f>Table15[[#This Row],[Adjusted %]]*$N$84</f>
        <v>6682.2873973324895</v>
      </c>
      <c r="O45" s="17">
        <f>Table15[[#This Row],[Adjusted %]]*$O$84</f>
        <v>6682.2873973324895</v>
      </c>
      <c r="P45" s="17">
        <f>Table15[[#This Row],[Adjusted %]]*$P$84</f>
        <v>6682.2873973324895</v>
      </c>
      <c r="Q45" s="17">
        <f>Table15[[#This Row],[Adjusted %]]*$Q$84</f>
        <v>6682.2873973324895</v>
      </c>
      <c r="R45" s="17">
        <f>SUM(Table15[[#This Row],[Payment 1]:[Payment 15]])</f>
        <v>149063.88100895041</v>
      </c>
    </row>
    <row r="46" spans="1:18" x14ac:dyDescent="0.3">
      <c r="A46" t="s">
        <v>164</v>
      </c>
      <c r="B46">
        <v>4.2247086530777227E-3</v>
      </c>
      <c r="C46" s="17">
        <f>Table15[[#This Row],[Adjusted %]]*$C$84</f>
        <v>4592.4550005877863</v>
      </c>
      <c r="D46" s="17">
        <f>Table15[[#This Row],[Adjusted %]]*$D$84</f>
        <v>13848.379441983669</v>
      </c>
      <c r="E46" s="17">
        <f>Table15[[#This Row],[Adjusted %]]*$E$84</f>
        <v>9467.4042065568447</v>
      </c>
      <c r="F46" s="17">
        <f>Table15[[#This Row],[Adjusted %]]*$F$84</f>
        <v>10273.659873985078</v>
      </c>
      <c r="G46" s="17">
        <f>Table15[[#This Row],[Adjusted %]]*$G$84</f>
        <v>10273.659873985078</v>
      </c>
      <c r="H46" s="17">
        <f>Table15[[#This Row],[Adjusted %]]*$H$84</f>
        <v>13038.384154130588</v>
      </c>
      <c r="I46" s="17">
        <f>Table15[[#This Row],[Adjusted %]]*$I$84</f>
        <v>12708.484159143134</v>
      </c>
      <c r="J46" s="17">
        <f>Table15[[#This Row],[Adjusted %]]*$J$84</f>
        <v>13820.162907729828</v>
      </c>
      <c r="K46" s="17">
        <f>Table15[[#This Row],[Adjusted %]]*$K$84</f>
        <v>13814.927196277778</v>
      </c>
      <c r="L46" s="17">
        <f>Table15[[#This Row],[Adjusted %]]*$L$84</f>
        <v>13814.927207908171</v>
      </c>
      <c r="M46" s="17">
        <f>Table15[[#This Row],[Adjusted %]]*$M$84</f>
        <v>6682.2873973324895</v>
      </c>
      <c r="N46" s="17">
        <f>Table15[[#This Row],[Adjusted %]]*$N$84</f>
        <v>6682.2873973324895</v>
      </c>
      <c r="O46" s="17">
        <f>Table15[[#This Row],[Adjusted %]]*$O$84</f>
        <v>6682.2873973324895</v>
      </c>
      <c r="P46" s="17">
        <f>Table15[[#This Row],[Adjusted %]]*$P$84</f>
        <v>6682.2873973324895</v>
      </c>
      <c r="Q46" s="17">
        <f>Table15[[#This Row],[Adjusted %]]*$Q$84</f>
        <v>6682.2873973324895</v>
      </c>
      <c r="R46" s="17">
        <f>SUM(Table15[[#This Row],[Payment 1]:[Payment 15]])</f>
        <v>149063.88100895041</v>
      </c>
    </row>
    <row r="47" spans="1:18" x14ac:dyDescent="0.3">
      <c r="A47" t="s">
        <v>165</v>
      </c>
      <c r="B47">
        <v>8.4494173061554455E-3</v>
      </c>
      <c r="C47" s="17">
        <f>Table15[[#This Row],[Adjusted %]]*$C$84</f>
        <v>9184.9100011755727</v>
      </c>
      <c r="D47" s="17">
        <f>Table15[[#This Row],[Adjusted %]]*$D$84</f>
        <v>27696.758883967337</v>
      </c>
      <c r="E47" s="17">
        <f>Table15[[#This Row],[Adjusted %]]*$E$84</f>
        <v>18934.808413113689</v>
      </c>
      <c r="F47" s="17">
        <f>Table15[[#This Row],[Adjusted %]]*$F$84</f>
        <v>20547.319747970156</v>
      </c>
      <c r="G47" s="17">
        <f>Table15[[#This Row],[Adjusted %]]*$G$84</f>
        <v>20547.319747970156</v>
      </c>
      <c r="H47" s="17">
        <f>Table15[[#This Row],[Adjusted %]]*$H$84</f>
        <v>26076.768308261177</v>
      </c>
      <c r="I47" s="17">
        <f>Table15[[#This Row],[Adjusted %]]*$I$84</f>
        <v>25416.968318286268</v>
      </c>
      <c r="J47" s="17">
        <f>Table15[[#This Row],[Adjusted %]]*$J$84</f>
        <v>27640.325815459655</v>
      </c>
      <c r="K47" s="17">
        <f>Table15[[#This Row],[Adjusted %]]*$K$84</f>
        <v>27629.854392555557</v>
      </c>
      <c r="L47" s="17">
        <f>Table15[[#This Row],[Adjusted %]]*$L$84</f>
        <v>27629.854415816342</v>
      </c>
      <c r="M47" s="17">
        <f>Table15[[#This Row],[Adjusted %]]*$M$84</f>
        <v>13364.574794664979</v>
      </c>
      <c r="N47" s="17">
        <f>Table15[[#This Row],[Adjusted %]]*$N$84</f>
        <v>13364.574794664979</v>
      </c>
      <c r="O47" s="17">
        <f>Table15[[#This Row],[Adjusted %]]*$O$84</f>
        <v>13364.574794664979</v>
      </c>
      <c r="P47" s="17">
        <f>Table15[[#This Row],[Adjusted %]]*$P$84</f>
        <v>13364.574794664979</v>
      </c>
      <c r="Q47" s="17">
        <f>Table15[[#This Row],[Adjusted %]]*$Q$84</f>
        <v>13364.574794664979</v>
      </c>
      <c r="R47" s="17">
        <f>SUM(Table15[[#This Row],[Payment 1]:[Payment 15]])</f>
        <v>298127.76201790082</v>
      </c>
    </row>
    <row r="48" spans="1:18" x14ac:dyDescent="0.3">
      <c r="A48" t="s">
        <v>166</v>
      </c>
      <c r="B48">
        <v>4.2247086530777227E-3</v>
      </c>
      <c r="C48" s="17">
        <f>Table15[[#This Row],[Adjusted %]]*$C$84</f>
        <v>4592.4550005877863</v>
      </c>
      <c r="D48" s="17">
        <f>Table15[[#This Row],[Adjusted %]]*$D$84</f>
        <v>13848.379441983669</v>
      </c>
      <c r="E48" s="17">
        <f>Table15[[#This Row],[Adjusted %]]*$E$84</f>
        <v>9467.4042065568447</v>
      </c>
      <c r="F48" s="17">
        <f>Table15[[#This Row],[Adjusted %]]*$F$84</f>
        <v>10273.659873985078</v>
      </c>
      <c r="G48" s="17">
        <f>Table15[[#This Row],[Adjusted %]]*$G$84</f>
        <v>10273.659873985078</v>
      </c>
      <c r="H48" s="17">
        <f>Table15[[#This Row],[Adjusted %]]*$H$84</f>
        <v>13038.384154130588</v>
      </c>
      <c r="I48" s="17">
        <f>Table15[[#This Row],[Adjusted %]]*$I$84</f>
        <v>12708.484159143134</v>
      </c>
      <c r="J48" s="17">
        <f>Table15[[#This Row],[Adjusted %]]*$J$84</f>
        <v>13820.162907729828</v>
      </c>
      <c r="K48" s="17">
        <f>Table15[[#This Row],[Adjusted %]]*$K$84</f>
        <v>13814.927196277778</v>
      </c>
      <c r="L48" s="17">
        <f>Table15[[#This Row],[Adjusted %]]*$L$84</f>
        <v>13814.927207908171</v>
      </c>
      <c r="M48" s="17">
        <f>Table15[[#This Row],[Adjusted %]]*$M$84</f>
        <v>6682.2873973324895</v>
      </c>
      <c r="N48" s="17">
        <f>Table15[[#This Row],[Adjusted %]]*$N$84</f>
        <v>6682.2873973324895</v>
      </c>
      <c r="O48" s="17">
        <f>Table15[[#This Row],[Adjusted %]]*$O$84</f>
        <v>6682.2873973324895</v>
      </c>
      <c r="P48" s="17">
        <f>Table15[[#This Row],[Adjusted %]]*$P$84</f>
        <v>6682.2873973324895</v>
      </c>
      <c r="Q48" s="17">
        <f>Table15[[#This Row],[Adjusted %]]*$Q$84</f>
        <v>6682.2873973324895</v>
      </c>
      <c r="R48" s="17">
        <f>SUM(Table15[[#This Row],[Payment 1]:[Payment 15]])</f>
        <v>149063.88100895041</v>
      </c>
    </row>
    <row r="49" spans="1:18" x14ac:dyDescent="0.3">
      <c r="A49" t="s">
        <v>167</v>
      </c>
      <c r="B49">
        <v>1.5534983236458643E-2</v>
      </c>
      <c r="C49" s="17">
        <f>Table15[[#This Row],[Adjusted %]]*$C$84</f>
        <v>16887.25005837921</v>
      </c>
      <c r="D49" s="17">
        <f>Table15[[#This Row],[Adjusted %]]*$D$84</f>
        <v>50922.88253454076</v>
      </c>
      <c r="E49" s="17">
        <f>Table15[[#This Row],[Adjusted %]]*$E$84</f>
        <v>34813.280090804132</v>
      </c>
      <c r="F49" s="17">
        <f>Table15[[#This Row],[Adjusted %]]*$F$84</f>
        <v>37778.021403479674</v>
      </c>
      <c r="G49" s="17">
        <f>Table15[[#This Row],[Adjusted %]]*$G$84</f>
        <v>37778.021403479674</v>
      </c>
      <c r="H49" s="17">
        <f>Table15[[#This Row],[Adjusted %]]*$H$84</f>
        <v>47944.389991808588</v>
      </c>
      <c r="I49" s="17">
        <f>Table15[[#This Row],[Adjusted %]]*$I$84</f>
        <v>46731.290743389567</v>
      </c>
      <c r="J49" s="17">
        <f>Table15[[#This Row],[Adjusted %]]*$J$84</f>
        <v>50819.125465682286</v>
      </c>
      <c r="K49" s="17">
        <f>Table15[[#This Row],[Adjusted %]]*$K$84</f>
        <v>50799.87285057491</v>
      </c>
      <c r="L49" s="17">
        <f>Table15[[#This Row],[Adjusted %]]*$L$84</f>
        <v>50799.872893341868</v>
      </c>
      <c r="M49" s="17">
        <f>Table15[[#This Row],[Adjusted %]]*$M$84</f>
        <v>24571.924651687757</v>
      </c>
      <c r="N49" s="17">
        <f>Table15[[#This Row],[Adjusted %]]*$N$84</f>
        <v>24571.924651687757</v>
      </c>
      <c r="O49" s="17">
        <f>Table15[[#This Row],[Adjusted %]]*$O$84</f>
        <v>24571.924651687757</v>
      </c>
      <c r="P49" s="17">
        <f>Table15[[#This Row],[Adjusted %]]*$P$84</f>
        <v>24571.924651687757</v>
      </c>
      <c r="Q49" s="17">
        <f>Table15[[#This Row],[Adjusted %]]*$Q$84</f>
        <v>24571.924651687757</v>
      </c>
      <c r="R49" s="17">
        <f>SUM(Table15[[#This Row],[Payment 1]:[Payment 15]])</f>
        <v>548133.63069391937</v>
      </c>
    </row>
    <row r="50" spans="1:18" x14ac:dyDescent="0.3">
      <c r="A50" t="s">
        <v>168</v>
      </c>
      <c r="B50">
        <v>8.4494173061554472E-3</v>
      </c>
      <c r="C50" s="17">
        <f>Table15[[#This Row],[Adjusted %]]*$C$84</f>
        <v>9184.9100011755745</v>
      </c>
      <c r="D50" s="17">
        <f>Table15[[#This Row],[Adjusted %]]*$D$84</f>
        <v>27696.758883967344</v>
      </c>
      <c r="E50" s="17">
        <f>Table15[[#This Row],[Adjusted %]]*$E$84</f>
        <v>18934.808413113693</v>
      </c>
      <c r="F50" s="17">
        <f>Table15[[#This Row],[Adjusted %]]*$F$84</f>
        <v>20547.319747970159</v>
      </c>
      <c r="G50" s="17">
        <f>Table15[[#This Row],[Adjusted %]]*$G$84</f>
        <v>20547.319747970159</v>
      </c>
      <c r="H50" s="17">
        <f>Table15[[#This Row],[Adjusted %]]*$H$84</f>
        <v>26076.768308261184</v>
      </c>
      <c r="I50" s="17">
        <f>Table15[[#This Row],[Adjusted %]]*$I$84</f>
        <v>25416.968318286272</v>
      </c>
      <c r="J50" s="17">
        <f>Table15[[#This Row],[Adjusted %]]*$J$84</f>
        <v>27640.325815459659</v>
      </c>
      <c r="K50" s="17">
        <f>Table15[[#This Row],[Adjusted %]]*$K$84</f>
        <v>27629.854392555564</v>
      </c>
      <c r="L50" s="17">
        <f>Table15[[#This Row],[Adjusted %]]*$L$84</f>
        <v>27629.85441581635</v>
      </c>
      <c r="M50" s="17">
        <f>Table15[[#This Row],[Adjusted %]]*$M$84</f>
        <v>13364.574794664981</v>
      </c>
      <c r="N50" s="17">
        <f>Table15[[#This Row],[Adjusted %]]*$N$84</f>
        <v>13364.574794664981</v>
      </c>
      <c r="O50" s="17">
        <f>Table15[[#This Row],[Adjusted %]]*$O$84</f>
        <v>13364.574794664981</v>
      </c>
      <c r="P50" s="17">
        <f>Table15[[#This Row],[Adjusted %]]*$P$84</f>
        <v>13364.574794664981</v>
      </c>
      <c r="Q50" s="17">
        <f>Table15[[#This Row],[Adjusted %]]*$Q$84</f>
        <v>13364.574794664981</v>
      </c>
      <c r="R50" s="17">
        <f>SUM(Table15[[#This Row],[Payment 1]:[Payment 15]])</f>
        <v>298127.76201790088</v>
      </c>
    </row>
    <row r="51" spans="1:18" x14ac:dyDescent="0.3">
      <c r="A51" t="s">
        <v>169</v>
      </c>
      <c r="B51">
        <v>2.6951572590961578E-2</v>
      </c>
      <c r="C51" s="17">
        <f>Table15[[#This Row],[Adjusted %]]*$C$84</f>
        <v>29297.614222201166</v>
      </c>
      <c r="D51" s="17">
        <f>Table15[[#This Row],[Adjusted %]]*$D$84</f>
        <v>88345.880023205566</v>
      </c>
      <c r="E51" s="17">
        <f>Table15[[#This Row],[Adjusted %]]*$E$84</f>
        <v>60397.403152310952</v>
      </c>
      <c r="F51" s="17">
        <f>Table15[[#This Row],[Adjusted %]]*$F$84</f>
        <v>65540.919529880761</v>
      </c>
      <c r="G51" s="17">
        <f>Table15[[#This Row],[Adjusted %]]*$G$84</f>
        <v>65540.919529880761</v>
      </c>
      <c r="H51" s="17">
        <f>Table15[[#This Row],[Adjusted %]]*$H$84</f>
        <v>83178.506698418918</v>
      </c>
      <c r="I51" s="17">
        <f>Table15[[#This Row],[Adjusted %]]*$I$84</f>
        <v>81073.906264922785</v>
      </c>
      <c r="J51" s="17">
        <f>Table15[[#This Row],[Adjusted %]]*$J$84</f>
        <v>88165.872350805774</v>
      </c>
      <c r="K51" s="17">
        <f>Table15[[#This Row],[Adjusted %]]*$K$84</f>
        <v>88132.471075391804</v>
      </c>
      <c r="L51" s="17">
        <f>Table15[[#This Row],[Adjusted %]]*$L$84</f>
        <v>88132.471149588018</v>
      </c>
      <c r="M51" s="17">
        <f>Table15[[#This Row],[Adjusted %]]*$M$84</f>
        <v>42629.721633389287</v>
      </c>
      <c r="N51" s="17">
        <f>Table15[[#This Row],[Adjusted %]]*$N$84</f>
        <v>42629.721633389287</v>
      </c>
      <c r="O51" s="17">
        <f>Table15[[#This Row],[Adjusted %]]*$O$84</f>
        <v>42629.721633389287</v>
      </c>
      <c r="P51" s="17">
        <f>Table15[[#This Row],[Adjusted %]]*$P$84</f>
        <v>42629.721633389287</v>
      </c>
      <c r="Q51" s="17">
        <f>Table15[[#This Row],[Adjusted %]]*$Q$84</f>
        <v>42629.721633389287</v>
      </c>
      <c r="R51" s="17">
        <f>SUM(Table15[[#This Row],[Payment 1]:[Payment 15]])</f>
        <v>950954.57216355263</v>
      </c>
    </row>
    <row r="52" spans="1:18" x14ac:dyDescent="0.3">
      <c r="A52" t="s">
        <v>170</v>
      </c>
      <c r="B52">
        <v>1.689883461231089E-3</v>
      </c>
      <c r="C52" s="17">
        <f>Table15[[#This Row],[Adjusted %]]*$C$84</f>
        <v>1836.9820002351146</v>
      </c>
      <c r="D52" s="17">
        <f>Table15[[#This Row],[Adjusted %]]*$D$84</f>
        <v>5539.3517767934673</v>
      </c>
      <c r="E52" s="17">
        <f>Table15[[#This Row],[Adjusted %]]*$E$84</f>
        <v>3786.961682622738</v>
      </c>
      <c r="F52" s="17">
        <f>Table15[[#This Row],[Adjusted %]]*$F$84</f>
        <v>4109.463949594031</v>
      </c>
      <c r="G52" s="17">
        <f>Table15[[#This Row],[Adjusted %]]*$G$84</f>
        <v>4109.463949594031</v>
      </c>
      <c r="H52" s="17">
        <f>Table15[[#This Row],[Adjusted %]]*$H$84</f>
        <v>5215.3536616522351</v>
      </c>
      <c r="I52" s="17">
        <f>Table15[[#This Row],[Adjusted %]]*$I$84</f>
        <v>5083.3936636572535</v>
      </c>
      <c r="J52" s="17">
        <f>Table15[[#This Row],[Adjusted %]]*$J$84</f>
        <v>5528.065163091931</v>
      </c>
      <c r="K52" s="17">
        <f>Table15[[#This Row],[Adjusted %]]*$K$84</f>
        <v>5525.9708785111116</v>
      </c>
      <c r="L52" s="17">
        <f>Table15[[#This Row],[Adjusted %]]*$L$84</f>
        <v>5525.9708831632679</v>
      </c>
      <c r="M52" s="17">
        <f>Table15[[#This Row],[Adjusted %]]*$M$84</f>
        <v>2672.9149589329954</v>
      </c>
      <c r="N52" s="17">
        <f>Table15[[#This Row],[Adjusted %]]*$N$84</f>
        <v>2672.9149589329954</v>
      </c>
      <c r="O52" s="17">
        <f>Table15[[#This Row],[Adjusted %]]*$O$84</f>
        <v>2672.9149589329954</v>
      </c>
      <c r="P52" s="17">
        <f>Table15[[#This Row],[Adjusted %]]*$P$84</f>
        <v>2672.9149589329954</v>
      </c>
      <c r="Q52" s="17">
        <f>Table15[[#This Row],[Adjusted %]]*$Q$84</f>
        <v>2672.9149589329954</v>
      </c>
      <c r="R52" s="17">
        <f>SUM(Table15[[#This Row],[Payment 1]:[Payment 15]])</f>
        <v>59625.552403580172</v>
      </c>
    </row>
    <row r="53" spans="1:18" x14ac:dyDescent="0.3">
      <c r="A53" t="s">
        <v>171</v>
      </c>
      <c r="B53">
        <v>4.2247086530777227E-3</v>
      </c>
      <c r="C53" s="17">
        <f>Table15[[#This Row],[Adjusted %]]*$C$84</f>
        <v>4592.4550005877863</v>
      </c>
      <c r="D53" s="17">
        <f>Table15[[#This Row],[Adjusted %]]*$D$84</f>
        <v>13848.379441983669</v>
      </c>
      <c r="E53" s="17">
        <f>Table15[[#This Row],[Adjusted %]]*$E$84</f>
        <v>9467.4042065568447</v>
      </c>
      <c r="F53" s="17">
        <f>Table15[[#This Row],[Adjusted %]]*$F$84</f>
        <v>10273.659873985078</v>
      </c>
      <c r="G53" s="17">
        <f>Table15[[#This Row],[Adjusted %]]*$G$84</f>
        <v>10273.659873985078</v>
      </c>
      <c r="H53" s="17">
        <f>Table15[[#This Row],[Adjusted %]]*$H$84</f>
        <v>13038.384154130588</v>
      </c>
      <c r="I53" s="17">
        <f>Table15[[#This Row],[Adjusted %]]*$I$84</f>
        <v>12708.484159143134</v>
      </c>
      <c r="J53" s="17">
        <f>Table15[[#This Row],[Adjusted %]]*$J$84</f>
        <v>13820.162907729828</v>
      </c>
      <c r="K53" s="17">
        <f>Table15[[#This Row],[Adjusted %]]*$K$84</f>
        <v>13814.927196277778</v>
      </c>
      <c r="L53" s="17">
        <f>Table15[[#This Row],[Adjusted %]]*$L$84</f>
        <v>13814.927207908171</v>
      </c>
      <c r="M53" s="17">
        <f>Table15[[#This Row],[Adjusted %]]*$M$84</f>
        <v>6682.2873973324895</v>
      </c>
      <c r="N53" s="17">
        <f>Table15[[#This Row],[Adjusted %]]*$N$84</f>
        <v>6682.2873973324895</v>
      </c>
      <c r="O53" s="17">
        <f>Table15[[#This Row],[Adjusted %]]*$O$84</f>
        <v>6682.2873973324895</v>
      </c>
      <c r="P53" s="17">
        <f>Table15[[#This Row],[Adjusted %]]*$P$84</f>
        <v>6682.2873973324895</v>
      </c>
      <c r="Q53" s="17">
        <f>Table15[[#This Row],[Adjusted %]]*$Q$84</f>
        <v>6682.2873973324895</v>
      </c>
      <c r="R53" s="17">
        <f>SUM(Table15[[#This Row],[Payment 1]:[Payment 15]])</f>
        <v>149063.88100895041</v>
      </c>
    </row>
    <row r="54" spans="1:18" x14ac:dyDescent="0.3">
      <c r="A54" t="s">
        <v>172</v>
      </c>
      <c r="B54">
        <v>4.2247086530777227E-3</v>
      </c>
      <c r="C54" s="17">
        <f>Table15[[#This Row],[Adjusted %]]*$C$84</f>
        <v>4592.4550005877863</v>
      </c>
      <c r="D54" s="17">
        <f>Table15[[#This Row],[Adjusted %]]*$D$84</f>
        <v>13848.379441983669</v>
      </c>
      <c r="E54" s="17">
        <f>Table15[[#This Row],[Adjusted %]]*$E$84</f>
        <v>9467.4042065568447</v>
      </c>
      <c r="F54" s="17">
        <f>Table15[[#This Row],[Adjusted %]]*$F$84</f>
        <v>10273.659873985078</v>
      </c>
      <c r="G54" s="17">
        <f>Table15[[#This Row],[Adjusted %]]*$G$84</f>
        <v>10273.659873985078</v>
      </c>
      <c r="H54" s="17">
        <f>Table15[[#This Row],[Adjusted %]]*$H$84</f>
        <v>13038.384154130588</v>
      </c>
      <c r="I54" s="17">
        <f>Table15[[#This Row],[Adjusted %]]*$I$84</f>
        <v>12708.484159143134</v>
      </c>
      <c r="J54" s="17">
        <f>Table15[[#This Row],[Adjusted %]]*$J$84</f>
        <v>13820.162907729828</v>
      </c>
      <c r="K54" s="17">
        <f>Table15[[#This Row],[Adjusted %]]*$K$84</f>
        <v>13814.927196277778</v>
      </c>
      <c r="L54" s="17">
        <f>Table15[[#This Row],[Adjusted %]]*$L$84</f>
        <v>13814.927207908171</v>
      </c>
      <c r="M54" s="17">
        <f>Table15[[#This Row],[Adjusted %]]*$M$84</f>
        <v>6682.2873973324895</v>
      </c>
      <c r="N54" s="17">
        <f>Table15[[#This Row],[Adjusted %]]*$N$84</f>
        <v>6682.2873973324895</v>
      </c>
      <c r="O54" s="17">
        <f>Table15[[#This Row],[Adjusted %]]*$O$84</f>
        <v>6682.2873973324895</v>
      </c>
      <c r="P54" s="17">
        <f>Table15[[#This Row],[Adjusted %]]*$P$84</f>
        <v>6682.2873973324895</v>
      </c>
      <c r="Q54" s="17">
        <f>Table15[[#This Row],[Adjusted %]]*$Q$84</f>
        <v>6682.2873973324895</v>
      </c>
      <c r="R54" s="17">
        <f>SUM(Table15[[#This Row],[Payment 1]:[Payment 15]])</f>
        <v>149063.88100895041</v>
      </c>
    </row>
    <row r="55" spans="1:18" x14ac:dyDescent="0.3">
      <c r="A55" t="s">
        <v>173</v>
      </c>
      <c r="B55">
        <v>2.3428397616868848E-2</v>
      </c>
      <c r="C55" s="17">
        <f>Table15[[#This Row],[Adjusted %]]*$C$84</f>
        <v>25467.758992792467</v>
      </c>
      <c r="D55" s="17">
        <f>Table15[[#This Row],[Adjusted %]]*$D$84</f>
        <v>76797.092192311437</v>
      </c>
      <c r="E55" s="17">
        <f>Table15[[#This Row],[Adjusted %]]*$E$84</f>
        <v>52502.108042229978</v>
      </c>
      <c r="F55" s="17">
        <f>Table15[[#This Row],[Adjusted %]]*$F$84</f>
        <v>56973.25147684331</v>
      </c>
      <c r="G55" s="17">
        <f>Table15[[#This Row],[Adjusted %]]*$G$84</f>
        <v>56973.25147684331</v>
      </c>
      <c r="H55" s="17">
        <f>Table15[[#This Row],[Adjusted %]]*$H$84</f>
        <v>72305.210448516547</v>
      </c>
      <c r="I55" s="17">
        <f>Table15[[#This Row],[Adjusted %]]*$I$84</f>
        <v>70475.728491047485</v>
      </c>
      <c r="J55" s="17">
        <f>Table15[[#This Row],[Adjusted %]]*$J$84</f>
        <v>76640.615559683196</v>
      </c>
      <c r="K55" s="17">
        <f>Table15[[#This Row],[Adjusted %]]*$K$84</f>
        <v>76611.580580048219</v>
      </c>
      <c r="L55" s="17">
        <f>Table15[[#This Row],[Adjusted %]]*$L$84</f>
        <v>76611.58064454532</v>
      </c>
      <c r="M55" s="17">
        <f>Table15[[#This Row],[Adjusted %]]*$M$84</f>
        <v>37057.060969363149</v>
      </c>
      <c r="N55" s="17">
        <f>Table15[[#This Row],[Adjusted %]]*$N$84</f>
        <v>37057.060969363149</v>
      </c>
      <c r="O55" s="17">
        <f>Table15[[#This Row],[Adjusted %]]*$O$84</f>
        <v>37057.060969363149</v>
      </c>
      <c r="P55" s="17">
        <f>Table15[[#This Row],[Adjusted %]]*$P$84</f>
        <v>37057.060969363149</v>
      </c>
      <c r="Q55" s="17">
        <f>Table15[[#This Row],[Adjusted %]]*$Q$84</f>
        <v>37057.060969363149</v>
      </c>
      <c r="R55" s="17">
        <f>SUM(Table15[[#This Row],[Payment 1]:[Payment 15]])</f>
        <v>826643.48275167728</v>
      </c>
    </row>
    <row r="56" spans="1:18" x14ac:dyDescent="0.3">
      <c r="A56" t="s">
        <v>174</v>
      </c>
      <c r="B56">
        <v>1.6898834612310891E-2</v>
      </c>
      <c r="C56" s="17">
        <f>Table15[[#This Row],[Adjusted %]]*$C$84</f>
        <v>18369.820002351145</v>
      </c>
      <c r="D56" s="17">
        <f>Table15[[#This Row],[Adjusted %]]*$D$84</f>
        <v>55393.517767934674</v>
      </c>
      <c r="E56" s="17">
        <f>Table15[[#This Row],[Adjusted %]]*$E$84</f>
        <v>37869.616826227379</v>
      </c>
      <c r="F56" s="17">
        <f>Table15[[#This Row],[Adjusted %]]*$F$84</f>
        <v>41094.639495940311</v>
      </c>
      <c r="G56" s="17">
        <f>Table15[[#This Row],[Adjusted %]]*$G$84</f>
        <v>41094.639495940311</v>
      </c>
      <c r="H56" s="17">
        <f>Table15[[#This Row],[Adjusted %]]*$H$84</f>
        <v>52153.536616522353</v>
      </c>
      <c r="I56" s="17">
        <f>Table15[[#This Row],[Adjusted %]]*$I$84</f>
        <v>50833.936636572536</v>
      </c>
      <c r="J56" s="17">
        <f>Table15[[#This Row],[Adjusted %]]*$J$84</f>
        <v>55280.65163091931</v>
      </c>
      <c r="K56" s="17">
        <f>Table15[[#This Row],[Adjusted %]]*$K$84</f>
        <v>55259.708785111114</v>
      </c>
      <c r="L56" s="17">
        <f>Table15[[#This Row],[Adjusted %]]*$L$84</f>
        <v>55259.708831632684</v>
      </c>
      <c r="M56" s="17">
        <f>Table15[[#This Row],[Adjusted %]]*$M$84</f>
        <v>26729.149589329958</v>
      </c>
      <c r="N56" s="17">
        <f>Table15[[#This Row],[Adjusted %]]*$N$84</f>
        <v>26729.149589329958</v>
      </c>
      <c r="O56" s="17">
        <f>Table15[[#This Row],[Adjusted %]]*$O$84</f>
        <v>26729.149589329958</v>
      </c>
      <c r="P56" s="17">
        <f>Table15[[#This Row],[Adjusted %]]*$P$84</f>
        <v>26729.149589329958</v>
      </c>
      <c r="Q56" s="17">
        <f>Table15[[#This Row],[Adjusted %]]*$Q$84</f>
        <v>26729.149589329958</v>
      </c>
      <c r="R56" s="17">
        <f>SUM(Table15[[#This Row],[Payment 1]:[Payment 15]])</f>
        <v>596255.52403580165</v>
      </c>
    </row>
    <row r="57" spans="1:18" x14ac:dyDescent="0.3">
      <c r="A57" t="s">
        <v>176</v>
      </c>
      <c r="B57">
        <v>1.6898834612310891E-2</v>
      </c>
      <c r="C57" s="17">
        <f>Table15[[#This Row],[Adjusted %]]*$C$84</f>
        <v>18369.820002351145</v>
      </c>
      <c r="D57" s="17">
        <f>Table15[[#This Row],[Adjusted %]]*$D$84</f>
        <v>55393.517767934674</v>
      </c>
      <c r="E57" s="17">
        <f>Table15[[#This Row],[Adjusted %]]*$E$84</f>
        <v>37869.616826227379</v>
      </c>
      <c r="F57" s="17">
        <f>Table15[[#This Row],[Adjusted %]]*$F$84</f>
        <v>41094.639495940311</v>
      </c>
      <c r="G57" s="17">
        <f>Table15[[#This Row],[Adjusted %]]*$G$84</f>
        <v>41094.639495940311</v>
      </c>
      <c r="H57" s="17">
        <f>Table15[[#This Row],[Adjusted %]]*$H$84</f>
        <v>52153.536616522353</v>
      </c>
      <c r="I57" s="17">
        <f>Table15[[#This Row],[Adjusted %]]*$I$84</f>
        <v>50833.936636572536</v>
      </c>
      <c r="J57" s="17">
        <f>Table15[[#This Row],[Adjusted %]]*$J$84</f>
        <v>55280.65163091931</v>
      </c>
      <c r="K57" s="17">
        <f>Table15[[#This Row],[Adjusted %]]*$K$84</f>
        <v>55259.708785111114</v>
      </c>
      <c r="L57" s="17">
        <f>Table15[[#This Row],[Adjusted %]]*$L$84</f>
        <v>55259.708831632684</v>
      </c>
      <c r="M57" s="17">
        <f>Table15[[#This Row],[Adjusted %]]*$M$84</f>
        <v>26729.149589329958</v>
      </c>
      <c r="N57" s="17">
        <f>Table15[[#This Row],[Adjusted %]]*$N$84</f>
        <v>26729.149589329958</v>
      </c>
      <c r="O57" s="17">
        <f>Table15[[#This Row],[Adjusted %]]*$O$84</f>
        <v>26729.149589329958</v>
      </c>
      <c r="P57" s="17">
        <f>Table15[[#This Row],[Adjusted %]]*$P$84</f>
        <v>26729.149589329958</v>
      </c>
      <c r="Q57" s="17">
        <f>Table15[[#This Row],[Adjusted %]]*$Q$84</f>
        <v>26729.149589329958</v>
      </c>
      <c r="R57" s="17">
        <f>SUM(Table15[[#This Row],[Payment 1]:[Payment 15]])</f>
        <v>596255.52403580165</v>
      </c>
    </row>
    <row r="58" spans="1:18" x14ac:dyDescent="0.3">
      <c r="A58" t="s">
        <v>177</v>
      </c>
      <c r="B58">
        <v>4.2247086530777227E-3</v>
      </c>
      <c r="C58" s="17">
        <f>Table15[[#This Row],[Adjusted %]]*$C$84</f>
        <v>4592.4550005877863</v>
      </c>
      <c r="D58" s="17">
        <f>Table15[[#This Row],[Adjusted %]]*$D$84</f>
        <v>13848.379441983669</v>
      </c>
      <c r="E58" s="17">
        <f>Table15[[#This Row],[Adjusted %]]*$E$84</f>
        <v>9467.4042065568447</v>
      </c>
      <c r="F58" s="17">
        <f>Table15[[#This Row],[Adjusted %]]*$F$84</f>
        <v>10273.659873985078</v>
      </c>
      <c r="G58" s="17">
        <f>Table15[[#This Row],[Adjusted %]]*$G$84</f>
        <v>10273.659873985078</v>
      </c>
      <c r="H58" s="17">
        <f>Table15[[#This Row],[Adjusted %]]*$H$84</f>
        <v>13038.384154130588</v>
      </c>
      <c r="I58" s="17">
        <f>Table15[[#This Row],[Adjusted %]]*$I$84</f>
        <v>12708.484159143134</v>
      </c>
      <c r="J58" s="17">
        <f>Table15[[#This Row],[Adjusted %]]*$J$84</f>
        <v>13820.162907729828</v>
      </c>
      <c r="K58" s="17">
        <f>Table15[[#This Row],[Adjusted %]]*$K$84</f>
        <v>13814.927196277778</v>
      </c>
      <c r="L58" s="17">
        <f>Table15[[#This Row],[Adjusted %]]*$L$84</f>
        <v>13814.927207908171</v>
      </c>
      <c r="M58" s="17">
        <f>Table15[[#This Row],[Adjusted %]]*$M$84</f>
        <v>6682.2873973324895</v>
      </c>
      <c r="N58" s="17">
        <f>Table15[[#This Row],[Adjusted %]]*$N$84</f>
        <v>6682.2873973324895</v>
      </c>
      <c r="O58" s="17">
        <f>Table15[[#This Row],[Adjusted %]]*$O$84</f>
        <v>6682.2873973324895</v>
      </c>
      <c r="P58" s="17">
        <f>Table15[[#This Row],[Adjusted %]]*$P$84</f>
        <v>6682.2873973324895</v>
      </c>
      <c r="Q58" s="17">
        <f>Table15[[#This Row],[Adjusted %]]*$Q$84</f>
        <v>6682.2873973324895</v>
      </c>
      <c r="R58" s="17">
        <f>SUM(Table15[[#This Row],[Payment 1]:[Payment 15]])</f>
        <v>149063.88100895041</v>
      </c>
    </row>
    <row r="59" spans="1:18" x14ac:dyDescent="0.3">
      <c r="A59" t="s">
        <v>178</v>
      </c>
      <c r="B59">
        <v>1.6898834612310891E-2</v>
      </c>
      <c r="C59" s="17">
        <f>Table15[[#This Row],[Adjusted %]]*$C$84</f>
        <v>18369.820002351145</v>
      </c>
      <c r="D59" s="17">
        <f>Table15[[#This Row],[Adjusted %]]*$D$84</f>
        <v>55393.517767934674</v>
      </c>
      <c r="E59" s="17">
        <f>Table15[[#This Row],[Adjusted %]]*$E$84</f>
        <v>37869.616826227379</v>
      </c>
      <c r="F59" s="17">
        <f>Table15[[#This Row],[Adjusted %]]*$F$84</f>
        <v>41094.639495940311</v>
      </c>
      <c r="G59" s="17">
        <f>Table15[[#This Row],[Adjusted %]]*$G$84</f>
        <v>41094.639495940311</v>
      </c>
      <c r="H59" s="17">
        <f>Table15[[#This Row],[Adjusted %]]*$H$84</f>
        <v>52153.536616522353</v>
      </c>
      <c r="I59" s="17">
        <f>Table15[[#This Row],[Adjusted %]]*$I$84</f>
        <v>50833.936636572536</v>
      </c>
      <c r="J59" s="17">
        <f>Table15[[#This Row],[Adjusted %]]*$J$84</f>
        <v>55280.65163091931</v>
      </c>
      <c r="K59" s="17">
        <f>Table15[[#This Row],[Adjusted %]]*$K$84</f>
        <v>55259.708785111114</v>
      </c>
      <c r="L59" s="17">
        <f>Table15[[#This Row],[Adjusted %]]*$L$84</f>
        <v>55259.708831632684</v>
      </c>
      <c r="M59" s="17">
        <f>Table15[[#This Row],[Adjusted %]]*$M$84</f>
        <v>26729.149589329958</v>
      </c>
      <c r="N59" s="17">
        <f>Table15[[#This Row],[Adjusted %]]*$N$84</f>
        <v>26729.149589329958</v>
      </c>
      <c r="O59" s="17">
        <f>Table15[[#This Row],[Adjusted %]]*$O$84</f>
        <v>26729.149589329958</v>
      </c>
      <c r="P59" s="17">
        <f>Table15[[#This Row],[Adjusted %]]*$P$84</f>
        <v>26729.149589329958</v>
      </c>
      <c r="Q59" s="17">
        <f>Table15[[#This Row],[Adjusted %]]*$Q$84</f>
        <v>26729.149589329958</v>
      </c>
      <c r="R59" s="17">
        <f>SUM(Table15[[#This Row],[Payment 1]:[Payment 15]])</f>
        <v>596255.52403580165</v>
      </c>
    </row>
    <row r="60" spans="1:18" x14ac:dyDescent="0.3">
      <c r="A60" t="s">
        <v>179</v>
      </c>
      <c r="B60">
        <v>1.689883461231089E-3</v>
      </c>
      <c r="C60" s="17">
        <f>Table15[[#This Row],[Adjusted %]]*$C$84</f>
        <v>1836.9820002351146</v>
      </c>
      <c r="D60" s="17">
        <f>Table15[[#This Row],[Adjusted %]]*$D$84</f>
        <v>5539.3517767934673</v>
      </c>
      <c r="E60" s="17">
        <f>Table15[[#This Row],[Adjusted %]]*$E$84</f>
        <v>3786.961682622738</v>
      </c>
      <c r="F60" s="17">
        <f>Table15[[#This Row],[Adjusted %]]*$F$84</f>
        <v>4109.463949594031</v>
      </c>
      <c r="G60" s="17">
        <f>Table15[[#This Row],[Adjusted %]]*$G$84</f>
        <v>4109.463949594031</v>
      </c>
      <c r="H60" s="17">
        <f>Table15[[#This Row],[Adjusted %]]*$H$84</f>
        <v>5215.3536616522351</v>
      </c>
      <c r="I60" s="17">
        <f>Table15[[#This Row],[Adjusted %]]*$I$84</f>
        <v>5083.3936636572535</v>
      </c>
      <c r="J60" s="17">
        <f>Table15[[#This Row],[Adjusted %]]*$J$84</f>
        <v>5528.065163091931</v>
      </c>
      <c r="K60" s="17">
        <f>Table15[[#This Row],[Adjusted %]]*$K$84</f>
        <v>5525.9708785111116</v>
      </c>
      <c r="L60" s="17">
        <f>Table15[[#This Row],[Adjusted %]]*$L$84</f>
        <v>5525.9708831632679</v>
      </c>
      <c r="M60" s="17">
        <f>Table15[[#This Row],[Adjusted %]]*$M$84</f>
        <v>2672.9149589329954</v>
      </c>
      <c r="N60" s="17">
        <f>Table15[[#This Row],[Adjusted %]]*$N$84</f>
        <v>2672.9149589329954</v>
      </c>
      <c r="O60" s="17">
        <f>Table15[[#This Row],[Adjusted %]]*$O$84</f>
        <v>2672.9149589329954</v>
      </c>
      <c r="P60" s="17">
        <f>Table15[[#This Row],[Adjusted %]]*$P$84</f>
        <v>2672.9149589329954</v>
      </c>
      <c r="Q60" s="17">
        <f>Table15[[#This Row],[Adjusted %]]*$Q$84</f>
        <v>2672.9149589329954</v>
      </c>
      <c r="R60" s="17">
        <f>SUM(Table15[[#This Row],[Payment 1]:[Payment 15]])</f>
        <v>59625.552403580172</v>
      </c>
    </row>
    <row r="61" spans="1:18" x14ac:dyDescent="0.3">
      <c r="A61" t="s">
        <v>180</v>
      </c>
      <c r="B61">
        <v>4.2247086530777227E-3</v>
      </c>
      <c r="C61" s="17">
        <f>Table15[[#This Row],[Adjusted %]]*$C$84</f>
        <v>4592.4550005877863</v>
      </c>
      <c r="D61" s="17">
        <f>Table15[[#This Row],[Adjusted %]]*$D$84</f>
        <v>13848.379441983669</v>
      </c>
      <c r="E61" s="17">
        <f>Table15[[#This Row],[Adjusted %]]*$E$84</f>
        <v>9467.4042065568447</v>
      </c>
      <c r="F61" s="17">
        <f>Table15[[#This Row],[Adjusted %]]*$F$84</f>
        <v>10273.659873985078</v>
      </c>
      <c r="G61" s="17">
        <f>Table15[[#This Row],[Adjusted %]]*$G$84</f>
        <v>10273.659873985078</v>
      </c>
      <c r="H61" s="17">
        <f>Table15[[#This Row],[Adjusted %]]*$H$84</f>
        <v>13038.384154130588</v>
      </c>
      <c r="I61" s="17">
        <f>Table15[[#This Row],[Adjusted %]]*$I$84</f>
        <v>12708.484159143134</v>
      </c>
      <c r="J61" s="17">
        <f>Table15[[#This Row],[Adjusted %]]*$J$84</f>
        <v>13820.162907729828</v>
      </c>
      <c r="K61" s="17">
        <f>Table15[[#This Row],[Adjusted %]]*$K$84</f>
        <v>13814.927196277778</v>
      </c>
      <c r="L61" s="17">
        <f>Table15[[#This Row],[Adjusted %]]*$L$84</f>
        <v>13814.927207908171</v>
      </c>
      <c r="M61" s="17">
        <f>Table15[[#This Row],[Adjusted %]]*$M$84</f>
        <v>6682.2873973324895</v>
      </c>
      <c r="N61" s="17">
        <f>Table15[[#This Row],[Adjusted %]]*$N$84</f>
        <v>6682.2873973324895</v>
      </c>
      <c r="O61" s="17">
        <f>Table15[[#This Row],[Adjusted %]]*$O$84</f>
        <v>6682.2873973324895</v>
      </c>
      <c r="P61" s="17">
        <f>Table15[[#This Row],[Adjusted %]]*$P$84</f>
        <v>6682.2873973324895</v>
      </c>
      <c r="Q61" s="17">
        <f>Table15[[#This Row],[Adjusted %]]*$Q$84</f>
        <v>6682.2873973324895</v>
      </c>
      <c r="R61" s="17">
        <f>SUM(Table15[[#This Row],[Payment 1]:[Payment 15]])</f>
        <v>149063.88100895041</v>
      </c>
    </row>
    <row r="62" spans="1:18" x14ac:dyDescent="0.3">
      <c r="A62" t="s">
        <v>182</v>
      </c>
      <c r="B62">
        <v>4.2247086530777227E-3</v>
      </c>
      <c r="C62" s="17">
        <f>Table15[[#This Row],[Adjusted %]]*$C$84</f>
        <v>4592.4550005877863</v>
      </c>
      <c r="D62" s="17">
        <f>Table15[[#This Row],[Adjusted %]]*$D$84</f>
        <v>13848.379441983669</v>
      </c>
      <c r="E62" s="17">
        <f>Table15[[#This Row],[Adjusted %]]*$E$84</f>
        <v>9467.4042065568447</v>
      </c>
      <c r="F62" s="17">
        <f>Table15[[#This Row],[Adjusted %]]*$F$84</f>
        <v>10273.659873985078</v>
      </c>
      <c r="G62" s="17">
        <f>Table15[[#This Row],[Adjusted %]]*$G$84</f>
        <v>10273.659873985078</v>
      </c>
      <c r="H62" s="17">
        <f>Table15[[#This Row],[Adjusted %]]*$H$84</f>
        <v>13038.384154130588</v>
      </c>
      <c r="I62" s="17">
        <f>Table15[[#This Row],[Adjusted %]]*$I$84</f>
        <v>12708.484159143134</v>
      </c>
      <c r="J62" s="17">
        <f>Table15[[#This Row],[Adjusted %]]*$J$84</f>
        <v>13820.162907729828</v>
      </c>
      <c r="K62" s="17">
        <f>Table15[[#This Row],[Adjusted %]]*$K$84</f>
        <v>13814.927196277778</v>
      </c>
      <c r="L62" s="17">
        <f>Table15[[#This Row],[Adjusted %]]*$L$84</f>
        <v>13814.927207908171</v>
      </c>
      <c r="M62" s="17">
        <f>Table15[[#This Row],[Adjusted %]]*$M$84</f>
        <v>6682.2873973324895</v>
      </c>
      <c r="N62" s="17">
        <f>Table15[[#This Row],[Adjusted %]]*$N$84</f>
        <v>6682.2873973324895</v>
      </c>
      <c r="O62" s="17">
        <f>Table15[[#This Row],[Adjusted %]]*$O$84</f>
        <v>6682.2873973324895</v>
      </c>
      <c r="P62" s="17">
        <f>Table15[[#This Row],[Adjusted %]]*$P$84</f>
        <v>6682.2873973324895</v>
      </c>
      <c r="Q62" s="17">
        <f>Table15[[#This Row],[Adjusted %]]*$Q$84</f>
        <v>6682.2873973324895</v>
      </c>
      <c r="R62" s="17">
        <f>SUM(Table15[[#This Row],[Payment 1]:[Payment 15]])</f>
        <v>149063.88100895041</v>
      </c>
    </row>
    <row r="63" spans="1:18" x14ac:dyDescent="0.3">
      <c r="A63" t="s">
        <v>183</v>
      </c>
      <c r="B63">
        <v>4.2247086530777227E-3</v>
      </c>
      <c r="C63" s="17">
        <f>Table15[[#This Row],[Adjusted %]]*$C$84</f>
        <v>4592.4550005877863</v>
      </c>
      <c r="D63" s="17">
        <f>Table15[[#This Row],[Adjusted %]]*$D$84</f>
        <v>13848.379441983669</v>
      </c>
      <c r="E63" s="17">
        <f>Table15[[#This Row],[Adjusted %]]*$E$84</f>
        <v>9467.4042065568447</v>
      </c>
      <c r="F63" s="17">
        <f>Table15[[#This Row],[Adjusted %]]*$F$84</f>
        <v>10273.659873985078</v>
      </c>
      <c r="G63" s="17">
        <f>Table15[[#This Row],[Adjusted %]]*$G$84</f>
        <v>10273.659873985078</v>
      </c>
      <c r="H63" s="17">
        <f>Table15[[#This Row],[Adjusted %]]*$H$84</f>
        <v>13038.384154130588</v>
      </c>
      <c r="I63" s="17">
        <f>Table15[[#This Row],[Adjusted %]]*$I$84</f>
        <v>12708.484159143134</v>
      </c>
      <c r="J63" s="17">
        <f>Table15[[#This Row],[Adjusted %]]*$J$84</f>
        <v>13820.162907729828</v>
      </c>
      <c r="K63" s="17">
        <f>Table15[[#This Row],[Adjusted %]]*$K$84</f>
        <v>13814.927196277778</v>
      </c>
      <c r="L63" s="17">
        <f>Table15[[#This Row],[Adjusted %]]*$L$84</f>
        <v>13814.927207908171</v>
      </c>
      <c r="M63" s="17">
        <f>Table15[[#This Row],[Adjusted %]]*$M$84</f>
        <v>6682.2873973324895</v>
      </c>
      <c r="N63" s="17">
        <f>Table15[[#This Row],[Adjusted %]]*$N$84</f>
        <v>6682.2873973324895</v>
      </c>
      <c r="O63" s="17">
        <f>Table15[[#This Row],[Adjusted %]]*$O$84</f>
        <v>6682.2873973324895</v>
      </c>
      <c r="P63" s="17">
        <f>Table15[[#This Row],[Adjusted %]]*$P$84</f>
        <v>6682.2873973324895</v>
      </c>
      <c r="Q63" s="17">
        <f>Table15[[#This Row],[Adjusted %]]*$Q$84</f>
        <v>6682.2873973324895</v>
      </c>
      <c r="R63" s="17">
        <f>SUM(Table15[[#This Row],[Payment 1]:[Payment 15]])</f>
        <v>149063.88100895041</v>
      </c>
    </row>
    <row r="64" spans="1:18" x14ac:dyDescent="0.3">
      <c r="A64" t="s">
        <v>184</v>
      </c>
      <c r="B64">
        <v>2.2518659627010083E-2</v>
      </c>
      <c r="C64" s="17">
        <f>Table15[[#This Row],[Adjusted %]]*$C$84</f>
        <v>24478.83144208245</v>
      </c>
      <c r="D64" s="17">
        <f>Table15[[#This Row],[Adjusted %]]*$D$84</f>
        <v>73815.017471685744</v>
      </c>
      <c r="E64" s="17">
        <f>Table15[[#This Row],[Adjusted %]]*$E$84</f>
        <v>50463.42135888226</v>
      </c>
      <c r="F64" s="17">
        <f>Table15[[#This Row],[Adjusted %]]*$F$84</f>
        <v>54760.947753734981</v>
      </c>
      <c r="G64" s="17">
        <f>Table15[[#This Row],[Adjusted %]]*$G$84</f>
        <v>54760.947753734981</v>
      </c>
      <c r="H64" s="17">
        <f>Table15[[#This Row],[Adjusted %]]*$H$84</f>
        <v>69497.558047979066</v>
      </c>
      <c r="I64" s="17">
        <f>Table15[[#This Row],[Adjusted %]]*$I$84</f>
        <v>67739.115914303693</v>
      </c>
      <c r="J64" s="17">
        <f>Table15[[#This Row],[Adjusted %]]*$J$84</f>
        <v>73664.616915601669</v>
      </c>
      <c r="K64" s="17">
        <f>Table15[[#This Row],[Adjusted %]]*$K$84</f>
        <v>73636.709380721586</v>
      </c>
      <c r="L64" s="17">
        <f>Table15[[#This Row],[Adjusted %]]*$L$84</f>
        <v>73636.709442714229</v>
      </c>
      <c r="M64" s="17">
        <f>Table15[[#This Row],[Adjusted %]]*$M$84</f>
        <v>35618.114238662762</v>
      </c>
      <c r="N64" s="17">
        <f>Table15[[#This Row],[Adjusted %]]*$N$84</f>
        <v>35618.114238662762</v>
      </c>
      <c r="O64" s="17">
        <f>Table15[[#This Row],[Adjusted %]]*$O$84</f>
        <v>35618.114238662762</v>
      </c>
      <c r="P64" s="17">
        <f>Table15[[#This Row],[Adjusted %]]*$P$84</f>
        <v>35618.114238662762</v>
      </c>
      <c r="Q64" s="17">
        <f>Table15[[#This Row],[Adjusted %]]*$Q$84</f>
        <v>35618.114238662762</v>
      </c>
      <c r="R64" s="17">
        <f>SUM(Table15[[#This Row],[Payment 1]:[Payment 15]])</f>
        <v>794544.44667475449</v>
      </c>
    </row>
    <row r="65" spans="1:18" x14ac:dyDescent="0.3">
      <c r="A65" t="s">
        <v>185</v>
      </c>
      <c r="B65">
        <v>8.4494173061554472E-3</v>
      </c>
      <c r="C65" s="17">
        <f>Table15[[#This Row],[Adjusted %]]*$C$84</f>
        <v>9184.9100011755745</v>
      </c>
      <c r="D65" s="17">
        <f>Table15[[#This Row],[Adjusted %]]*$D$84</f>
        <v>27696.758883967344</v>
      </c>
      <c r="E65" s="17">
        <f>Table15[[#This Row],[Adjusted %]]*$E$84</f>
        <v>18934.808413113693</v>
      </c>
      <c r="F65" s="17">
        <f>Table15[[#This Row],[Adjusted %]]*$F$84</f>
        <v>20547.319747970159</v>
      </c>
      <c r="G65" s="17">
        <f>Table15[[#This Row],[Adjusted %]]*$G$84</f>
        <v>20547.319747970159</v>
      </c>
      <c r="H65" s="17">
        <f>Table15[[#This Row],[Adjusted %]]*$H$84</f>
        <v>26076.768308261184</v>
      </c>
      <c r="I65" s="17">
        <f>Table15[[#This Row],[Adjusted %]]*$I$84</f>
        <v>25416.968318286272</v>
      </c>
      <c r="J65" s="17">
        <f>Table15[[#This Row],[Adjusted %]]*$J$84</f>
        <v>27640.325815459659</v>
      </c>
      <c r="K65" s="17">
        <f>Table15[[#This Row],[Adjusted %]]*$K$84</f>
        <v>27629.854392555564</v>
      </c>
      <c r="L65" s="17">
        <f>Table15[[#This Row],[Adjusted %]]*$L$84</f>
        <v>27629.85441581635</v>
      </c>
      <c r="M65" s="17">
        <f>Table15[[#This Row],[Adjusted %]]*$M$84</f>
        <v>13364.574794664981</v>
      </c>
      <c r="N65" s="17">
        <f>Table15[[#This Row],[Adjusted %]]*$N$84</f>
        <v>13364.574794664981</v>
      </c>
      <c r="O65" s="17">
        <f>Table15[[#This Row],[Adjusted %]]*$O$84</f>
        <v>13364.574794664981</v>
      </c>
      <c r="P65" s="17">
        <f>Table15[[#This Row],[Adjusted %]]*$P$84</f>
        <v>13364.574794664981</v>
      </c>
      <c r="Q65" s="17">
        <f>Table15[[#This Row],[Adjusted %]]*$Q$84</f>
        <v>13364.574794664981</v>
      </c>
      <c r="R65" s="17">
        <f>SUM(Table15[[#This Row],[Payment 1]:[Payment 15]])</f>
        <v>298127.76201790088</v>
      </c>
    </row>
    <row r="66" spans="1:18" x14ac:dyDescent="0.3">
      <c r="A66" t="s">
        <v>187</v>
      </c>
      <c r="B66">
        <v>8.4494173061554472E-3</v>
      </c>
      <c r="C66" s="17">
        <f>Table15[[#This Row],[Adjusted %]]*$C$84</f>
        <v>9184.9100011755745</v>
      </c>
      <c r="D66" s="17">
        <f>Table15[[#This Row],[Adjusted %]]*$D$84</f>
        <v>27696.758883967344</v>
      </c>
      <c r="E66" s="17">
        <f>Table15[[#This Row],[Adjusted %]]*$E$84</f>
        <v>18934.808413113693</v>
      </c>
      <c r="F66" s="17">
        <f>Table15[[#This Row],[Adjusted %]]*$F$84</f>
        <v>20547.319747970159</v>
      </c>
      <c r="G66" s="17">
        <f>Table15[[#This Row],[Adjusted %]]*$G$84</f>
        <v>20547.319747970159</v>
      </c>
      <c r="H66" s="17">
        <f>Table15[[#This Row],[Adjusted %]]*$H$84</f>
        <v>26076.768308261184</v>
      </c>
      <c r="I66" s="17">
        <f>Table15[[#This Row],[Adjusted %]]*$I$84</f>
        <v>25416.968318286272</v>
      </c>
      <c r="J66" s="17">
        <f>Table15[[#This Row],[Adjusted %]]*$J$84</f>
        <v>27640.325815459659</v>
      </c>
      <c r="K66" s="17">
        <f>Table15[[#This Row],[Adjusted %]]*$K$84</f>
        <v>27629.854392555564</v>
      </c>
      <c r="L66" s="17">
        <f>Table15[[#This Row],[Adjusted %]]*$L$84</f>
        <v>27629.85441581635</v>
      </c>
      <c r="M66" s="17">
        <f>Table15[[#This Row],[Adjusted %]]*$M$84</f>
        <v>13364.574794664981</v>
      </c>
      <c r="N66" s="17">
        <f>Table15[[#This Row],[Adjusted %]]*$N$84</f>
        <v>13364.574794664981</v>
      </c>
      <c r="O66" s="17">
        <f>Table15[[#This Row],[Adjusted %]]*$O$84</f>
        <v>13364.574794664981</v>
      </c>
      <c r="P66" s="17">
        <f>Table15[[#This Row],[Adjusted %]]*$P$84</f>
        <v>13364.574794664981</v>
      </c>
      <c r="Q66" s="17">
        <f>Table15[[#This Row],[Adjusted %]]*$Q$84</f>
        <v>13364.574794664981</v>
      </c>
      <c r="R66" s="17">
        <f>SUM(Table15[[#This Row],[Payment 1]:[Payment 15]])</f>
        <v>298127.76201790088</v>
      </c>
    </row>
    <row r="67" spans="1:18" x14ac:dyDescent="0.3">
      <c r="A67" t="s">
        <v>188</v>
      </c>
      <c r="B67">
        <v>2.1800540103258569E-2</v>
      </c>
      <c r="C67" s="17">
        <f>Table15[[#This Row],[Adjusted %]]*$C$84</f>
        <v>23698.20208543562</v>
      </c>
      <c r="D67" s="17">
        <f>Table15[[#This Row],[Adjusted %]]*$D$84</f>
        <v>71461.058307575644</v>
      </c>
      <c r="E67" s="17">
        <f>Table15[[#This Row],[Adjusted %]]*$E$84</f>
        <v>48854.144043386717</v>
      </c>
      <c r="F67" s="17">
        <f>Table15[[#This Row],[Adjusted %]]*$F$84</f>
        <v>53014.622422989036</v>
      </c>
      <c r="G67" s="17">
        <f>Table15[[#This Row],[Adjusted %]]*$G$84</f>
        <v>53014.622422989036</v>
      </c>
      <c r="H67" s="17">
        <f>Table15[[#This Row],[Adjusted %]]*$H$84</f>
        <v>67281.282562938824</v>
      </c>
      <c r="I67" s="17">
        <f>Table15[[#This Row],[Adjusted %]]*$I$84</f>
        <v>65578.917107382644</v>
      </c>
      <c r="J67" s="17">
        <f>Table15[[#This Row],[Adjusted %]]*$J$84</f>
        <v>71315.454021673533</v>
      </c>
      <c r="K67" s="17">
        <f>Table15[[#This Row],[Adjusted %]]*$K$84</f>
        <v>71288.436457421776</v>
      </c>
      <c r="L67" s="17">
        <f>Table15[[#This Row],[Adjusted %]]*$L$84</f>
        <v>71288.436517437469</v>
      </c>
      <c r="M67" s="17">
        <f>Table15[[#This Row],[Adjusted %]]*$M$84</f>
        <v>34482.253416675121</v>
      </c>
      <c r="N67" s="17">
        <f>Table15[[#This Row],[Adjusted %]]*$N$84</f>
        <v>34482.253416675121</v>
      </c>
      <c r="O67" s="17">
        <f>Table15[[#This Row],[Adjusted %]]*$O$84</f>
        <v>34482.253416675121</v>
      </c>
      <c r="P67" s="17">
        <f>Table15[[#This Row],[Adjusted %]]*$P$84</f>
        <v>34482.253416675121</v>
      </c>
      <c r="Q67" s="17">
        <f>Table15[[#This Row],[Adjusted %]]*$Q$84</f>
        <v>34482.253416675121</v>
      </c>
      <c r="R67" s="17">
        <f>SUM(Table15[[#This Row],[Payment 1]:[Payment 15]])</f>
        <v>769206.44303260592</v>
      </c>
    </row>
    <row r="68" spans="1:18" x14ac:dyDescent="0.3">
      <c r="A68" t="s">
        <v>189</v>
      </c>
      <c r="B68">
        <v>1.689883461231089E-3</v>
      </c>
      <c r="C68" s="17">
        <f>Table15[[#This Row],[Adjusted %]]*$C$84</f>
        <v>1836.9820002351146</v>
      </c>
      <c r="D68" s="17">
        <f>Table15[[#This Row],[Adjusted %]]*$D$84</f>
        <v>5539.3517767934673</v>
      </c>
      <c r="E68" s="17">
        <f>Table15[[#This Row],[Adjusted %]]*$E$84</f>
        <v>3786.961682622738</v>
      </c>
      <c r="F68" s="17">
        <f>Table15[[#This Row],[Adjusted %]]*$F$84</f>
        <v>4109.463949594031</v>
      </c>
      <c r="G68" s="17">
        <f>Table15[[#This Row],[Adjusted %]]*$G$84</f>
        <v>4109.463949594031</v>
      </c>
      <c r="H68" s="17">
        <f>Table15[[#This Row],[Adjusted %]]*$H$84</f>
        <v>5215.3536616522351</v>
      </c>
      <c r="I68" s="17">
        <f>Table15[[#This Row],[Adjusted %]]*$I$84</f>
        <v>5083.3936636572535</v>
      </c>
      <c r="J68" s="17">
        <f>Table15[[#This Row],[Adjusted %]]*$J$84</f>
        <v>5528.065163091931</v>
      </c>
      <c r="K68" s="17">
        <f>Table15[[#This Row],[Adjusted %]]*$K$84</f>
        <v>5525.9708785111116</v>
      </c>
      <c r="L68" s="17">
        <f>Table15[[#This Row],[Adjusted %]]*$L$84</f>
        <v>5525.9708831632679</v>
      </c>
      <c r="M68" s="17">
        <f>Table15[[#This Row],[Adjusted %]]*$M$84</f>
        <v>2672.9149589329954</v>
      </c>
      <c r="N68" s="17">
        <f>Table15[[#This Row],[Adjusted %]]*$N$84</f>
        <v>2672.9149589329954</v>
      </c>
      <c r="O68" s="17">
        <f>Table15[[#This Row],[Adjusted %]]*$O$84</f>
        <v>2672.9149589329954</v>
      </c>
      <c r="P68" s="17">
        <f>Table15[[#This Row],[Adjusted %]]*$P$84</f>
        <v>2672.9149589329954</v>
      </c>
      <c r="Q68" s="17">
        <f>Table15[[#This Row],[Adjusted %]]*$Q$84</f>
        <v>2672.9149589329954</v>
      </c>
      <c r="R68" s="17">
        <f>SUM(Table15[[#This Row],[Payment 1]:[Payment 15]])</f>
        <v>59625.552403580172</v>
      </c>
    </row>
    <row r="69" spans="1:18" x14ac:dyDescent="0.3">
      <c r="A69" t="s">
        <v>190</v>
      </c>
      <c r="B69">
        <v>1.6898834612310891E-2</v>
      </c>
      <c r="C69" s="17">
        <f>Table15[[#This Row],[Adjusted %]]*$C$84</f>
        <v>18369.820002351145</v>
      </c>
      <c r="D69" s="17">
        <f>Table15[[#This Row],[Adjusted %]]*$D$84</f>
        <v>55393.517767934674</v>
      </c>
      <c r="E69" s="17">
        <f>Table15[[#This Row],[Adjusted %]]*$E$84</f>
        <v>37869.616826227379</v>
      </c>
      <c r="F69" s="17">
        <f>Table15[[#This Row],[Adjusted %]]*$F$84</f>
        <v>41094.639495940311</v>
      </c>
      <c r="G69" s="17">
        <f>Table15[[#This Row],[Adjusted %]]*$G$84</f>
        <v>41094.639495940311</v>
      </c>
      <c r="H69" s="17">
        <f>Table15[[#This Row],[Adjusted %]]*$H$84</f>
        <v>52153.536616522353</v>
      </c>
      <c r="I69" s="17">
        <f>Table15[[#This Row],[Adjusted %]]*$I$84</f>
        <v>50833.936636572536</v>
      </c>
      <c r="J69" s="17">
        <f>Table15[[#This Row],[Adjusted %]]*$J$84</f>
        <v>55280.65163091931</v>
      </c>
      <c r="K69" s="17">
        <f>Table15[[#This Row],[Adjusted %]]*$K$84</f>
        <v>55259.708785111114</v>
      </c>
      <c r="L69" s="17">
        <f>Table15[[#This Row],[Adjusted %]]*$L$84</f>
        <v>55259.708831632684</v>
      </c>
      <c r="M69" s="17">
        <f>Table15[[#This Row],[Adjusted %]]*$M$84</f>
        <v>26729.149589329958</v>
      </c>
      <c r="N69" s="17">
        <f>Table15[[#This Row],[Adjusted %]]*$N$84</f>
        <v>26729.149589329958</v>
      </c>
      <c r="O69" s="17">
        <f>Table15[[#This Row],[Adjusted %]]*$O$84</f>
        <v>26729.149589329958</v>
      </c>
      <c r="P69" s="17">
        <f>Table15[[#This Row],[Adjusted %]]*$P$84</f>
        <v>26729.149589329958</v>
      </c>
      <c r="Q69" s="17">
        <f>Table15[[#This Row],[Adjusted %]]*$Q$84</f>
        <v>26729.149589329958</v>
      </c>
      <c r="R69" s="17">
        <f>SUM(Table15[[#This Row],[Payment 1]:[Payment 15]])</f>
        <v>596255.52403580165</v>
      </c>
    </row>
    <row r="70" spans="1:18" x14ac:dyDescent="0.3">
      <c r="A70" t="s">
        <v>192</v>
      </c>
      <c r="B70">
        <v>1.689883461231089E-3</v>
      </c>
      <c r="C70" s="17">
        <f>Table15[[#This Row],[Adjusted %]]*$C$84</f>
        <v>1836.9820002351146</v>
      </c>
      <c r="D70" s="17">
        <f>Table15[[#This Row],[Adjusted %]]*$D$84</f>
        <v>5539.3517767934673</v>
      </c>
      <c r="E70" s="17">
        <f>Table15[[#This Row],[Adjusted %]]*$E$84</f>
        <v>3786.961682622738</v>
      </c>
      <c r="F70" s="17">
        <f>Table15[[#This Row],[Adjusted %]]*$F$84</f>
        <v>4109.463949594031</v>
      </c>
      <c r="G70" s="17">
        <f>Table15[[#This Row],[Adjusted %]]*$G$84</f>
        <v>4109.463949594031</v>
      </c>
      <c r="H70" s="17">
        <f>Table15[[#This Row],[Adjusted %]]*$H$84</f>
        <v>5215.3536616522351</v>
      </c>
      <c r="I70" s="17">
        <f>Table15[[#This Row],[Adjusted %]]*$I$84</f>
        <v>5083.3936636572535</v>
      </c>
      <c r="J70" s="17">
        <f>Table15[[#This Row],[Adjusted %]]*$J$84</f>
        <v>5528.065163091931</v>
      </c>
      <c r="K70" s="17">
        <f>Table15[[#This Row],[Adjusted %]]*$K$84</f>
        <v>5525.9708785111116</v>
      </c>
      <c r="L70" s="17">
        <f>Table15[[#This Row],[Adjusted %]]*$L$84</f>
        <v>5525.9708831632679</v>
      </c>
      <c r="M70" s="17">
        <f>Table15[[#This Row],[Adjusted %]]*$M$84</f>
        <v>2672.9149589329954</v>
      </c>
      <c r="N70" s="17">
        <f>Table15[[#This Row],[Adjusted %]]*$N$84</f>
        <v>2672.9149589329954</v>
      </c>
      <c r="O70" s="17">
        <f>Table15[[#This Row],[Adjusted %]]*$O$84</f>
        <v>2672.9149589329954</v>
      </c>
      <c r="P70" s="17">
        <f>Table15[[#This Row],[Adjusted %]]*$P$84</f>
        <v>2672.9149589329954</v>
      </c>
      <c r="Q70" s="17">
        <f>Table15[[#This Row],[Adjusted %]]*$Q$84</f>
        <v>2672.9149589329954</v>
      </c>
      <c r="R70" s="17">
        <f>SUM(Table15[[#This Row],[Payment 1]:[Payment 15]])</f>
        <v>59625.552403580172</v>
      </c>
    </row>
    <row r="71" spans="1:18" x14ac:dyDescent="0.3">
      <c r="A71" t="s">
        <v>193</v>
      </c>
      <c r="B71">
        <v>4.2247086530777227E-3</v>
      </c>
      <c r="C71" s="17">
        <f>Table15[[#This Row],[Adjusted %]]*$C$84</f>
        <v>4592.4550005877863</v>
      </c>
      <c r="D71" s="17">
        <f>Table15[[#This Row],[Adjusted %]]*$D$84</f>
        <v>13848.379441983669</v>
      </c>
      <c r="E71" s="17">
        <f>Table15[[#This Row],[Adjusted %]]*$E$84</f>
        <v>9467.4042065568447</v>
      </c>
      <c r="F71" s="17">
        <f>Table15[[#This Row],[Adjusted %]]*$F$84</f>
        <v>10273.659873985078</v>
      </c>
      <c r="G71" s="17">
        <f>Table15[[#This Row],[Adjusted %]]*$G$84</f>
        <v>10273.659873985078</v>
      </c>
      <c r="H71" s="17">
        <f>Table15[[#This Row],[Adjusted %]]*$H$84</f>
        <v>13038.384154130588</v>
      </c>
      <c r="I71" s="17">
        <f>Table15[[#This Row],[Adjusted %]]*$I$84</f>
        <v>12708.484159143134</v>
      </c>
      <c r="J71" s="17">
        <f>Table15[[#This Row],[Adjusted %]]*$J$84</f>
        <v>13820.162907729828</v>
      </c>
      <c r="K71" s="17">
        <f>Table15[[#This Row],[Adjusted %]]*$K$84</f>
        <v>13814.927196277778</v>
      </c>
      <c r="L71" s="17">
        <f>Table15[[#This Row],[Adjusted %]]*$L$84</f>
        <v>13814.927207908171</v>
      </c>
      <c r="M71" s="17">
        <f>Table15[[#This Row],[Adjusted %]]*$M$84</f>
        <v>6682.2873973324895</v>
      </c>
      <c r="N71" s="17">
        <f>Table15[[#This Row],[Adjusted %]]*$N$84</f>
        <v>6682.2873973324895</v>
      </c>
      <c r="O71" s="17">
        <f>Table15[[#This Row],[Adjusted %]]*$O$84</f>
        <v>6682.2873973324895</v>
      </c>
      <c r="P71" s="17">
        <f>Table15[[#This Row],[Adjusted %]]*$P$84</f>
        <v>6682.2873973324895</v>
      </c>
      <c r="Q71" s="17">
        <f>Table15[[#This Row],[Adjusted %]]*$Q$84</f>
        <v>6682.2873973324895</v>
      </c>
      <c r="R71" s="17">
        <f>SUM(Table15[[#This Row],[Payment 1]:[Payment 15]])</f>
        <v>149063.88100895041</v>
      </c>
    </row>
    <row r="72" spans="1:18" x14ac:dyDescent="0.3">
      <c r="A72" t="s">
        <v>196</v>
      </c>
      <c r="B72">
        <v>4.2247086530777227E-3</v>
      </c>
      <c r="C72" s="17">
        <f>Table15[[#This Row],[Adjusted %]]*$C$84</f>
        <v>4592.4550005877863</v>
      </c>
      <c r="D72" s="17">
        <f>Table15[[#This Row],[Adjusted %]]*$D$84</f>
        <v>13848.379441983669</v>
      </c>
      <c r="E72" s="17">
        <f>Table15[[#This Row],[Adjusted %]]*$E$84</f>
        <v>9467.4042065568447</v>
      </c>
      <c r="F72" s="17">
        <f>Table15[[#This Row],[Adjusted %]]*$F$84</f>
        <v>10273.659873985078</v>
      </c>
      <c r="G72" s="17">
        <f>Table15[[#This Row],[Adjusted %]]*$G$84</f>
        <v>10273.659873985078</v>
      </c>
      <c r="H72" s="17">
        <f>Table15[[#This Row],[Adjusted %]]*$H$84</f>
        <v>13038.384154130588</v>
      </c>
      <c r="I72" s="17">
        <f>Table15[[#This Row],[Adjusted %]]*$I$84</f>
        <v>12708.484159143134</v>
      </c>
      <c r="J72" s="17">
        <f>Table15[[#This Row],[Adjusted %]]*$J$84</f>
        <v>13820.162907729828</v>
      </c>
      <c r="K72" s="17">
        <f>Table15[[#This Row],[Adjusted %]]*$K$84</f>
        <v>13814.927196277778</v>
      </c>
      <c r="L72" s="17">
        <f>Table15[[#This Row],[Adjusted %]]*$L$84</f>
        <v>13814.927207908171</v>
      </c>
      <c r="M72" s="17">
        <f>Table15[[#This Row],[Adjusted %]]*$M$84</f>
        <v>6682.2873973324895</v>
      </c>
      <c r="N72" s="17">
        <f>Table15[[#This Row],[Adjusted %]]*$N$84</f>
        <v>6682.2873973324895</v>
      </c>
      <c r="O72" s="17">
        <f>Table15[[#This Row],[Adjusted %]]*$O$84</f>
        <v>6682.2873973324895</v>
      </c>
      <c r="P72" s="17">
        <f>Table15[[#This Row],[Adjusted %]]*$P$84</f>
        <v>6682.2873973324895</v>
      </c>
      <c r="Q72" s="17">
        <f>Table15[[#This Row],[Adjusted %]]*$Q$84</f>
        <v>6682.2873973324895</v>
      </c>
      <c r="R72" s="17">
        <f>SUM(Table15[[#This Row],[Payment 1]:[Payment 15]])</f>
        <v>149063.88100895041</v>
      </c>
    </row>
    <row r="73" spans="1:18" x14ac:dyDescent="0.3">
      <c r="A73" t="s">
        <v>197</v>
      </c>
      <c r="B73">
        <v>4.2247086530777227E-3</v>
      </c>
      <c r="C73" s="17">
        <f>Table15[[#This Row],[Adjusted %]]*$C$84</f>
        <v>4592.4550005877863</v>
      </c>
      <c r="D73" s="17">
        <f>Table15[[#This Row],[Adjusted %]]*$D$84</f>
        <v>13848.379441983669</v>
      </c>
      <c r="E73" s="17">
        <f>Table15[[#This Row],[Adjusted %]]*$E$84</f>
        <v>9467.4042065568447</v>
      </c>
      <c r="F73" s="17">
        <f>Table15[[#This Row],[Adjusted %]]*$F$84</f>
        <v>10273.659873985078</v>
      </c>
      <c r="G73" s="17">
        <f>Table15[[#This Row],[Adjusted %]]*$G$84</f>
        <v>10273.659873985078</v>
      </c>
      <c r="H73" s="17">
        <f>Table15[[#This Row],[Adjusted %]]*$H$84</f>
        <v>13038.384154130588</v>
      </c>
      <c r="I73" s="17">
        <f>Table15[[#This Row],[Adjusted %]]*$I$84</f>
        <v>12708.484159143134</v>
      </c>
      <c r="J73" s="17">
        <f>Table15[[#This Row],[Adjusted %]]*$J$84</f>
        <v>13820.162907729828</v>
      </c>
      <c r="K73" s="17">
        <f>Table15[[#This Row],[Adjusted %]]*$K$84</f>
        <v>13814.927196277778</v>
      </c>
      <c r="L73" s="17">
        <f>Table15[[#This Row],[Adjusted %]]*$L$84</f>
        <v>13814.927207908171</v>
      </c>
      <c r="M73" s="17">
        <f>Table15[[#This Row],[Adjusted %]]*$M$84</f>
        <v>6682.2873973324895</v>
      </c>
      <c r="N73" s="17">
        <f>Table15[[#This Row],[Adjusted %]]*$N$84</f>
        <v>6682.2873973324895</v>
      </c>
      <c r="O73" s="17">
        <f>Table15[[#This Row],[Adjusted %]]*$O$84</f>
        <v>6682.2873973324895</v>
      </c>
      <c r="P73" s="17">
        <f>Table15[[#This Row],[Adjusted %]]*$P$84</f>
        <v>6682.2873973324895</v>
      </c>
      <c r="Q73" s="17">
        <f>Table15[[#This Row],[Adjusted %]]*$Q$84</f>
        <v>6682.2873973324895</v>
      </c>
      <c r="R73" s="17">
        <f>SUM(Table15[[#This Row],[Payment 1]:[Payment 15]])</f>
        <v>149063.88100895041</v>
      </c>
    </row>
    <row r="74" spans="1:18" x14ac:dyDescent="0.3">
      <c r="A74" t="s">
        <v>198</v>
      </c>
      <c r="B74">
        <v>1.5063888194173956E-2</v>
      </c>
      <c r="C74" s="17">
        <f>Table15[[#This Row],[Adjusted %]]*$C$84</f>
        <v>16375.147814093958</v>
      </c>
      <c r="D74" s="17">
        <f>Table15[[#This Row],[Adjusted %]]*$D$84</f>
        <v>49378.657018766324</v>
      </c>
      <c r="E74" s="17">
        <f>Table15[[#This Row],[Adjusted %]]*$E$84</f>
        <v>33757.574821811213</v>
      </c>
      <c r="F74" s="17">
        <f>Table15[[#This Row],[Adjusted %]]*$F$84</f>
        <v>36632.410988610558</v>
      </c>
      <c r="G74" s="17">
        <f>Table15[[#This Row],[Adjusted %]]*$G$84</f>
        <v>36632.410988610558</v>
      </c>
      <c r="H74" s="17">
        <f>Table15[[#This Row],[Adjusted %]]*$H$84</f>
        <v>46490.486625019155</v>
      </c>
      <c r="I74" s="17">
        <f>Table15[[#This Row],[Adjusted %]]*$I$84</f>
        <v>45314.174351715003</v>
      </c>
      <c r="J74" s="17">
        <f>Table15[[#This Row],[Adjusted %]]*$J$84</f>
        <v>49278.046360817803</v>
      </c>
      <c r="K74" s="17">
        <f>Table15[[#This Row],[Adjusted %]]*$K$84</f>
        <v>49259.377577143656</v>
      </c>
      <c r="L74" s="17">
        <f>Table15[[#This Row],[Adjusted %]]*$L$84</f>
        <v>49259.377618613711</v>
      </c>
      <c r="M74" s="17">
        <f>Table15[[#This Row],[Adjusted %]]*$M$84</f>
        <v>23826.78629481871</v>
      </c>
      <c r="N74" s="17">
        <f>Table15[[#This Row],[Adjusted %]]*$N$84</f>
        <v>23826.78629481871</v>
      </c>
      <c r="O74" s="17">
        <f>Table15[[#This Row],[Adjusted %]]*$O$84</f>
        <v>23826.78629481871</v>
      </c>
      <c r="P74" s="17">
        <f>Table15[[#This Row],[Adjusted %]]*$P$84</f>
        <v>23826.78629481871</v>
      </c>
      <c r="Q74" s="17">
        <f>Table15[[#This Row],[Adjusted %]]*$Q$84</f>
        <v>23826.78629481871</v>
      </c>
      <c r="R74" s="17">
        <f>SUM(Table15[[#This Row],[Payment 1]:[Payment 15]])</f>
        <v>531511.59563929564</v>
      </c>
    </row>
    <row r="75" spans="1:18" x14ac:dyDescent="0.3">
      <c r="A75" t="s">
        <v>199</v>
      </c>
      <c r="B75">
        <v>4.2247086530777227E-3</v>
      </c>
      <c r="C75" s="17">
        <f>Table15[[#This Row],[Adjusted %]]*$C$84</f>
        <v>4592.4550005877863</v>
      </c>
      <c r="D75" s="17">
        <f>Table15[[#This Row],[Adjusted %]]*$D$84</f>
        <v>13848.379441983669</v>
      </c>
      <c r="E75" s="17">
        <f>Table15[[#This Row],[Adjusted %]]*$E$84</f>
        <v>9467.4042065568447</v>
      </c>
      <c r="F75" s="17">
        <f>Table15[[#This Row],[Adjusted %]]*$F$84</f>
        <v>10273.659873985078</v>
      </c>
      <c r="G75" s="17">
        <f>Table15[[#This Row],[Adjusted %]]*$G$84</f>
        <v>10273.659873985078</v>
      </c>
      <c r="H75" s="17">
        <f>Table15[[#This Row],[Adjusted %]]*$H$84</f>
        <v>13038.384154130588</v>
      </c>
      <c r="I75" s="17">
        <f>Table15[[#This Row],[Adjusted %]]*$I$84</f>
        <v>12708.484159143134</v>
      </c>
      <c r="J75" s="17">
        <f>Table15[[#This Row],[Adjusted %]]*$J$84</f>
        <v>13820.162907729828</v>
      </c>
      <c r="K75" s="17">
        <f>Table15[[#This Row],[Adjusted %]]*$K$84</f>
        <v>13814.927196277778</v>
      </c>
      <c r="L75" s="17">
        <f>Table15[[#This Row],[Adjusted %]]*$L$84</f>
        <v>13814.927207908171</v>
      </c>
      <c r="M75" s="17">
        <f>Table15[[#This Row],[Adjusted %]]*$M$84</f>
        <v>6682.2873973324895</v>
      </c>
      <c r="N75" s="17">
        <f>Table15[[#This Row],[Adjusted %]]*$N$84</f>
        <v>6682.2873973324895</v>
      </c>
      <c r="O75" s="17">
        <f>Table15[[#This Row],[Adjusted %]]*$O$84</f>
        <v>6682.2873973324895</v>
      </c>
      <c r="P75" s="17">
        <f>Table15[[#This Row],[Adjusted %]]*$P$84</f>
        <v>6682.2873973324895</v>
      </c>
      <c r="Q75" s="17">
        <f>Table15[[#This Row],[Adjusted %]]*$Q$84</f>
        <v>6682.2873973324895</v>
      </c>
      <c r="R75" s="17">
        <f>SUM(Table15[[#This Row],[Payment 1]:[Payment 15]])</f>
        <v>149063.88100895041</v>
      </c>
    </row>
    <row r="76" spans="1:18" x14ac:dyDescent="0.3">
      <c r="A76" t="s">
        <v>200</v>
      </c>
      <c r="B76">
        <v>1.689883461231089E-3</v>
      </c>
      <c r="C76" s="17">
        <f>Table15[[#This Row],[Adjusted %]]*$C$84</f>
        <v>1836.9820002351146</v>
      </c>
      <c r="D76" s="17">
        <f>Table15[[#This Row],[Adjusted %]]*$D$84</f>
        <v>5539.3517767934673</v>
      </c>
      <c r="E76" s="17">
        <f>Table15[[#This Row],[Adjusted %]]*$E$84</f>
        <v>3786.961682622738</v>
      </c>
      <c r="F76" s="17">
        <f>Table15[[#This Row],[Adjusted %]]*$F$84</f>
        <v>4109.463949594031</v>
      </c>
      <c r="G76" s="17">
        <f>Table15[[#This Row],[Adjusted %]]*$G$84</f>
        <v>4109.463949594031</v>
      </c>
      <c r="H76" s="17">
        <f>Table15[[#This Row],[Adjusted %]]*$H$84</f>
        <v>5215.3536616522351</v>
      </c>
      <c r="I76" s="17">
        <f>Table15[[#This Row],[Adjusted %]]*$I$84</f>
        <v>5083.3936636572535</v>
      </c>
      <c r="J76" s="17">
        <f>Table15[[#This Row],[Adjusted %]]*$J$84</f>
        <v>5528.065163091931</v>
      </c>
      <c r="K76" s="17">
        <f>Table15[[#This Row],[Adjusted %]]*$K$84</f>
        <v>5525.9708785111116</v>
      </c>
      <c r="L76" s="17">
        <f>Table15[[#This Row],[Adjusted %]]*$L$84</f>
        <v>5525.9708831632679</v>
      </c>
      <c r="M76" s="17">
        <f>Table15[[#This Row],[Adjusted %]]*$M$84</f>
        <v>2672.9149589329954</v>
      </c>
      <c r="N76" s="17">
        <f>Table15[[#This Row],[Adjusted %]]*$N$84</f>
        <v>2672.9149589329954</v>
      </c>
      <c r="O76" s="17">
        <f>Table15[[#This Row],[Adjusted %]]*$O$84</f>
        <v>2672.9149589329954</v>
      </c>
      <c r="P76" s="17">
        <f>Table15[[#This Row],[Adjusted %]]*$P$84</f>
        <v>2672.9149589329954</v>
      </c>
      <c r="Q76" s="17">
        <f>Table15[[#This Row],[Adjusted %]]*$Q$84</f>
        <v>2672.9149589329954</v>
      </c>
      <c r="R76" s="17">
        <f>SUM(Table15[[#This Row],[Payment 1]:[Payment 15]])</f>
        <v>59625.552403580172</v>
      </c>
    </row>
    <row r="77" spans="1:18" x14ac:dyDescent="0.3">
      <c r="A77" t="s">
        <v>201</v>
      </c>
      <c r="B77">
        <v>2.5520082630489365E-2</v>
      </c>
      <c r="C77" s="17">
        <f>Table15[[#This Row],[Adjusted %]]*$C$84</f>
        <v>27741.51798761879</v>
      </c>
      <c r="D77" s="17">
        <f>Table15[[#This Row],[Adjusted %]]*$D$84</f>
        <v>83653.528959998483</v>
      </c>
      <c r="E77" s="17">
        <f>Table15[[#This Row],[Adjusted %]]*$E$84</f>
        <v>57189.49103663276</v>
      </c>
      <c r="F77" s="17">
        <f>Table15[[#This Row],[Adjusted %]]*$F$84</f>
        <v>62059.817713261531</v>
      </c>
      <c r="G77" s="17">
        <f>Table15[[#This Row],[Adjusted %]]*$G$84</f>
        <v>62059.817713261531</v>
      </c>
      <c r="H77" s="17">
        <f>Table15[[#This Row],[Adjusted %]]*$H$84</f>
        <v>78760.612460003002</v>
      </c>
      <c r="I77" s="17">
        <f>Table15[[#This Row],[Adjusted %]]*$I$84</f>
        <v>76767.794534974135</v>
      </c>
      <c r="J77" s="17">
        <f>Table15[[#This Row],[Adjusted %]]*$J$84</f>
        <v>83483.082109141789</v>
      </c>
      <c r="K77" s="17">
        <f>Table15[[#This Row],[Adjusted %]]*$K$84</f>
        <v>83451.454889407163</v>
      </c>
      <c r="L77" s="17">
        <f>Table15[[#This Row],[Adjusted %]]*$L$84</f>
        <v>83451.454959662558</v>
      </c>
      <c r="M77" s="17">
        <f>Table15[[#This Row],[Adjusted %]]*$M$84</f>
        <v>40365.51169424878</v>
      </c>
      <c r="N77" s="17">
        <f>Table15[[#This Row],[Adjusted %]]*$N$84</f>
        <v>40365.51169424878</v>
      </c>
      <c r="O77" s="17">
        <f>Table15[[#This Row],[Adjusted %]]*$O$84</f>
        <v>40365.51169424878</v>
      </c>
      <c r="P77" s="17">
        <f>Table15[[#This Row],[Adjusted %]]*$P$84</f>
        <v>40365.51169424878</v>
      </c>
      <c r="Q77" s="17">
        <f>Table15[[#This Row],[Adjusted %]]*$Q$84</f>
        <v>40365.51169424878</v>
      </c>
      <c r="R77" s="17">
        <f>SUM(Table15[[#This Row],[Payment 1]:[Payment 15]])</f>
        <v>900446.13083520555</v>
      </c>
    </row>
    <row r="78" spans="1:18" x14ac:dyDescent="0.3">
      <c r="A78" t="s">
        <v>202</v>
      </c>
      <c r="B78">
        <v>1.689883461231089E-3</v>
      </c>
      <c r="C78" s="17">
        <f>Table15[[#This Row],[Adjusted %]]*$C$84</f>
        <v>1836.9820002351146</v>
      </c>
      <c r="D78" s="17">
        <f>Table15[[#This Row],[Adjusted %]]*$D$84</f>
        <v>5539.3517767934673</v>
      </c>
      <c r="E78" s="17">
        <f>Table15[[#This Row],[Adjusted %]]*$E$84</f>
        <v>3786.961682622738</v>
      </c>
      <c r="F78" s="17">
        <f>Table15[[#This Row],[Adjusted %]]*$F$84</f>
        <v>4109.463949594031</v>
      </c>
      <c r="G78" s="17">
        <f>Table15[[#This Row],[Adjusted %]]*$G$84</f>
        <v>4109.463949594031</v>
      </c>
      <c r="H78" s="17">
        <f>Table15[[#This Row],[Adjusted %]]*$H$84</f>
        <v>5215.3536616522351</v>
      </c>
      <c r="I78" s="17">
        <f>Table15[[#This Row],[Adjusted %]]*$I$84</f>
        <v>5083.3936636572535</v>
      </c>
      <c r="J78" s="17">
        <f>Table15[[#This Row],[Adjusted %]]*$J$84</f>
        <v>5528.065163091931</v>
      </c>
      <c r="K78" s="17">
        <f>Table15[[#This Row],[Adjusted %]]*$K$84</f>
        <v>5525.9708785111116</v>
      </c>
      <c r="L78" s="17">
        <f>Table15[[#This Row],[Adjusted %]]*$L$84</f>
        <v>5525.9708831632679</v>
      </c>
      <c r="M78" s="17">
        <f>Table15[[#This Row],[Adjusted %]]*$M$84</f>
        <v>2672.9149589329954</v>
      </c>
      <c r="N78" s="17">
        <f>Table15[[#This Row],[Adjusted %]]*$N$84</f>
        <v>2672.9149589329954</v>
      </c>
      <c r="O78" s="17">
        <f>Table15[[#This Row],[Adjusted %]]*$O$84</f>
        <v>2672.9149589329954</v>
      </c>
      <c r="P78" s="17">
        <f>Table15[[#This Row],[Adjusted %]]*$P$84</f>
        <v>2672.9149589329954</v>
      </c>
      <c r="Q78" s="17">
        <f>Table15[[#This Row],[Adjusted %]]*$Q$84</f>
        <v>2672.9149589329954</v>
      </c>
      <c r="R78" s="17">
        <f>SUM(Table15[[#This Row],[Payment 1]:[Payment 15]])</f>
        <v>59625.552403580172</v>
      </c>
    </row>
    <row r="79" spans="1:18" x14ac:dyDescent="0.3">
      <c r="A79" t="s">
        <v>203</v>
      </c>
      <c r="B79">
        <v>4.2247086530777227E-3</v>
      </c>
      <c r="C79" s="17">
        <f>Table15[[#This Row],[Adjusted %]]*$C$84</f>
        <v>4592.4550005877863</v>
      </c>
      <c r="D79" s="17">
        <f>Table15[[#This Row],[Adjusted %]]*$D$84</f>
        <v>13848.379441983669</v>
      </c>
      <c r="E79" s="17">
        <f>Table15[[#This Row],[Adjusted %]]*$E$84</f>
        <v>9467.4042065568447</v>
      </c>
      <c r="F79" s="17">
        <f>Table15[[#This Row],[Adjusted %]]*$F$84</f>
        <v>10273.659873985078</v>
      </c>
      <c r="G79" s="17">
        <f>Table15[[#This Row],[Adjusted %]]*$G$84</f>
        <v>10273.659873985078</v>
      </c>
      <c r="H79" s="17">
        <f>Table15[[#This Row],[Adjusted %]]*$H$84</f>
        <v>13038.384154130588</v>
      </c>
      <c r="I79" s="17">
        <f>Table15[[#This Row],[Adjusted %]]*$I$84</f>
        <v>12708.484159143134</v>
      </c>
      <c r="J79" s="17">
        <f>Table15[[#This Row],[Adjusted %]]*$J$84</f>
        <v>13820.162907729828</v>
      </c>
      <c r="K79" s="17">
        <f>Table15[[#This Row],[Adjusted %]]*$K$84</f>
        <v>13814.927196277778</v>
      </c>
      <c r="L79" s="17">
        <f>Table15[[#This Row],[Adjusted %]]*$L$84</f>
        <v>13814.927207908171</v>
      </c>
      <c r="M79" s="17">
        <f>Table15[[#This Row],[Adjusted %]]*$M$84</f>
        <v>6682.2873973324895</v>
      </c>
      <c r="N79" s="17">
        <f>Table15[[#This Row],[Adjusted %]]*$N$84</f>
        <v>6682.2873973324895</v>
      </c>
      <c r="O79" s="17">
        <f>Table15[[#This Row],[Adjusted %]]*$O$84</f>
        <v>6682.2873973324895</v>
      </c>
      <c r="P79" s="17">
        <f>Table15[[#This Row],[Adjusted %]]*$P$84</f>
        <v>6682.2873973324895</v>
      </c>
      <c r="Q79" s="17">
        <f>Table15[[#This Row],[Adjusted %]]*$Q$84</f>
        <v>6682.2873973324895</v>
      </c>
      <c r="R79" s="17">
        <f>SUM(Table15[[#This Row],[Payment 1]:[Payment 15]])</f>
        <v>149063.88100895041</v>
      </c>
    </row>
    <row r="80" spans="1:18" x14ac:dyDescent="0.3">
      <c r="A80" t="s">
        <v>204</v>
      </c>
      <c r="B80">
        <v>1.689883461231089E-3</v>
      </c>
      <c r="C80" s="17">
        <f>Table15[[#This Row],[Adjusted %]]*$C$84</f>
        <v>1836.9820002351146</v>
      </c>
      <c r="D80" s="17">
        <f>Table15[[#This Row],[Adjusted %]]*$D$84</f>
        <v>5539.3517767934673</v>
      </c>
      <c r="E80" s="17">
        <f>Table15[[#This Row],[Adjusted %]]*$E$84</f>
        <v>3786.961682622738</v>
      </c>
      <c r="F80" s="17">
        <f>Table15[[#This Row],[Adjusted %]]*$F$84</f>
        <v>4109.463949594031</v>
      </c>
      <c r="G80" s="17">
        <f>Table15[[#This Row],[Adjusted %]]*$G$84</f>
        <v>4109.463949594031</v>
      </c>
      <c r="H80" s="17">
        <f>Table15[[#This Row],[Adjusted %]]*$H$84</f>
        <v>5215.3536616522351</v>
      </c>
      <c r="I80" s="17">
        <f>Table15[[#This Row],[Adjusted %]]*$I$84</f>
        <v>5083.3936636572535</v>
      </c>
      <c r="J80" s="17">
        <f>Table15[[#This Row],[Adjusted %]]*$J$84</f>
        <v>5528.065163091931</v>
      </c>
      <c r="K80" s="17">
        <f>Table15[[#This Row],[Adjusted %]]*$K$84</f>
        <v>5525.9708785111116</v>
      </c>
      <c r="L80" s="17">
        <f>Table15[[#This Row],[Adjusted %]]*$L$84</f>
        <v>5525.9708831632679</v>
      </c>
      <c r="M80" s="17">
        <f>Table15[[#This Row],[Adjusted %]]*$M$84</f>
        <v>2672.9149589329954</v>
      </c>
      <c r="N80" s="17">
        <f>Table15[[#This Row],[Adjusted %]]*$N$84</f>
        <v>2672.9149589329954</v>
      </c>
      <c r="O80" s="17">
        <f>Table15[[#This Row],[Adjusted %]]*$O$84</f>
        <v>2672.9149589329954</v>
      </c>
      <c r="P80" s="17">
        <f>Table15[[#This Row],[Adjusted %]]*$P$84</f>
        <v>2672.9149589329954</v>
      </c>
      <c r="Q80" s="17">
        <f>Table15[[#This Row],[Adjusted %]]*$Q$84</f>
        <v>2672.9149589329954</v>
      </c>
      <c r="R80" s="17">
        <f>SUM(Table15[[#This Row],[Payment 1]:[Payment 15]])</f>
        <v>59625.552403580172</v>
      </c>
    </row>
    <row r="81" spans="1:18" x14ac:dyDescent="0.3">
      <c r="A81" t="s">
        <v>205</v>
      </c>
      <c r="B81">
        <v>1.689883461231089E-3</v>
      </c>
      <c r="C81" s="17">
        <f>Table15[[#This Row],[Adjusted %]]*$C$84</f>
        <v>1836.9820002351146</v>
      </c>
      <c r="D81" s="17">
        <f>Table15[[#This Row],[Adjusted %]]*$D$84</f>
        <v>5539.3517767934673</v>
      </c>
      <c r="E81" s="17">
        <f>Table15[[#This Row],[Adjusted %]]*$E$84</f>
        <v>3786.961682622738</v>
      </c>
      <c r="F81" s="17">
        <f>Table15[[#This Row],[Adjusted %]]*$F$84</f>
        <v>4109.463949594031</v>
      </c>
      <c r="G81" s="17">
        <f>Table15[[#This Row],[Adjusted %]]*$G$84</f>
        <v>4109.463949594031</v>
      </c>
      <c r="H81" s="17">
        <f>Table15[[#This Row],[Adjusted %]]*$H$84</f>
        <v>5215.3536616522351</v>
      </c>
      <c r="I81" s="17">
        <f>Table15[[#This Row],[Adjusted %]]*$I$84</f>
        <v>5083.3936636572535</v>
      </c>
      <c r="J81" s="17">
        <f>Table15[[#This Row],[Adjusted %]]*$J$84</f>
        <v>5528.065163091931</v>
      </c>
      <c r="K81" s="17">
        <f>Table15[[#This Row],[Adjusted %]]*$K$84</f>
        <v>5525.9708785111116</v>
      </c>
      <c r="L81" s="17">
        <f>Table15[[#This Row],[Adjusted %]]*$L$84</f>
        <v>5525.9708831632679</v>
      </c>
      <c r="M81" s="17">
        <f>Table15[[#This Row],[Adjusted %]]*$M$84</f>
        <v>2672.9149589329954</v>
      </c>
      <c r="N81" s="17">
        <f>Table15[[#This Row],[Adjusted %]]*$N$84</f>
        <v>2672.9149589329954</v>
      </c>
      <c r="O81" s="17">
        <f>Table15[[#This Row],[Adjusted %]]*$O$84</f>
        <v>2672.9149589329954</v>
      </c>
      <c r="P81" s="17">
        <f>Table15[[#This Row],[Adjusted %]]*$P$84</f>
        <v>2672.9149589329954</v>
      </c>
      <c r="Q81" s="17">
        <f>Table15[[#This Row],[Adjusted %]]*$Q$84</f>
        <v>2672.9149589329954</v>
      </c>
      <c r="R81" s="17">
        <f>SUM(Table15[[#This Row],[Payment 1]:[Payment 15]])</f>
        <v>59625.552403580172</v>
      </c>
    </row>
    <row r="82" spans="1:18" x14ac:dyDescent="0.3">
      <c r="A82" t="s">
        <v>206</v>
      </c>
      <c r="B82">
        <v>4.2247086530777227E-3</v>
      </c>
      <c r="C82" s="17">
        <f>Table15[[#This Row],[Adjusted %]]*$C$84</f>
        <v>4592.4550005877863</v>
      </c>
      <c r="D82" s="17">
        <f>Table15[[#This Row],[Adjusted %]]*$D$84</f>
        <v>13848.379441983669</v>
      </c>
      <c r="E82" s="17">
        <f>Table15[[#This Row],[Adjusted %]]*$E$84</f>
        <v>9467.4042065568447</v>
      </c>
      <c r="F82" s="17">
        <f>Table15[[#This Row],[Adjusted %]]*$F$84</f>
        <v>10273.659873985078</v>
      </c>
      <c r="G82" s="17">
        <f>Table15[[#This Row],[Adjusted %]]*$G$84</f>
        <v>10273.659873985078</v>
      </c>
      <c r="H82" s="17">
        <f>Table15[[#This Row],[Adjusted %]]*$H$84</f>
        <v>13038.384154130588</v>
      </c>
      <c r="I82" s="17">
        <f>Table15[[#This Row],[Adjusted %]]*$I$84</f>
        <v>12708.484159143134</v>
      </c>
      <c r="J82" s="17">
        <f>Table15[[#This Row],[Adjusted %]]*$J$84</f>
        <v>13820.162907729828</v>
      </c>
      <c r="K82" s="17">
        <f>Table15[[#This Row],[Adjusted %]]*$K$84</f>
        <v>13814.927196277778</v>
      </c>
      <c r="L82" s="17">
        <f>Table15[[#This Row],[Adjusted %]]*$L$84</f>
        <v>13814.927207908171</v>
      </c>
      <c r="M82" s="17">
        <f>Table15[[#This Row],[Adjusted %]]*$M$84</f>
        <v>6682.2873973324895</v>
      </c>
      <c r="N82" s="17">
        <f>Table15[[#This Row],[Adjusted %]]*$N$84</f>
        <v>6682.2873973324895</v>
      </c>
      <c r="O82" s="17">
        <f>Table15[[#This Row],[Adjusted %]]*$O$84</f>
        <v>6682.2873973324895</v>
      </c>
      <c r="P82" s="17">
        <f>Table15[[#This Row],[Adjusted %]]*$P$84</f>
        <v>6682.2873973324895</v>
      </c>
      <c r="Q82" s="17">
        <f>Table15[[#This Row],[Adjusted %]]*$Q$84</f>
        <v>6682.2873973324895</v>
      </c>
      <c r="R82" s="17">
        <f>SUM(Table15[[#This Row],[Payment 1]:[Payment 15]])</f>
        <v>149063.88100895041</v>
      </c>
    </row>
    <row r="84" spans="1:18" s="15" customFormat="1" x14ac:dyDescent="0.3">
      <c r="A84" s="15" t="s">
        <v>6</v>
      </c>
      <c r="C84" s="33">
        <f>'Pharmacies Breakdown'!F2</f>
        <v>1087046.558167309</v>
      </c>
      <c r="D84" s="33">
        <f>'Pharmacies Breakdown'!F3</f>
        <v>3277948.9851673087</v>
      </c>
      <c r="E84" s="33">
        <f>'Pharmacies Breakdown'!F4</f>
        <v>2240960.2611673092</v>
      </c>
      <c r="F84" s="33">
        <f>'Pharmacies Breakdown'!F5</f>
        <v>2431803.1650539171</v>
      </c>
      <c r="G84" s="33">
        <f>'Pharmacies Breakdown'!F6</f>
        <v>2431803.1650539171</v>
      </c>
      <c r="H84" s="33">
        <f>'Pharmacies Breakdown'!F7</f>
        <v>3086220.9029803881</v>
      </c>
      <c r="I84" s="33">
        <f>'Pharmacies Breakdown'!F8</f>
        <v>3008132.6791339647</v>
      </c>
      <c r="J84" s="33">
        <f>'Pharmacies Breakdown'!F9</f>
        <v>3271270.0549567519</v>
      </c>
      <c r="K84" s="33">
        <f>'Pharmacies Breakdown'!F10</f>
        <v>3270030.7478513415</v>
      </c>
      <c r="L84" s="33">
        <f>'Pharmacies Breakdown'!F11</f>
        <v>3270030.7506042868</v>
      </c>
      <c r="M84" s="33">
        <f>'Pharmacies Breakdown'!F12</f>
        <v>1581715.5562820663</v>
      </c>
      <c r="N84" s="33">
        <f>'Pharmacies Breakdown'!F13</f>
        <v>1581715.5562820663</v>
      </c>
      <c r="O84" s="33">
        <f>'Pharmacies Breakdown'!F14</f>
        <v>1581715.5562820663</v>
      </c>
      <c r="P84" s="33">
        <f>'Pharmacies Breakdown'!F15</f>
        <v>1581715.5562820663</v>
      </c>
      <c r="Q84" s="33">
        <f>'Pharmacies Breakdown'!F16</f>
        <v>1581715.5562820663</v>
      </c>
      <c r="R84" s="33">
        <f>SUM(C84:Q84)</f>
        <v>35283825.051546827</v>
      </c>
    </row>
    <row r="86" spans="1:18" x14ac:dyDescent="0.3">
      <c r="A86" t="s">
        <v>231</v>
      </c>
    </row>
    <row r="87" spans="1:18" x14ac:dyDescent="0.3">
      <c r="C87" s="7"/>
      <c r="D87" s="7"/>
      <c r="E87" s="7"/>
      <c r="F87" s="7"/>
      <c r="G87" s="7"/>
      <c r="H87" s="7"/>
      <c r="I87" s="7"/>
      <c r="J87" s="7"/>
      <c r="K87" s="7"/>
      <c r="L87" s="7"/>
      <c r="M87" s="7"/>
      <c r="N87" s="7"/>
      <c r="O87" s="7"/>
      <c r="P87" s="7"/>
      <c r="Q87" s="7"/>
      <c r="R87" s="7"/>
    </row>
    <row r="90" spans="1:18" x14ac:dyDescent="0.3">
      <c r="C90" s="17"/>
      <c r="D90" s="17"/>
      <c r="E90" s="17"/>
      <c r="F90" s="17"/>
      <c r="G90" s="17"/>
      <c r="H90" s="17"/>
      <c r="I90" s="17"/>
      <c r="J90" s="17"/>
      <c r="K90" s="17"/>
      <c r="L90" s="17"/>
      <c r="M90" s="17"/>
      <c r="N90" s="17"/>
      <c r="O90" s="17"/>
      <c r="P90" s="17"/>
      <c r="Q90" s="17"/>
      <c r="R90" s="17"/>
    </row>
    <row r="91" spans="1:18" x14ac:dyDescent="0.3">
      <c r="C91" s="17"/>
      <c r="D91" s="17"/>
      <c r="E91" s="17"/>
      <c r="F91" s="17"/>
      <c r="G91" s="17"/>
      <c r="H91" s="17"/>
      <c r="I91" s="17"/>
      <c r="J91" s="17"/>
      <c r="K91" s="17"/>
      <c r="L91" s="17"/>
      <c r="M91" s="17"/>
      <c r="N91" s="17"/>
      <c r="O91" s="17"/>
      <c r="P91" s="17"/>
      <c r="Q91" s="17"/>
      <c r="R91" s="17"/>
    </row>
  </sheetData>
  <pageMargins left="0.7" right="0.7" top="0.75" bottom="0.75" header="0.3" footer="0.3"/>
  <pageSetup orientation="portrait" horizontalDpi="200" verticalDpi="200"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I93"/>
  <sheetViews>
    <sheetView workbookViewId="0">
      <selection activeCell="K20" sqref="K20"/>
    </sheetView>
  </sheetViews>
  <sheetFormatPr defaultRowHeight="14.4" x14ac:dyDescent="0.3"/>
  <cols>
    <col min="1" max="1" width="21" customWidth="1"/>
    <col min="2" max="2" width="21.109375" customWidth="1"/>
    <col min="3" max="9" width="16.6640625" customWidth="1"/>
  </cols>
  <sheetData>
    <row r="1" spans="1:9" x14ac:dyDescent="0.3">
      <c r="A1" t="s">
        <v>117</v>
      </c>
      <c r="B1" t="s">
        <v>223</v>
      </c>
      <c r="C1" t="s">
        <v>93</v>
      </c>
      <c r="D1" t="s">
        <v>94</v>
      </c>
      <c r="E1" t="s">
        <v>224</v>
      </c>
      <c r="F1" t="s">
        <v>96</v>
      </c>
      <c r="G1" t="s">
        <v>97</v>
      </c>
      <c r="H1" t="s">
        <v>98</v>
      </c>
      <c r="I1" t="s">
        <v>6</v>
      </c>
    </row>
    <row r="2" spans="1:9" x14ac:dyDescent="0.3">
      <c r="A2" t="s">
        <v>119</v>
      </c>
      <c r="B2">
        <v>8.3142266294694706E-3</v>
      </c>
      <c r="C2" s="17">
        <f>Table11[[#This Row],[Adjusted Walmart %]]*$C$85</f>
        <v>139338.76703998621</v>
      </c>
      <c r="D2" s="35">
        <f>Table11[[#This Row],[Adjusted Walmart %]]*$D$85</f>
        <v>0</v>
      </c>
      <c r="E2" s="17">
        <f>Table11[[#This Row],[Adjusted Walmart %]]*$E$85</f>
        <v>727.43173307809639</v>
      </c>
      <c r="F2" s="17">
        <f>Table11[[#This Row],[Adjusted Walmart %]]*$F$85</f>
        <v>727.43173307809639</v>
      </c>
      <c r="G2" s="17">
        <f>Table11[[#This Row],[Adjusted Walmart %]]*$G$85</f>
        <v>727.43173307809639</v>
      </c>
      <c r="H2" s="17">
        <f>Table11[[#This Row],[Adjusted Walmart %]]*$H$85</f>
        <v>1150.9995776552159</v>
      </c>
      <c r="I2" s="17">
        <f>SUM(Table11[[#This Row],[Payment 1]:[Payment 6]])</f>
        <v>142672.06181687571</v>
      </c>
    </row>
    <row r="3" spans="1:9" x14ac:dyDescent="0.3">
      <c r="A3" t="s">
        <v>121</v>
      </c>
      <c r="B3">
        <v>9.6106003945796964E-2</v>
      </c>
      <c r="C3" s="17">
        <f>Table11[[#This Row],[Adjusted Walmart %]]*$C$85</f>
        <v>1610647.9522079006</v>
      </c>
      <c r="D3" s="35">
        <f>Table11[[#This Row],[Adjusted Walmart %]]*$D$85</f>
        <v>0</v>
      </c>
      <c r="E3" s="17">
        <f>Table11[[#This Row],[Adjusted Walmart %]]*$E$85</f>
        <v>8408.5459929256758</v>
      </c>
      <c r="F3" s="17">
        <f>Table11[[#This Row],[Adjusted Walmart %]]*$F$85</f>
        <v>8408.5459929256758</v>
      </c>
      <c r="G3" s="17">
        <f>Table11[[#This Row],[Adjusted Walmart %]]*$G$85</f>
        <v>8408.5459929256758</v>
      </c>
      <c r="H3" s="17">
        <f>Table11[[#This Row],[Adjusted Walmart %]]*$H$85</f>
        <v>13304.661381211512</v>
      </c>
      <c r="I3" s="17">
        <f>SUM(Table11[[#This Row],[Payment 1]:[Payment 6]])</f>
        <v>1649178.2515678895</v>
      </c>
    </row>
    <row r="4" spans="1:9" x14ac:dyDescent="0.3">
      <c r="A4" t="s">
        <v>123</v>
      </c>
      <c r="B4">
        <v>5.038084315155518E-3</v>
      </c>
      <c r="C4" s="17">
        <f>Table11[[#This Row],[Adjusted Walmart %]]*$C$85</f>
        <v>84433.644643393331</v>
      </c>
      <c r="D4" s="35">
        <f>Table11[[#This Row],[Adjusted Walmart %]]*$D$85</f>
        <v>0</v>
      </c>
      <c r="E4" s="17">
        <f>Table11[[#This Row],[Adjusted Walmart %]]*$E$85</f>
        <v>440.79414335149141</v>
      </c>
      <c r="F4" s="17">
        <f>Table11[[#This Row],[Adjusted Walmart %]]*$F$85</f>
        <v>440.79414335149141</v>
      </c>
      <c r="G4" s="17">
        <f>Table11[[#This Row],[Adjusted Walmart %]]*$G$85</f>
        <v>440.79414335149141</v>
      </c>
      <c r="H4" s="17">
        <f>Table11[[#This Row],[Adjusted Walmart %]]*$H$85</f>
        <v>697.4590875814738</v>
      </c>
      <c r="I4" s="17">
        <f>SUM(Table11[[#This Row],[Payment 1]:[Payment 6]])</f>
        <v>86453.486161029286</v>
      </c>
    </row>
    <row r="5" spans="1:9" x14ac:dyDescent="0.3">
      <c r="A5" t="s">
        <v>124</v>
      </c>
      <c r="B5">
        <v>1.2927199625886778E-2</v>
      </c>
      <c r="C5" s="17">
        <f>Table11[[#This Row],[Adjusted Walmart %]]*$C$85</f>
        <v>216647.93821788963</v>
      </c>
      <c r="D5" s="35">
        <f>Table11[[#This Row],[Adjusted Walmart %]]*$D$85</f>
        <v>0</v>
      </c>
      <c r="E5" s="17">
        <f>Table11[[#This Row],[Adjusted Walmart %]]*$E$85</f>
        <v>1131.0318622269003</v>
      </c>
      <c r="F5" s="17">
        <f>Table11[[#This Row],[Adjusted Walmart %]]*$F$85</f>
        <v>1131.0318622269003</v>
      </c>
      <c r="G5" s="17">
        <f>Table11[[#This Row],[Adjusted Walmart %]]*$G$85</f>
        <v>1131.0318622269003</v>
      </c>
      <c r="H5" s="17">
        <f>Table11[[#This Row],[Adjusted Walmart %]]*$H$85</f>
        <v>1789.6073769412978</v>
      </c>
      <c r="I5" s="17">
        <f>SUM(Table11[[#This Row],[Payment 1]:[Payment 6]])</f>
        <v>221830.64118151163</v>
      </c>
    </row>
    <row r="6" spans="1:9" x14ac:dyDescent="0.3">
      <c r="A6" t="s">
        <v>125</v>
      </c>
      <c r="B6">
        <v>3.6562576262569647E-3</v>
      </c>
      <c r="C6" s="17">
        <f>Table11[[#This Row],[Adjusted Walmart %]]*$C$85</f>
        <v>61275.504304565802</v>
      </c>
      <c r="D6" s="35">
        <f>Table11[[#This Row],[Adjusted Walmart %]]*$D$85</f>
        <v>0</v>
      </c>
      <c r="E6" s="17">
        <f>Table11[[#This Row],[Adjusted Walmart %]]*$E$85</f>
        <v>319.89479481121919</v>
      </c>
      <c r="F6" s="17">
        <f>Table11[[#This Row],[Adjusted Walmart %]]*$F$85</f>
        <v>319.89479481121919</v>
      </c>
      <c r="G6" s="17">
        <f>Table11[[#This Row],[Adjusted Walmart %]]*$G$85</f>
        <v>319.89479481121919</v>
      </c>
      <c r="H6" s="17">
        <f>Table11[[#This Row],[Adjusted Walmart %]]*$H$85</f>
        <v>506.1626500177519</v>
      </c>
      <c r="I6" s="17">
        <f>SUM(Table11[[#This Row],[Payment 1]:[Payment 6]])</f>
        <v>62741.351339017208</v>
      </c>
    </row>
    <row r="7" spans="1:9" x14ac:dyDescent="0.3">
      <c r="A7" t="s">
        <v>126</v>
      </c>
      <c r="B7">
        <v>4.7805624179029158E-3</v>
      </c>
      <c r="C7" s="17">
        <f>Table11[[#This Row],[Adjusted Walmart %]]*$C$85</f>
        <v>80117.815252624699</v>
      </c>
      <c r="D7" s="35">
        <f>Table11[[#This Row],[Adjusted Walmart %]]*$D$85</f>
        <v>0</v>
      </c>
      <c r="E7" s="17">
        <f>Table11[[#This Row],[Adjusted Walmart %]]*$E$85</f>
        <v>418.26293168593048</v>
      </c>
      <c r="F7" s="17">
        <f>Table11[[#This Row],[Adjusted Walmart %]]*$F$85</f>
        <v>418.26293168593048</v>
      </c>
      <c r="G7" s="17">
        <f>Table11[[#This Row],[Adjusted Walmart %]]*$G$85</f>
        <v>418.26293168593048</v>
      </c>
      <c r="H7" s="17">
        <f>Table11[[#This Row],[Adjusted Walmart %]]*$H$85</f>
        <v>661.80843621191525</v>
      </c>
      <c r="I7" s="17">
        <f>SUM(Table11[[#This Row],[Payment 1]:[Payment 6]])</f>
        <v>82034.412483894383</v>
      </c>
    </row>
    <row r="8" spans="1:9" x14ac:dyDescent="0.3">
      <c r="A8" t="s">
        <v>127</v>
      </c>
      <c r="B8">
        <v>4.6084200574595157E-3</v>
      </c>
      <c r="C8" s="17">
        <f>Table11[[#This Row],[Adjusted Walmart %]]*$C$85</f>
        <v>77232.868121821404</v>
      </c>
      <c r="D8" s="35">
        <f>Table11[[#This Row],[Adjusted Walmart %]]*$D$85</f>
        <v>0</v>
      </c>
      <c r="E8" s="17">
        <f>Table11[[#This Row],[Adjusted Walmart %]]*$E$85</f>
        <v>403.20178154243393</v>
      </c>
      <c r="F8" s="17">
        <f>Table11[[#This Row],[Adjusted Walmart %]]*$F$85</f>
        <v>403.20178154243393</v>
      </c>
      <c r="G8" s="17">
        <f>Table11[[#This Row],[Adjusted Walmart %]]*$G$85</f>
        <v>403.20178154243393</v>
      </c>
      <c r="H8" s="17">
        <f>Table11[[#This Row],[Adjusted Walmart %]]*$H$85</f>
        <v>637.97750244055999</v>
      </c>
      <c r="I8" s="17">
        <f>SUM(Table11[[#This Row],[Payment 1]:[Payment 6]])</f>
        <v>79080.450968889258</v>
      </c>
    </row>
    <row r="9" spans="1:9" x14ac:dyDescent="0.3">
      <c r="A9" t="s">
        <v>128</v>
      </c>
      <c r="B9">
        <v>4.231515024777757E-3</v>
      </c>
      <c r="C9" s="17">
        <f>Table11[[#This Row],[Adjusted Walmart %]]*$C$85</f>
        <v>70916.287532245493</v>
      </c>
      <c r="D9" s="35">
        <f>Table11[[#This Row],[Adjusted Walmart %]]*$D$85</f>
        <v>0</v>
      </c>
      <c r="E9" s="17">
        <f>Table11[[#This Row],[Adjusted Walmart %]]*$E$85</f>
        <v>370.22545153024095</v>
      </c>
      <c r="F9" s="17">
        <f>Table11[[#This Row],[Adjusted Walmart %]]*$F$85</f>
        <v>370.22545153024095</v>
      </c>
      <c r="G9" s="17">
        <f>Table11[[#This Row],[Adjusted Walmart %]]*$G$85</f>
        <v>370.22545153024095</v>
      </c>
      <c r="H9" s="17">
        <f>Table11[[#This Row],[Adjusted Walmart %]]*$H$85</f>
        <v>585.79976507949516</v>
      </c>
      <c r="I9" s="17">
        <f>SUM(Table11[[#This Row],[Payment 1]:[Payment 6]])</f>
        <v>72612.763651915695</v>
      </c>
    </row>
    <row r="10" spans="1:9" x14ac:dyDescent="0.3">
      <c r="A10" t="s">
        <v>129</v>
      </c>
      <c r="B10">
        <v>4.9685972069801063E-2</v>
      </c>
      <c r="C10" s="17">
        <f>Table11[[#This Row],[Adjusted Walmart %]]*$C$85</f>
        <v>832691.04823896755</v>
      </c>
      <c r="D10" s="35">
        <f>Table11[[#This Row],[Adjusted Walmart %]]*$D$85</f>
        <v>0</v>
      </c>
      <c r="E10" s="17">
        <f>Table11[[#This Row],[Adjusted Walmart %]]*$E$85</f>
        <v>4347.1454872660324</v>
      </c>
      <c r="F10" s="17">
        <f>Table11[[#This Row],[Adjusted Walmart %]]*$F$85</f>
        <v>4347.1454872660324</v>
      </c>
      <c r="G10" s="17">
        <f>Table11[[#This Row],[Adjusted Walmart %]]*$G$85</f>
        <v>4347.1454872660324</v>
      </c>
      <c r="H10" s="17">
        <f>Table11[[#This Row],[Adjusted Walmart %]]*$H$85</f>
        <v>6878.3947583323288</v>
      </c>
      <c r="I10" s="17">
        <f>SUM(Table11[[#This Row],[Payment 1]:[Payment 6]])</f>
        <v>852610.87945909787</v>
      </c>
    </row>
    <row r="11" spans="1:9" x14ac:dyDescent="0.3">
      <c r="A11" t="s">
        <v>130</v>
      </c>
      <c r="B11">
        <v>1.0257225505848823E-2</v>
      </c>
      <c r="C11" s="17">
        <f>Table11[[#This Row],[Adjusted Walmart %]]*$C$85</f>
        <v>171901.63546543507</v>
      </c>
      <c r="D11" s="35">
        <f>Table11[[#This Row],[Adjusted Walmart %]]*$D$85</f>
        <v>0</v>
      </c>
      <c r="E11" s="17">
        <f>Table11[[#This Row],[Adjusted Walmart %]]*$E$85</f>
        <v>897.42938926462443</v>
      </c>
      <c r="F11" s="17">
        <f>Table11[[#This Row],[Adjusted Walmart %]]*$F$85</f>
        <v>897.42938926462443</v>
      </c>
      <c r="G11" s="17">
        <f>Table11[[#This Row],[Adjusted Walmart %]]*$G$85</f>
        <v>897.42938926462443</v>
      </c>
      <c r="H11" s="17">
        <f>Table11[[#This Row],[Adjusted Walmart %]]*$H$85</f>
        <v>1419.9832108617475</v>
      </c>
      <c r="I11" s="17">
        <f>SUM(Table11[[#This Row],[Payment 1]:[Payment 6]])</f>
        <v>176013.90684409073</v>
      </c>
    </row>
    <row r="12" spans="1:9" x14ac:dyDescent="0.3">
      <c r="A12" t="s">
        <v>131</v>
      </c>
      <c r="B12">
        <v>4.9759132572989523E-3</v>
      </c>
      <c r="C12" s="17">
        <f>Table11[[#This Row],[Adjusted Walmart %]]*$C$85</f>
        <v>83391.715076955923</v>
      </c>
      <c r="D12" s="35">
        <f>Table11[[#This Row],[Adjusted Walmart %]]*$D$85</f>
        <v>0</v>
      </c>
      <c r="E12" s="17">
        <f>Table11[[#This Row],[Adjusted Walmart %]]*$E$85</f>
        <v>435.35464760770196</v>
      </c>
      <c r="F12" s="17">
        <f>Table11[[#This Row],[Adjusted Walmart %]]*$F$85</f>
        <v>435.35464760770196</v>
      </c>
      <c r="G12" s="17">
        <f>Table11[[#This Row],[Adjusted Walmart %]]*$G$85</f>
        <v>435.35464760770196</v>
      </c>
      <c r="H12" s="17">
        <f>Table11[[#This Row],[Adjusted Walmart %]]*$H$85</f>
        <v>688.8522905185157</v>
      </c>
      <c r="I12" s="17">
        <f>SUM(Table11[[#This Row],[Payment 1]:[Payment 6]])</f>
        <v>85386.63131029754</v>
      </c>
    </row>
    <row r="13" spans="1:9" x14ac:dyDescent="0.3">
      <c r="A13" t="s">
        <v>132</v>
      </c>
      <c r="B13">
        <v>0</v>
      </c>
      <c r="C13" s="17">
        <f>Table11[[#This Row],[Adjusted Walmart %]]*$C$85</f>
        <v>0</v>
      </c>
      <c r="D13" s="35">
        <f>Table11[[#This Row],[Adjusted Walmart %]]*$D$85</f>
        <v>0</v>
      </c>
      <c r="E13" s="17">
        <f>Table11[[#This Row],[Adjusted Walmart %]]*$E$85</f>
        <v>0</v>
      </c>
      <c r="F13" s="17">
        <f>Table11[[#This Row],[Adjusted Walmart %]]*$F$85</f>
        <v>0</v>
      </c>
      <c r="G13" s="17">
        <f>Table11[[#This Row],[Adjusted Walmart %]]*$G$85</f>
        <v>0</v>
      </c>
      <c r="H13" s="17">
        <f>Table11[[#This Row],[Adjusted Walmart %]]*$H$85</f>
        <v>0</v>
      </c>
      <c r="I13" s="17">
        <f>SUM(Table11[[#This Row],[Payment 1]:[Payment 6]])</f>
        <v>0</v>
      </c>
    </row>
    <row r="14" spans="1:9" x14ac:dyDescent="0.3">
      <c r="A14" t="s">
        <v>133</v>
      </c>
      <c r="B14">
        <v>2.8619435916395655E-3</v>
      </c>
      <c r="C14" s="17">
        <f>Table11[[#This Row],[Adjusted Walmart %]]*$C$85</f>
        <v>47963.533972430683</v>
      </c>
      <c r="D14" s="35">
        <f>Table11[[#This Row],[Adjusted Walmart %]]*$D$85</f>
        <v>0</v>
      </c>
      <c r="E14" s="17">
        <f>Table11[[#This Row],[Adjusted Walmart %]]*$E$85</f>
        <v>250.39834486337122</v>
      </c>
      <c r="F14" s="17">
        <f>Table11[[#This Row],[Adjusted Walmart %]]*$F$85</f>
        <v>250.39834486337122</v>
      </c>
      <c r="G14" s="17">
        <f>Table11[[#This Row],[Adjusted Walmart %]]*$G$85</f>
        <v>250.39834486337122</v>
      </c>
      <c r="H14" s="17">
        <f>Table11[[#This Row],[Adjusted Walmart %]]*$H$85</f>
        <v>396.19991275849878</v>
      </c>
      <c r="I14" s="17">
        <f>SUM(Table11[[#This Row],[Payment 1]:[Payment 6]])</f>
        <v>49110.928919779304</v>
      </c>
    </row>
    <row r="15" spans="1:9" x14ac:dyDescent="0.3">
      <c r="A15" t="s">
        <v>135</v>
      </c>
      <c r="B15">
        <v>2.8780050886630794E-3</v>
      </c>
      <c r="C15" s="17">
        <f>Table11[[#This Row],[Adjusted Walmart %]]*$C$85</f>
        <v>48232.709843117249</v>
      </c>
      <c r="D15" s="35">
        <f>Table11[[#This Row],[Adjusted Walmart %]]*$D$85</f>
        <v>0</v>
      </c>
      <c r="E15" s="17">
        <f>Table11[[#This Row],[Adjusted Walmart %]]*$E$85</f>
        <v>251.80360396158142</v>
      </c>
      <c r="F15" s="17">
        <f>Table11[[#This Row],[Adjusted Walmart %]]*$F$85</f>
        <v>251.80360396158142</v>
      </c>
      <c r="G15" s="17">
        <f>Table11[[#This Row],[Adjusted Walmart %]]*$G$85</f>
        <v>251.80360396158142</v>
      </c>
      <c r="H15" s="17">
        <f>Table11[[#This Row],[Adjusted Walmart %]]*$H$85</f>
        <v>398.42342398984403</v>
      </c>
      <c r="I15" s="17">
        <f>SUM(Table11[[#This Row],[Payment 1]:[Payment 6]])</f>
        <v>49386.544078991843</v>
      </c>
    </row>
    <row r="16" spans="1:9" x14ac:dyDescent="0.3">
      <c r="A16" t="s">
        <v>136</v>
      </c>
      <c r="B16">
        <v>2.0785566573673711E-3</v>
      </c>
      <c r="C16" s="17">
        <f>Table11[[#This Row],[Adjusted Walmart %]]*$C$85</f>
        <v>34834.691759996611</v>
      </c>
      <c r="D16" s="35">
        <f>Table11[[#This Row],[Adjusted Walmart %]]*$D$85</f>
        <v>0</v>
      </c>
      <c r="E16" s="17">
        <f>Table11[[#This Row],[Adjusted Walmart %]]*$E$85</f>
        <v>181.85793326952441</v>
      </c>
      <c r="F16" s="17">
        <f>Table11[[#This Row],[Adjusted Walmart %]]*$F$85</f>
        <v>181.85793326952441</v>
      </c>
      <c r="G16" s="17">
        <f>Table11[[#This Row],[Adjusted Walmart %]]*$G$85</f>
        <v>181.85793326952441</v>
      </c>
      <c r="H16" s="17">
        <f>Table11[[#This Row],[Adjusted Walmart %]]*$H$85</f>
        <v>287.74989441380444</v>
      </c>
      <c r="I16" s="17">
        <f>SUM(Table11[[#This Row],[Payment 1]:[Payment 6]])</f>
        <v>35668.015454218985</v>
      </c>
    </row>
    <row r="17" spans="1:9" x14ac:dyDescent="0.3">
      <c r="A17" t="s">
        <v>137</v>
      </c>
      <c r="B17">
        <v>4.9742225734017396E-3</v>
      </c>
      <c r="C17" s="17">
        <f>Table11[[#This Row],[Adjusted Walmart %]]*$C$85</f>
        <v>83363.380774778372</v>
      </c>
      <c r="D17" s="35">
        <f>Table11[[#This Row],[Adjusted Walmart %]]*$D$85</f>
        <v>0</v>
      </c>
      <c r="E17" s="17">
        <f>Table11[[#This Row],[Adjusted Walmart %]]*$E$85</f>
        <v>435.20672559736397</v>
      </c>
      <c r="F17" s="17">
        <f>Table11[[#This Row],[Adjusted Walmart %]]*$F$85</f>
        <v>435.20672559736397</v>
      </c>
      <c r="G17" s="17">
        <f>Table11[[#This Row],[Adjusted Walmart %]]*$G$85</f>
        <v>435.20672559736397</v>
      </c>
      <c r="H17" s="17">
        <f>Table11[[#This Row],[Adjusted Walmart %]]*$H$85</f>
        <v>688.61823670468982</v>
      </c>
      <c r="I17" s="17">
        <f>SUM(Table11[[#This Row],[Payment 1]:[Payment 6]])</f>
        <v>85357.619188275159</v>
      </c>
    </row>
    <row r="18" spans="1:9" x14ac:dyDescent="0.3">
      <c r="A18" t="s">
        <v>139</v>
      </c>
      <c r="B18">
        <v>2.2009707220245513E-2</v>
      </c>
      <c r="C18" s="17">
        <f>Table11[[#This Row],[Adjusted Walmart %]]*$C$85</f>
        <v>368862.38536124484</v>
      </c>
      <c r="D18" s="35">
        <f>Table11[[#This Row],[Adjusted Walmart %]]*$D$85</f>
        <v>0</v>
      </c>
      <c r="E18" s="17">
        <f>Table11[[#This Row],[Adjusted Walmart %]]*$E$85</f>
        <v>1925.6823492176466</v>
      </c>
      <c r="F18" s="17">
        <f>Table11[[#This Row],[Adjusted Walmart %]]*$F$85</f>
        <v>1925.6823492176466</v>
      </c>
      <c r="G18" s="17">
        <f>Table11[[#This Row],[Adjusted Walmart %]]*$G$85</f>
        <v>1925.6823492176466</v>
      </c>
      <c r="H18" s="17">
        <f>Table11[[#This Row],[Adjusted Walmart %]]*$H$85</f>
        <v>3046.9657424329853</v>
      </c>
      <c r="I18" s="17">
        <f>SUM(Table11[[#This Row],[Payment 1]:[Payment 6]])</f>
        <v>377686.39815133077</v>
      </c>
    </row>
    <row r="19" spans="1:9" x14ac:dyDescent="0.3">
      <c r="A19" t="s">
        <v>140</v>
      </c>
      <c r="B19">
        <v>4.432896329221693E-2</v>
      </c>
      <c r="C19" s="17">
        <f>Table11[[#This Row],[Adjusted Walmart %]]*$C$85</f>
        <v>742912.52386663074</v>
      </c>
      <c r="D19" s="35">
        <f>Table11[[#This Row],[Adjusted Walmart %]]*$D$85</f>
        <v>0</v>
      </c>
      <c r="E19" s="17">
        <f>Table11[[#This Row],[Adjusted Walmart %]]*$E$85</f>
        <v>3878.4478737826171</v>
      </c>
      <c r="F19" s="17">
        <f>Table11[[#This Row],[Adjusted Walmart %]]*$F$85</f>
        <v>3878.4478737826171</v>
      </c>
      <c r="G19" s="17">
        <f>Table11[[#This Row],[Adjusted Walmart %]]*$G$85</f>
        <v>3878.4478737826171</v>
      </c>
      <c r="H19" s="17">
        <f>Table11[[#This Row],[Adjusted Walmart %]]*$H$85</f>
        <v>6136.7846104155333</v>
      </c>
      <c r="I19" s="17">
        <f>SUM(Table11[[#This Row],[Payment 1]:[Payment 6]])</f>
        <v>760684.65209839412</v>
      </c>
    </row>
    <row r="20" spans="1:9" x14ac:dyDescent="0.3">
      <c r="A20" t="s">
        <v>141</v>
      </c>
      <c r="B20">
        <v>0</v>
      </c>
      <c r="C20" s="17">
        <f>Table11[[#This Row],[Adjusted Walmart %]]*$C$85</f>
        <v>0</v>
      </c>
      <c r="D20" s="35">
        <f>Table11[[#This Row],[Adjusted Walmart %]]*$D$85</f>
        <v>0</v>
      </c>
      <c r="E20" s="17">
        <f>Table11[[#This Row],[Adjusted Walmart %]]*$E$85</f>
        <v>0</v>
      </c>
      <c r="F20" s="17">
        <f>Table11[[#This Row],[Adjusted Walmart %]]*$F$85</f>
        <v>0</v>
      </c>
      <c r="G20" s="17">
        <f>Table11[[#This Row],[Adjusted Walmart %]]*$G$85</f>
        <v>0</v>
      </c>
      <c r="H20" s="17">
        <f>Table11[[#This Row],[Adjusted Walmart %]]*$H$85</f>
        <v>0</v>
      </c>
      <c r="I20" s="17">
        <f>SUM(Table11[[#This Row],[Payment 1]:[Payment 6]])</f>
        <v>0</v>
      </c>
    </row>
    <row r="21" spans="1:9" x14ac:dyDescent="0.3">
      <c r="A21" t="s">
        <v>219</v>
      </c>
      <c r="B21">
        <v>7.8789999835413467E-3</v>
      </c>
      <c r="C21" s="17">
        <f>Table11[[#This Row],[Adjusted Walmart %]]*$C$85</f>
        <v>132044.7700238809</v>
      </c>
      <c r="D21" s="35">
        <f>Table11[[#This Row],[Adjusted Walmart %]]*$D$85</f>
        <v>0</v>
      </c>
      <c r="E21" s="17">
        <f>Table11[[#This Row],[Adjusted Walmart %]]*$E$85</f>
        <v>689.3527045119165</v>
      </c>
      <c r="F21" s="17">
        <f>Table11[[#This Row],[Adjusted Walmart %]]*$F$85</f>
        <v>689.3527045119165</v>
      </c>
      <c r="G21" s="17">
        <f>Table11[[#This Row],[Adjusted Walmart %]]*$G$85</f>
        <v>689.3527045119165</v>
      </c>
      <c r="H21" s="17">
        <f>Table11[[#This Row],[Adjusted Walmart %]]*$H$85</f>
        <v>1090.7479501770831</v>
      </c>
      <c r="I21" s="17">
        <f>SUM(Table11[[#This Row],[Payment 1]:[Payment 6]])</f>
        <v>135203.57608759377</v>
      </c>
    </row>
    <row r="22" spans="1:9" x14ac:dyDescent="0.3">
      <c r="A22" t="s">
        <v>142</v>
      </c>
      <c r="B22">
        <v>2.0086801200497714E-2</v>
      </c>
      <c r="C22" s="17">
        <f>Table11[[#This Row],[Adjusted Walmart %]]*$C$85</f>
        <v>336636.25467390724</v>
      </c>
      <c r="D22" s="35">
        <f>Table11[[#This Row],[Adjusted Walmart %]]*$D$85</f>
        <v>0</v>
      </c>
      <c r="E22" s="17">
        <f>Table11[[#This Row],[Adjusted Walmart %]]*$E$85</f>
        <v>1757.442665500882</v>
      </c>
      <c r="F22" s="17">
        <f>Table11[[#This Row],[Adjusted Walmart %]]*$F$85</f>
        <v>1757.442665500882</v>
      </c>
      <c r="G22" s="17">
        <f>Table11[[#This Row],[Adjusted Walmart %]]*$G$85</f>
        <v>1757.442665500882</v>
      </c>
      <c r="H22" s="17">
        <f>Table11[[#This Row],[Adjusted Walmart %]]*$H$85</f>
        <v>2780.7637112355728</v>
      </c>
      <c r="I22" s="17">
        <f>SUM(Table11[[#This Row],[Payment 1]:[Payment 6]])</f>
        <v>344689.34638164536</v>
      </c>
    </row>
    <row r="23" spans="1:9" x14ac:dyDescent="0.3">
      <c r="A23" t="s">
        <v>143</v>
      </c>
      <c r="B23">
        <v>3.0283107281507925E-2</v>
      </c>
      <c r="C23" s="17">
        <f>Table11[[#This Row],[Adjusted Walmart %]]*$C$85</f>
        <v>507516.93678744423</v>
      </c>
      <c r="D23" s="35">
        <f>Table11[[#This Row],[Adjusted Walmart %]]*$D$85</f>
        <v>0</v>
      </c>
      <c r="E23" s="17">
        <f>Table11[[#This Row],[Adjusted Walmart %]]*$E$85</f>
        <v>2649.5420674120946</v>
      </c>
      <c r="F23" s="17">
        <f>Table11[[#This Row],[Adjusted Walmart %]]*$F$85</f>
        <v>2649.5420674120946</v>
      </c>
      <c r="G23" s="17">
        <f>Table11[[#This Row],[Adjusted Walmart %]]*$G$85</f>
        <v>2649.5420674120946</v>
      </c>
      <c r="H23" s="17">
        <f>Table11[[#This Row],[Adjusted Walmart %]]*$H$85</f>
        <v>4192.3133978039468</v>
      </c>
      <c r="I23" s="17">
        <f>SUM(Table11[[#This Row],[Payment 1]:[Payment 6]])</f>
        <v>519657.87638748449</v>
      </c>
    </row>
    <row r="24" spans="1:9" x14ac:dyDescent="0.3">
      <c r="A24" t="s">
        <v>220</v>
      </c>
      <c r="B24">
        <v>9.0756393532736204E-3</v>
      </c>
      <c r="C24" s="17">
        <f>Table11[[#This Row],[Adjusted Walmart %]]*$C$85</f>
        <v>152099.34175987419</v>
      </c>
      <c r="D24" s="35">
        <f>Table11[[#This Row],[Adjusted Walmart %]]*$D$85</f>
        <v>0</v>
      </c>
      <c r="E24" s="17">
        <f>Table11[[#This Row],[Adjusted Walmart %]]*$E$85</f>
        <v>794.04956801915694</v>
      </c>
      <c r="F24" s="17">
        <f>Table11[[#This Row],[Adjusted Walmart %]]*$F$85</f>
        <v>794.04956801915694</v>
      </c>
      <c r="G24" s="17">
        <f>Table11[[#This Row],[Adjusted Walmart %]]*$G$85</f>
        <v>794.04956801915694</v>
      </c>
      <c r="H24" s="17">
        <f>Table11[[#This Row],[Adjusted Walmart %]]*$H$85</f>
        <v>1256.4075443341089</v>
      </c>
      <c r="I24" s="17">
        <f>SUM(Table11[[#This Row],[Payment 1]:[Payment 6]])</f>
        <v>155737.89800826579</v>
      </c>
    </row>
    <row r="25" spans="1:9" x14ac:dyDescent="0.3">
      <c r="A25" t="s">
        <v>144</v>
      </c>
      <c r="B25">
        <v>2.5031299338372209E-2</v>
      </c>
      <c r="C25" s="17">
        <f>Table11[[#This Row],[Adjusted Walmart %]]*$C$85</f>
        <v>419501.48133503116</v>
      </c>
      <c r="D25" s="35">
        <f>Table11[[#This Row],[Adjusted Walmart %]]*$D$85</f>
        <v>0</v>
      </c>
      <c r="E25" s="17">
        <f>Table11[[#This Row],[Adjusted Walmart %]]*$E$85</f>
        <v>2190.0487285695494</v>
      </c>
      <c r="F25" s="17">
        <f>Table11[[#This Row],[Adjusted Walmart %]]*$F$85</f>
        <v>2190.0487285695494</v>
      </c>
      <c r="G25" s="17">
        <f>Table11[[#This Row],[Adjusted Walmart %]]*$G$85</f>
        <v>2190.0487285695494</v>
      </c>
      <c r="H25" s="17">
        <f>Table11[[#This Row],[Adjusted Walmart %]]*$H$85</f>
        <v>3465.2669755847301</v>
      </c>
      <c r="I25" s="17">
        <f>SUM(Table11[[#This Row],[Payment 1]:[Payment 6]])</f>
        <v>429536.89449632447</v>
      </c>
    </row>
    <row r="26" spans="1:9" x14ac:dyDescent="0.3">
      <c r="A26" t="s">
        <v>145</v>
      </c>
      <c r="B26">
        <v>3.7734327894305385E-3</v>
      </c>
      <c r="C26" s="17">
        <f>Table11[[#This Row],[Adjusted Walmart %]]*$C$85</f>
        <v>63239.251925594603</v>
      </c>
      <c r="D26" s="35">
        <f>Table11[[#This Row],[Adjusted Walmart %]]*$D$85</f>
        <v>0</v>
      </c>
      <c r="E26" s="17">
        <f>Table11[[#This Row],[Adjusted Walmart %]]*$E$85</f>
        <v>330.14673234187808</v>
      </c>
      <c r="F26" s="17">
        <f>Table11[[#This Row],[Adjusted Walmart %]]*$F$85</f>
        <v>330.14673234187808</v>
      </c>
      <c r="G26" s="17">
        <f>Table11[[#This Row],[Adjusted Walmart %]]*$G$85</f>
        <v>330.14673234187808</v>
      </c>
      <c r="H26" s="17">
        <f>Table11[[#This Row],[Adjusted Walmart %]]*$H$85</f>
        <v>522.38407016119947</v>
      </c>
      <c r="I26" s="17">
        <f>SUM(Table11[[#This Row],[Payment 1]:[Payment 6]])</f>
        <v>64752.076192781431</v>
      </c>
    </row>
    <row r="27" spans="1:9" x14ac:dyDescent="0.3">
      <c r="A27" t="s">
        <v>146</v>
      </c>
      <c r="B27">
        <v>1.3414698298524062E-2</v>
      </c>
      <c r="C27" s="17">
        <f>Table11[[#This Row],[Adjusted Walmart %]]*$C$85</f>
        <v>224817.96617191998</v>
      </c>
      <c r="D27" s="35">
        <f>Table11[[#This Row],[Adjusted Walmart %]]*$D$85</f>
        <v>0</v>
      </c>
      <c r="E27" s="17">
        <f>Table11[[#This Row],[Adjusted Walmart %]]*$E$85</f>
        <v>1173.6842964356174</v>
      </c>
      <c r="F27" s="17">
        <f>Table11[[#This Row],[Adjusted Walmart %]]*$F$85</f>
        <v>1173.6842964356174</v>
      </c>
      <c r="G27" s="17">
        <f>Table11[[#This Row],[Adjusted Walmart %]]*$G$85</f>
        <v>1173.6842964356174</v>
      </c>
      <c r="H27" s="17">
        <f>Table11[[#This Row],[Adjusted Walmart %]]*$H$85</f>
        <v>1857.0954057525591</v>
      </c>
      <c r="I27" s="17">
        <f>SUM(Table11[[#This Row],[Payment 1]:[Payment 6]])</f>
        <v>230196.1144669794</v>
      </c>
    </row>
    <row r="28" spans="1:9" x14ac:dyDescent="0.3">
      <c r="A28" t="s">
        <v>147</v>
      </c>
      <c r="B28">
        <v>2.7018063552632973E-2</v>
      </c>
      <c r="C28" s="17">
        <f>Table11[[#This Row],[Adjusted Walmart %]]*$C$85</f>
        <v>452797.81644250063</v>
      </c>
      <c r="D28" s="35">
        <f>Table11[[#This Row],[Adjusted Walmart %]]*$D$85</f>
        <v>0</v>
      </c>
      <c r="E28" s="17">
        <f>Table11[[#This Row],[Adjusted Walmart %]]*$E$85</f>
        <v>2363.8755196837906</v>
      </c>
      <c r="F28" s="17">
        <f>Table11[[#This Row],[Adjusted Walmart %]]*$F$85</f>
        <v>2363.8755196837906</v>
      </c>
      <c r="G28" s="17">
        <f>Table11[[#This Row],[Adjusted Walmart %]]*$G$85</f>
        <v>2363.8755196837906</v>
      </c>
      <c r="H28" s="17">
        <f>Table11[[#This Row],[Adjusted Walmart %]]*$H$85</f>
        <v>3740.3093665882761</v>
      </c>
      <c r="I28" s="17">
        <f>SUM(Table11[[#This Row],[Payment 1]:[Payment 6]])</f>
        <v>463629.75236814033</v>
      </c>
    </row>
    <row r="29" spans="1:9" x14ac:dyDescent="0.3">
      <c r="A29" t="s">
        <v>148</v>
      </c>
      <c r="B29">
        <v>2.3919111011044846E-3</v>
      </c>
      <c r="C29" s="17">
        <f>Table11[[#This Row],[Adjusted Walmart %]]*$C$85</f>
        <v>40086.223114947927</v>
      </c>
      <c r="D29" s="35">
        <f>Table11[[#This Row],[Adjusted Walmart %]]*$D$85</f>
        <v>0</v>
      </c>
      <c r="E29" s="17">
        <f>Table11[[#This Row],[Adjusted Walmart %]]*$E$85</f>
        <v>209.27406903703795</v>
      </c>
      <c r="F29" s="17">
        <f>Table11[[#This Row],[Adjusted Walmart %]]*$F$85</f>
        <v>209.27406903703795</v>
      </c>
      <c r="G29" s="17">
        <f>Table11[[#This Row],[Adjusted Walmart %]]*$G$85</f>
        <v>209.27406903703795</v>
      </c>
      <c r="H29" s="17">
        <f>Table11[[#This Row],[Adjusted Walmart %]]*$H$85</f>
        <v>331.12985607126257</v>
      </c>
      <c r="I29" s="17">
        <f>SUM(Table11[[#This Row],[Payment 1]:[Payment 6]])</f>
        <v>41045.17517813031</v>
      </c>
    </row>
    <row r="30" spans="1:9" x14ac:dyDescent="0.3">
      <c r="A30" t="s">
        <v>221</v>
      </c>
      <c r="B30">
        <v>4.0314212679214327E-3</v>
      </c>
      <c r="C30" s="17">
        <f>Table11[[#This Row],[Adjusted Walmart %]]*$C$85</f>
        <v>67562.900787417486</v>
      </c>
      <c r="D30" s="35">
        <f>Table11[[#This Row],[Adjusted Walmart %]]*$D$85</f>
        <v>0</v>
      </c>
      <c r="E30" s="17">
        <f>Table11[[#This Row],[Adjusted Walmart %]]*$E$85</f>
        <v>352.71876632488579</v>
      </c>
      <c r="F30" s="17">
        <f>Table11[[#This Row],[Adjusted Walmart %]]*$F$85</f>
        <v>352.71876632488579</v>
      </c>
      <c r="G30" s="17">
        <f>Table11[[#This Row],[Adjusted Walmart %]]*$G$85</f>
        <v>352.71876632488579</v>
      </c>
      <c r="H30" s="17">
        <f>Table11[[#This Row],[Adjusted Walmart %]]*$H$85</f>
        <v>558.09931380519902</v>
      </c>
      <c r="I30" s="17">
        <f>SUM(Table11[[#This Row],[Payment 1]:[Payment 6]])</f>
        <v>69179.15640019736</v>
      </c>
    </row>
    <row r="31" spans="1:9" x14ac:dyDescent="0.3">
      <c r="A31" t="s">
        <v>149</v>
      </c>
      <c r="B31">
        <v>1.7543825442649562E-2</v>
      </c>
      <c r="C31" s="17">
        <f>Table11[[#This Row],[Adjusted Walmart %]]*$C$85</f>
        <v>294018.32729444321</v>
      </c>
      <c r="D31" s="35">
        <f>Table11[[#This Row],[Adjusted Walmart %]]*$D$85</f>
        <v>0</v>
      </c>
      <c r="E31" s="17">
        <f>Table11[[#This Row],[Adjusted Walmart %]]*$E$85</f>
        <v>1534.9515854345325</v>
      </c>
      <c r="F31" s="17">
        <f>Table11[[#This Row],[Adjusted Walmart %]]*$F$85</f>
        <v>1534.9515854345325</v>
      </c>
      <c r="G31" s="17">
        <f>Table11[[#This Row],[Adjusted Walmart %]]*$G$85</f>
        <v>1534.9515854345325</v>
      </c>
      <c r="H31" s="17">
        <f>Table11[[#This Row],[Adjusted Walmart %]]*$H$85</f>
        <v>2428.7208630293235</v>
      </c>
      <c r="I31" s="17">
        <f>SUM(Table11[[#This Row],[Payment 1]:[Payment 6]])</f>
        <v>301051.90291377617</v>
      </c>
    </row>
    <row r="32" spans="1:9" x14ac:dyDescent="0.3">
      <c r="A32" t="s">
        <v>150</v>
      </c>
      <c r="B32">
        <v>1.4658270212818405E-2</v>
      </c>
      <c r="C32" s="17">
        <f>Table11[[#This Row],[Adjusted Walmart %]]*$C$85</f>
        <v>245659.08405162176</v>
      </c>
      <c r="D32" s="35">
        <f>Table11[[#This Row],[Adjusted Walmart %]]*$D$85</f>
        <v>0</v>
      </c>
      <c r="E32" s="17">
        <f>Table11[[#This Row],[Adjusted Walmart %]]*$E$85</f>
        <v>1282.4874014190693</v>
      </c>
      <c r="F32" s="17">
        <f>Table11[[#This Row],[Adjusted Walmart %]]*$F$85</f>
        <v>1282.4874014190693</v>
      </c>
      <c r="G32" s="17">
        <f>Table11[[#This Row],[Adjusted Walmart %]]*$G$85</f>
        <v>1282.4874014190693</v>
      </c>
      <c r="H32" s="17">
        <f>Table11[[#This Row],[Adjusted Walmart %]]*$H$85</f>
        <v>2029.2522174352364</v>
      </c>
      <c r="I32" s="17">
        <f>SUM(Table11[[#This Row],[Payment 1]:[Payment 6]])</f>
        <v>251535.79847331418</v>
      </c>
    </row>
    <row r="33" spans="1:9" x14ac:dyDescent="0.3">
      <c r="A33" t="s">
        <v>151</v>
      </c>
      <c r="B33">
        <v>7.512003410280689E-2</v>
      </c>
      <c r="C33" s="17">
        <f>Table11[[#This Row],[Adjusted Walmart %]]*$C$85</f>
        <v>1258942.4607198534</v>
      </c>
      <c r="D33" s="35">
        <f>Table11[[#This Row],[Adjusted Walmart %]]*$D$85</f>
        <v>0</v>
      </c>
      <c r="E33" s="17">
        <f>Table11[[#This Row],[Adjusted Walmart %]]*$E$85</f>
        <v>6572.4328950337249</v>
      </c>
      <c r="F33" s="17">
        <f>Table11[[#This Row],[Adjusted Walmart %]]*$F$85</f>
        <v>6572.4328950337249</v>
      </c>
      <c r="G33" s="17">
        <f>Table11[[#This Row],[Adjusted Walmart %]]*$G$85</f>
        <v>6572.4328950337249</v>
      </c>
      <c r="H33" s="17">
        <f>Table11[[#This Row],[Adjusted Walmart %]]*$H$85</f>
        <v>10399.419137711591</v>
      </c>
      <c r="I33" s="17">
        <f>SUM(Table11[[#This Row],[Payment 1]:[Payment 6]])</f>
        <v>1289059.1785426659</v>
      </c>
    </row>
    <row r="34" spans="1:9" x14ac:dyDescent="0.3">
      <c r="A34" t="s">
        <v>152</v>
      </c>
      <c r="B34">
        <v>1.6612013025965131E-2</v>
      </c>
      <c r="C34" s="17">
        <f>Table11[[#This Row],[Adjusted Walmart %]]*$C$85</f>
        <v>278402.01094420638</v>
      </c>
      <c r="D34" s="35">
        <f>Table11[[#This Row],[Adjusted Walmart %]]*$D$85</f>
        <v>0</v>
      </c>
      <c r="E34" s="17">
        <f>Table11[[#This Row],[Adjusted Walmart %]]*$E$85</f>
        <v>1453.4250705365741</v>
      </c>
      <c r="F34" s="17">
        <f>Table11[[#This Row],[Adjusted Walmart %]]*$F$85</f>
        <v>1453.4250705365741</v>
      </c>
      <c r="G34" s="17">
        <f>Table11[[#This Row],[Adjusted Walmart %]]*$G$85</f>
        <v>1453.4250705365741</v>
      </c>
      <c r="H34" s="17">
        <f>Table11[[#This Row],[Adjusted Walmart %]]*$H$85</f>
        <v>2299.7232128743262</v>
      </c>
      <c r="I34" s="17">
        <f>SUM(Table11[[#This Row],[Payment 1]:[Payment 6]])</f>
        <v>285062.00936869037</v>
      </c>
    </row>
    <row r="35" spans="1:9" x14ac:dyDescent="0.3">
      <c r="A35" t="s">
        <v>153</v>
      </c>
      <c r="B35">
        <v>2.2979072922531909E-3</v>
      </c>
      <c r="C35" s="17">
        <f>Table11[[#This Row],[Adjusted Walmart %]]*$C$85</f>
        <v>38510.806012895991</v>
      </c>
      <c r="D35" s="35">
        <f>Table11[[#This Row],[Adjusted Walmart %]]*$D$85</f>
        <v>0</v>
      </c>
      <c r="E35" s="17">
        <f>Table11[[#This Row],[Adjusted Walmart %]]*$E$85</f>
        <v>201.04944916123813</v>
      </c>
      <c r="F35" s="17">
        <f>Table11[[#This Row],[Adjusted Walmart %]]*$F$85</f>
        <v>201.04944916123813</v>
      </c>
      <c r="G35" s="17">
        <f>Table11[[#This Row],[Adjusted Walmart %]]*$G$85</f>
        <v>201.04944916123813</v>
      </c>
      <c r="H35" s="17">
        <f>Table11[[#This Row],[Adjusted Walmart %]]*$H$85</f>
        <v>318.11621702727552</v>
      </c>
      <c r="I35" s="17">
        <f>SUM(Table11[[#This Row],[Payment 1]:[Payment 6]])</f>
        <v>39432.070577406987</v>
      </c>
    </row>
    <row r="36" spans="1:9" x14ac:dyDescent="0.3">
      <c r="A36" t="s">
        <v>154</v>
      </c>
      <c r="B36">
        <v>8.3142266294694849E-4</v>
      </c>
      <c r="C36" s="17">
        <f>Table11[[#This Row],[Adjusted Walmart %]]*$C$85</f>
        <v>13933.876703998645</v>
      </c>
      <c r="D36" s="35">
        <f>Table11[[#This Row],[Adjusted Walmart %]]*$D$85</f>
        <v>0</v>
      </c>
      <c r="E36" s="17">
        <f>Table11[[#This Row],[Adjusted Walmart %]]*$E$85</f>
        <v>72.743173307809769</v>
      </c>
      <c r="F36" s="17">
        <f>Table11[[#This Row],[Adjusted Walmart %]]*$F$85</f>
        <v>72.743173307809769</v>
      </c>
      <c r="G36" s="17">
        <f>Table11[[#This Row],[Adjusted Walmart %]]*$G$85</f>
        <v>72.743173307809769</v>
      </c>
      <c r="H36" s="17">
        <f>Table11[[#This Row],[Adjusted Walmart %]]*$H$85</f>
        <v>115.09995776552178</v>
      </c>
      <c r="I36" s="17">
        <f>SUM(Table11[[#This Row],[Payment 1]:[Payment 6]])</f>
        <v>14267.206181687598</v>
      </c>
    </row>
    <row r="37" spans="1:9" x14ac:dyDescent="0.3">
      <c r="A37" t="s">
        <v>155</v>
      </c>
      <c r="B37">
        <v>2.0816622333690263E-2</v>
      </c>
      <c r="C37" s="17">
        <f>Table11[[#This Row],[Adjusted Walmart %]]*$C$85</f>
        <v>348867.38348369102</v>
      </c>
      <c r="D37" s="35">
        <f>Table11[[#This Row],[Adjusted Walmart %]]*$D$85</f>
        <v>0</v>
      </c>
      <c r="E37" s="17">
        <f>Table11[[#This Row],[Adjusted Walmart %]]*$E$85</f>
        <v>1821.29647601328</v>
      </c>
      <c r="F37" s="17">
        <f>Table11[[#This Row],[Adjusted Walmart %]]*$F$85</f>
        <v>1821.29647601328</v>
      </c>
      <c r="G37" s="17">
        <f>Table11[[#This Row],[Adjusted Walmart %]]*$G$85</f>
        <v>1821.29647601328</v>
      </c>
      <c r="H37" s="17">
        <f>Table11[[#This Row],[Adjusted Walmart %]]*$H$85</f>
        <v>2881.7982215399998</v>
      </c>
      <c r="I37" s="17">
        <f>SUM(Table11[[#This Row],[Payment 1]:[Payment 6]])</f>
        <v>357213.0711332708</v>
      </c>
    </row>
    <row r="38" spans="1:9" x14ac:dyDescent="0.3">
      <c r="A38" t="s">
        <v>156</v>
      </c>
      <c r="B38">
        <v>8.3142266294694849E-4</v>
      </c>
      <c r="C38" s="17">
        <f>Table11[[#This Row],[Adjusted Walmart %]]*$C$85</f>
        <v>13933.876703998645</v>
      </c>
      <c r="D38" s="35">
        <f>Table11[[#This Row],[Adjusted Walmart %]]*$D$85</f>
        <v>0</v>
      </c>
      <c r="E38" s="17">
        <f>Table11[[#This Row],[Adjusted Walmart %]]*$E$85</f>
        <v>72.743173307809769</v>
      </c>
      <c r="F38" s="17">
        <f>Table11[[#This Row],[Adjusted Walmart %]]*$F$85</f>
        <v>72.743173307809769</v>
      </c>
      <c r="G38" s="17">
        <f>Table11[[#This Row],[Adjusted Walmart %]]*$G$85</f>
        <v>72.743173307809769</v>
      </c>
      <c r="H38" s="17">
        <f>Table11[[#This Row],[Adjusted Walmart %]]*$H$85</f>
        <v>115.09995776552178</v>
      </c>
      <c r="I38" s="17">
        <f>SUM(Table11[[#This Row],[Payment 1]:[Payment 6]])</f>
        <v>14267.206181687598</v>
      </c>
    </row>
    <row r="39" spans="1:9" x14ac:dyDescent="0.3">
      <c r="A39" t="s">
        <v>157</v>
      </c>
      <c r="B39">
        <v>2.0785566573673711E-3</v>
      </c>
      <c r="C39" s="17">
        <f>Table11[[#This Row],[Adjusted Walmart %]]*$C$85</f>
        <v>34834.691759996611</v>
      </c>
      <c r="D39" s="35">
        <f>Table11[[#This Row],[Adjusted Walmart %]]*$D$85</f>
        <v>0</v>
      </c>
      <c r="E39" s="17">
        <f>Table11[[#This Row],[Adjusted Walmart %]]*$E$85</f>
        <v>181.85793326952441</v>
      </c>
      <c r="F39" s="17">
        <f>Table11[[#This Row],[Adjusted Walmart %]]*$F$85</f>
        <v>181.85793326952441</v>
      </c>
      <c r="G39" s="17">
        <f>Table11[[#This Row],[Adjusted Walmart %]]*$G$85</f>
        <v>181.85793326952441</v>
      </c>
      <c r="H39" s="17">
        <f>Table11[[#This Row],[Adjusted Walmart %]]*$H$85</f>
        <v>287.74989441380444</v>
      </c>
      <c r="I39" s="17">
        <f>SUM(Table11[[#This Row],[Payment 1]:[Payment 6]])</f>
        <v>35668.015454218985</v>
      </c>
    </row>
    <row r="40" spans="1:9" x14ac:dyDescent="0.3">
      <c r="A40" t="s">
        <v>158</v>
      </c>
      <c r="B40">
        <v>9.8984931225676691E-3</v>
      </c>
      <c r="C40" s="17">
        <f>Table11[[#This Row],[Adjusted Walmart %]]*$C$85</f>
        <v>165889.61171249326</v>
      </c>
      <c r="D40" s="35">
        <f>Table11[[#This Row],[Adjusted Walmart %]]*$D$85</f>
        <v>0</v>
      </c>
      <c r="E40" s="17">
        <f>Table11[[#This Row],[Adjusted Walmart %]]*$E$85</f>
        <v>866.04302816201675</v>
      </c>
      <c r="F40" s="17">
        <f>Table11[[#This Row],[Adjusted Walmart %]]*$F$85</f>
        <v>866.04302816201675</v>
      </c>
      <c r="G40" s="17">
        <f>Table11[[#This Row],[Adjusted Walmart %]]*$G$85</f>
        <v>866.04302816201675</v>
      </c>
      <c r="H40" s="17">
        <f>Table11[[#This Row],[Adjusted Walmart %]]*$H$85</f>
        <v>1370.3212470917986</v>
      </c>
      <c r="I40" s="17">
        <f>SUM(Table11[[#This Row],[Payment 1]:[Payment 6]])</f>
        <v>169858.06204407109</v>
      </c>
    </row>
    <row r="41" spans="1:9" x14ac:dyDescent="0.3">
      <c r="A41" t="s">
        <v>159</v>
      </c>
      <c r="B41">
        <v>8.3142266294694849E-4</v>
      </c>
      <c r="C41" s="17">
        <f>Table11[[#This Row],[Adjusted Walmart %]]*$C$85</f>
        <v>13933.876703998645</v>
      </c>
      <c r="D41" s="35">
        <f>Table11[[#This Row],[Adjusted Walmart %]]*$D$85</f>
        <v>0</v>
      </c>
      <c r="E41" s="17">
        <f>Table11[[#This Row],[Adjusted Walmart %]]*$E$85</f>
        <v>72.743173307809769</v>
      </c>
      <c r="F41" s="17">
        <f>Table11[[#This Row],[Adjusted Walmart %]]*$F$85</f>
        <v>72.743173307809769</v>
      </c>
      <c r="G41" s="17">
        <f>Table11[[#This Row],[Adjusted Walmart %]]*$G$85</f>
        <v>72.743173307809769</v>
      </c>
      <c r="H41" s="17">
        <f>Table11[[#This Row],[Adjusted Walmart %]]*$H$85</f>
        <v>115.09995776552178</v>
      </c>
      <c r="I41" s="17">
        <f>SUM(Table11[[#This Row],[Payment 1]:[Payment 6]])</f>
        <v>14267.206181687598</v>
      </c>
    </row>
    <row r="42" spans="1:9" x14ac:dyDescent="0.3">
      <c r="A42" t="s">
        <v>160</v>
      </c>
      <c r="B42">
        <v>1.1983260066366123E-2</v>
      </c>
      <c r="C42" s="17">
        <f>Table11[[#This Row],[Adjusted Walmart %]]*$C$85</f>
        <v>200828.38214304295</v>
      </c>
      <c r="D42" s="35">
        <f>Table11[[#This Row],[Adjusted Walmart %]]*$D$85</f>
        <v>0</v>
      </c>
      <c r="E42" s="17">
        <f>Table11[[#This Row],[Adjusted Walmart %]]*$E$85</f>
        <v>1048.4443143641472</v>
      </c>
      <c r="F42" s="17">
        <f>Table11[[#This Row],[Adjusted Walmart %]]*$F$85</f>
        <v>1048.4443143641472</v>
      </c>
      <c r="G42" s="17">
        <f>Table11[[#This Row],[Adjusted Walmart %]]*$G$85</f>
        <v>1048.4443143641472</v>
      </c>
      <c r="H42" s="17">
        <f>Table11[[#This Row],[Adjusted Walmart %]]*$H$85</f>
        <v>1658.9308771584608</v>
      </c>
      <c r="I42" s="17">
        <f>SUM(Table11[[#This Row],[Payment 1]:[Payment 6]])</f>
        <v>205632.64596329382</v>
      </c>
    </row>
    <row r="43" spans="1:9" x14ac:dyDescent="0.3">
      <c r="A43" t="s">
        <v>161</v>
      </c>
      <c r="B43">
        <v>2.7630385836526663E-3</v>
      </c>
      <c r="C43" s="17">
        <f>Table11[[#This Row],[Adjusted Walmart %]]*$C$85</f>
        <v>46305.977295045057</v>
      </c>
      <c r="D43" s="35">
        <f>Table11[[#This Row],[Adjusted Walmart %]]*$D$85</f>
        <v>0</v>
      </c>
      <c r="E43" s="17">
        <f>Table11[[#This Row],[Adjusted Walmart %]]*$E$85</f>
        <v>241.7449072586034</v>
      </c>
      <c r="F43" s="17">
        <f>Table11[[#This Row],[Adjusted Walmart %]]*$F$85</f>
        <v>241.7449072586034</v>
      </c>
      <c r="G43" s="17">
        <f>Table11[[#This Row],[Adjusted Walmart %]]*$G$85</f>
        <v>241.7449072586034</v>
      </c>
      <c r="H43" s="17">
        <f>Table11[[#This Row],[Adjusted Walmart %]]*$H$85</f>
        <v>382.50776464968897</v>
      </c>
      <c r="I43" s="17">
        <f>SUM(Table11[[#This Row],[Payment 1]:[Payment 6]])</f>
        <v>47413.719781470551</v>
      </c>
    </row>
    <row r="44" spans="1:9" x14ac:dyDescent="0.3">
      <c r="A44" t="s">
        <v>162</v>
      </c>
      <c r="B44">
        <v>2.0785566573673711E-3</v>
      </c>
      <c r="C44" s="17">
        <f>Table11[[#This Row],[Adjusted Walmart %]]*$C$85</f>
        <v>34834.691759996611</v>
      </c>
      <c r="D44" s="35">
        <f>Table11[[#This Row],[Adjusted Walmart %]]*$D$85</f>
        <v>0</v>
      </c>
      <c r="E44" s="17">
        <f>Table11[[#This Row],[Adjusted Walmart %]]*$E$85</f>
        <v>181.85793326952441</v>
      </c>
      <c r="F44" s="17">
        <f>Table11[[#This Row],[Adjusted Walmart %]]*$F$85</f>
        <v>181.85793326952441</v>
      </c>
      <c r="G44" s="17">
        <f>Table11[[#This Row],[Adjusted Walmart %]]*$G$85</f>
        <v>181.85793326952441</v>
      </c>
      <c r="H44" s="17">
        <f>Table11[[#This Row],[Adjusted Walmart %]]*$H$85</f>
        <v>287.74989441380444</v>
      </c>
      <c r="I44" s="17">
        <f>SUM(Table11[[#This Row],[Payment 1]:[Payment 6]])</f>
        <v>35668.015454218985</v>
      </c>
    </row>
    <row r="45" spans="1:9" x14ac:dyDescent="0.3">
      <c r="A45" t="s">
        <v>163</v>
      </c>
      <c r="B45">
        <v>2.3026346187346287E-3</v>
      </c>
      <c r="C45" s="17">
        <f>Table11[[#This Row],[Adjusted Walmart %]]*$C$85</f>
        <v>38590.03164297255</v>
      </c>
      <c r="D45" s="35">
        <f>Table11[[#This Row],[Adjusted Walmart %]]*$D$85</f>
        <v>0</v>
      </c>
      <c r="E45" s="17">
        <f>Table11[[#This Row],[Adjusted Walmart %]]*$E$85</f>
        <v>201.463054352493</v>
      </c>
      <c r="F45" s="17">
        <f>Table11[[#This Row],[Adjusted Walmart %]]*$F$85</f>
        <v>201.463054352493</v>
      </c>
      <c r="G45" s="17">
        <f>Table11[[#This Row],[Adjusted Walmart %]]*$G$85</f>
        <v>201.463054352493</v>
      </c>
      <c r="H45" s="17">
        <f>Table11[[#This Row],[Adjusted Walmart %]]*$H$85</f>
        <v>318.77065562103326</v>
      </c>
      <c r="I45" s="17">
        <f>SUM(Table11[[#This Row],[Payment 1]:[Payment 6]])</f>
        <v>39513.191461651055</v>
      </c>
    </row>
    <row r="46" spans="1:9" x14ac:dyDescent="0.3">
      <c r="A46" t="s">
        <v>164</v>
      </c>
      <c r="B46">
        <v>3.3884379270849793E-3</v>
      </c>
      <c r="C46" s="17">
        <f>Table11[[#This Row],[Adjusted Walmart %]]*$C$85</f>
        <v>56787.093255079446</v>
      </c>
      <c r="D46" s="35">
        <f>Table11[[#This Row],[Adjusted Walmart %]]*$D$85</f>
        <v>0</v>
      </c>
      <c r="E46" s="17">
        <f>Table11[[#This Row],[Adjusted Walmart %]]*$E$85</f>
        <v>296.46260362814542</v>
      </c>
      <c r="F46" s="17">
        <f>Table11[[#This Row],[Adjusted Walmart %]]*$F$85</f>
        <v>296.46260362814542</v>
      </c>
      <c r="G46" s="17">
        <f>Table11[[#This Row],[Adjusted Walmart %]]*$G$85</f>
        <v>296.46260362814542</v>
      </c>
      <c r="H46" s="17">
        <f>Table11[[#This Row],[Adjusted Walmart %]]*$H$85</f>
        <v>469.08639814579971</v>
      </c>
      <c r="I46" s="17">
        <f>SUM(Table11[[#This Row],[Payment 1]:[Payment 6]])</f>
        <v>58145.567464109692</v>
      </c>
    </row>
    <row r="47" spans="1:9" x14ac:dyDescent="0.3">
      <c r="A47" t="s">
        <v>165</v>
      </c>
      <c r="B47">
        <v>6.3973941685139309E-3</v>
      </c>
      <c r="C47" s="17">
        <f>Table11[[#This Row],[Adjusted Walmart %]]*$C$85</f>
        <v>107214.4235941292</v>
      </c>
      <c r="D47" s="35">
        <f>Table11[[#This Row],[Adjusted Walmart %]]*$D$85</f>
        <v>0</v>
      </c>
      <c r="E47" s="17">
        <f>Table11[[#This Row],[Adjusted Walmart %]]*$E$85</f>
        <v>559.72343966317237</v>
      </c>
      <c r="F47" s="17">
        <f>Table11[[#This Row],[Adjusted Walmart %]]*$F$85</f>
        <v>559.72343966317237</v>
      </c>
      <c r="G47" s="17">
        <f>Table11[[#This Row],[Adjusted Walmart %]]*$G$85</f>
        <v>559.72343966317237</v>
      </c>
      <c r="H47" s="17">
        <f>Table11[[#This Row],[Adjusted Walmart %]]*$H$85</f>
        <v>885.63835389742474</v>
      </c>
      <c r="I47" s="17">
        <f>SUM(Table11[[#This Row],[Payment 1]:[Payment 6]])</f>
        <v>109779.23226701612</v>
      </c>
    </row>
    <row r="48" spans="1:9" x14ac:dyDescent="0.3">
      <c r="A48" t="s">
        <v>166</v>
      </c>
      <c r="B48">
        <v>2.0785566573673711E-3</v>
      </c>
      <c r="C48" s="17">
        <f>Table11[[#This Row],[Adjusted Walmart %]]*$C$85</f>
        <v>34834.691759996611</v>
      </c>
      <c r="D48" s="35">
        <f>Table11[[#This Row],[Adjusted Walmart %]]*$D$85</f>
        <v>0</v>
      </c>
      <c r="E48" s="17">
        <f>Table11[[#This Row],[Adjusted Walmart %]]*$E$85</f>
        <v>181.85793326952441</v>
      </c>
      <c r="F48" s="17">
        <f>Table11[[#This Row],[Adjusted Walmart %]]*$F$85</f>
        <v>181.85793326952441</v>
      </c>
      <c r="G48" s="17">
        <f>Table11[[#This Row],[Adjusted Walmart %]]*$G$85</f>
        <v>181.85793326952441</v>
      </c>
      <c r="H48" s="17">
        <f>Table11[[#This Row],[Adjusted Walmart %]]*$H$85</f>
        <v>287.74989441380444</v>
      </c>
      <c r="I48" s="17">
        <f>SUM(Table11[[#This Row],[Payment 1]:[Payment 6]])</f>
        <v>35668.015454218985</v>
      </c>
    </row>
    <row r="49" spans="1:9" x14ac:dyDescent="0.3">
      <c r="A49" t="s">
        <v>167</v>
      </c>
      <c r="B49">
        <v>1.6591449576021471E-2</v>
      </c>
      <c r="C49" s="17">
        <f>Table11[[#This Row],[Adjusted Walmart %]]*$C$85</f>
        <v>278057.38649638556</v>
      </c>
      <c r="D49" s="35">
        <f>Table11[[#This Row],[Adjusted Walmart %]]*$D$85</f>
        <v>0</v>
      </c>
      <c r="E49" s="17">
        <f>Table11[[#This Row],[Adjusted Walmart %]]*$E$85</f>
        <v>1451.6259247233531</v>
      </c>
      <c r="F49" s="17">
        <f>Table11[[#This Row],[Adjusted Walmart %]]*$F$85</f>
        <v>1451.6259247233531</v>
      </c>
      <c r="G49" s="17">
        <f>Table11[[#This Row],[Adjusted Walmart %]]*$G$85</f>
        <v>1451.6259247233531</v>
      </c>
      <c r="H49" s="17">
        <f>Table11[[#This Row],[Adjusted Walmart %]]*$H$85</f>
        <v>2296.8764631698623</v>
      </c>
      <c r="I49" s="17">
        <f>SUM(Table11[[#This Row],[Payment 1]:[Payment 6]])</f>
        <v>284709.14073372545</v>
      </c>
    </row>
    <row r="50" spans="1:9" x14ac:dyDescent="0.3">
      <c r="A50" t="s">
        <v>168</v>
      </c>
      <c r="B50">
        <v>6.6144165015015015E-3</v>
      </c>
      <c r="C50" s="17">
        <f>Table11[[#This Row],[Adjusted Walmart %]]*$C$85</f>
        <v>110851.51765546332</v>
      </c>
      <c r="D50" s="35">
        <f>Table11[[#This Row],[Adjusted Walmart %]]*$D$85</f>
        <v>0</v>
      </c>
      <c r="E50" s="17">
        <f>Table11[[#This Row],[Adjusted Walmart %]]*$E$85</f>
        <v>578.71124680836613</v>
      </c>
      <c r="F50" s="17">
        <f>Table11[[#This Row],[Adjusted Walmart %]]*$F$85</f>
        <v>578.71124680836613</v>
      </c>
      <c r="G50" s="17">
        <f>Table11[[#This Row],[Adjusted Walmart %]]*$G$85</f>
        <v>578.71124680836613</v>
      </c>
      <c r="H50" s="17">
        <f>Table11[[#This Row],[Adjusted Walmart %]]*$H$85</f>
        <v>915.68235254488309</v>
      </c>
      <c r="I50" s="17">
        <f>SUM(Table11[[#This Row],[Payment 1]:[Payment 6]])</f>
        <v>113503.3337484333</v>
      </c>
    </row>
    <row r="51" spans="1:9" x14ac:dyDescent="0.3">
      <c r="A51" t="s">
        <v>169</v>
      </c>
      <c r="B51">
        <v>2.8784431294909929E-2</v>
      </c>
      <c r="C51" s="17">
        <f>Table11[[#This Row],[Adjusted Walmart %]]*$C$85</f>
        <v>482400.51003226871</v>
      </c>
      <c r="D51" s="35">
        <f>Table11[[#This Row],[Adjusted Walmart %]]*$D$85</f>
        <v>0</v>
      </c>
      <c r="E51" s="17">
        <f>Table11[[#This Row],[Adjusted Walmart %]]*$E$85</f>
        <v>2518.4192920971436</v>
      </c>
      <c r="F51" s="17">
        <f>Table11[[#This Row],[Adjusted Walmart %]]*$F$85</f>
        <v>2518.4192920971436</v>
      </c>
      <c r="G51" s="17">
        <f>Table11[[#This Row],[Adjusted Walmart %]]*$G$85</f>
        <v>2518.4192920971436</v>
      </c>
      <c r="H51" s="17">
        <f>Table11[[#This Row],[Adjusted Walmart %]]*$H$85</f>
        <v>3984.8406520524427</v>
      </c>
      <c r="I51" s="17">
        <f>SUM(Table11[[#This Row],[Payment 1]:[Payment 6]])</f>
        <v>493940.6085606126</v>
      </c>
    </row>
    <row r="52" spans="1:9" x14ac:dyDescent="0.3">
      <c r="A52" t="s">
        <v>170</v>
      </c>
      <c r="B52">
        <v>8.3142266294694849E-4</v>
      </c>
      <c r="C52" s="17">
        <f>Table11[[#This Row],[Adjusted Walmart %]]*$C$85</f>
        <v>13933.876703998645</v>
      </c>
      <c r="D52" s="35">
        <f>Table11[[#This Row],[Adjusted Walmart %]]*$D$85</f>
        <v>0</v>
      </c>
      <c r="E52" s="17">
        <f>Table11[[#This Row],[Adjusted Walmart %]]*$E$85</f>
        <v>72.743173307809769</v>
      </c>
      <c r="F52" s="17">
        <f>Table11[[#This Row],[Adjusted Walmart %]]*$F$85</f>
        <v>72.743173307809769</v>
      </c>
      <c r="G52" s="17">
        <f>Table11[[#This Row],[Adjusted Walmart %]]*$G$85</f>
        <v>72.743173307809769</v>
      </c>
      <c r="H52" s="17">
        <f>Table11[[#This Row],[Adjusted Walmart %]]*$H$85</f>
        <v>115.09995776552178</v>
      </c>
      <c r="I52" s="17">
        <f>SUM(Table11[[#This Row],[Payment 1]:[Payment 6]])</f>
        <v>14267.206181687598</v>
      </c>
    </row>
    <row r="53" spans="1:9" x14ac:dyDescent="0.3">
      <c r="A53" t="s">
        <v>171</v>
      </c>
      <c r="B53">
        <v>2.549858714067849E-3</v>
      </c>
      <c r="C53" s="17">
        <f>Table11[[#This Row],[Adjusted Walmart %]]*$C$85</f>
        <v>42733.279375023492</v>
      </c>
      <c r="D53" s="35">
        <f>Table11[[#This Row],[Adjusted Walmart %]]*$D$85</f>
        <v>0</v>
      </c>
      <c r="E53" s="17">
        <f>Table11[[#This Row],[Adjusted Walmart %]]*$E$85</f>
        <v>223.09328650054121</v>
      </c>
      <c r="F53" s="17">
        <f>Table11[[#This Row],[Adjusted Walmart %]]*$F$85</f>
        <v>223.09328650054121</v>
      </c>
      <c r="G53" s="17">
        <f>Table11[[#This Row],[Adjusted Walmart %]]*$G$85</f>
        <v>223.09328650054121</v>
      </c>
      <c r="H53" s="17">
        <f>Table11[[#This Row],[Adjusted Walmart %]]*$H$85</f>
        <v>352.99570648819815</v>
      </c>
      <c r="I53" s="17">
        <f>SUM(Table11[[#This Row],[Payment 1]:[Payment 6]])</f>
        <v>43755.554941013303</v>
      </c>
    </row>
    <row r="54" spans="1:9" x14ac:dyDescent="0.3">
      <c r="A54" t="s">
        <v>172</v>
      </c>
      <c r="B54">
        <v>2.0785566573673711E-3</v>
      </c>
      <c r="C54" s="17">
        <f>Table11[[#This Row],[Adjusted Walmart %]]*$C$85</f>
        <v>34834.691759996611</v>
      </c>
      <c r="D54" s="35">
        <f>Table11[[#This Row],[Adjusted Walmart %]]*$D$85</f>
        <v>0</v>
      </c>
      <c r="E54" s="17">
        <f>Table11[[#This Row],[Adjusted Walmart %]]*$E$85</f>
        <v>181.85793326952441</v>
      </c>
      <c r="F54" s="17">
        <f>Table11[[#This Row],[Adjusted Walmart %]]*$F$85</f>
        <v>181.85793326952441</v>
      </c>
      <c r="G54" s="17">
        <f>Table11[[#This Row],[Adjusted Walmart %]]*$G$85</f>
        <v>181.85793326952441</v>
      </c>
      <c r="H54" s="17">
        <f>Table11[[#This Row],[Adjusted Walmart %]]*$H$85</f>
        <v>287.74989441380444</v>
      </c>
      <c r="I54" s="17">
        <f>SUM(Table11[[#This Row],[Payment 1]:[Payment 6]])</f>
        <v>35668.015454218985</v>
      </c>
    </row>
    <row r="55" spans="1:9" x14ac:dyDescent="0.3">
      <c r="A55" t="s">
        <v>173</v>
      </c>
      <c r="B55">
        <v>2.5021660583128616E-2</v>
      </c>
      <c r="C55" s="17">
        <f>Table11[[#This Row],[Adjusted Walmart %]]*$C$85</f>
        <v>419339.94469051849</v>
      </c>
      <c r="D55" s="35">
        <f>Table11[[#This Row],[Adjusted Walmart %]]*$D$85</f>
        <v>0</v>
      </c>
      <c r="E55" s="17">
        <f>Table11[[#This Row],[Adjusted Walmart %]]*$E$85</f>
        <v>2189.2054106346363</v>
      </c>
      <c r="F55" s="17">
        <f>Table11[[#This Row],[Adjusted Walmart %]]*$F$85</f>
        <v>2189.2054106346363</v>
      </c>
      <c r="G55" s="17">
        <f>Table11[[#This Row],[Adjusted Walmart %]]*$G$85</f>
        <v>2189.2054106346363</v>
      </c>
      <c r="H55" s="17">
        <f>Table11[[#This Row],[Adjusted Walmart %]]*$H$85</f>
        <v>3463.9326117636656</v>
      </c>
      <c r="I55" s="17">
        <f>SUM(Table11[[#This Row],[Payment 1]:[Payment 6]])</f>
        <v>429371.49353418604</v>
      </c>
    </row>
    <row r="56" spans="1:9" x14ac:dyDescent="0.3">
      <c r="A56" t="s">
        <v>174</v>
      </c>
      <c r="B56">
        <v>8.7752642206744922E-3</v>
      </c>
      <c r="C56" s="17">
        <f>Table11[[#This Row],[Adjusted Walmart %]]*$C$85</f>
        <v>147065.33168400193</v>
      </c>
      <c r="D56" s="35">
        <f>Table11[[#This Row],[Adjusted Walmart %]]*$D$85</f>
        <v>0</v>
      </c>
      <c r="E56" s="17">
        <f>Table11[[#This Row],[Adjusted Walmart %]]*$E$85</f>
        <v>767.76902347570251</v>
      </c>
      <c r="F56" s="17">
        <f>Table11[[#This Row],[Adjusted Walmart %]]*$F$85</f>
        <v>767.76902347570251</v>
      </c>
      <c r="G56" s="17">
        <f>Table11[[#This Row],[Adjusted Walmart %]]*$G$85</f>
        <v>767.76902347570251</v>
      </c>
      <c r="H56" s="17">
        <f>Table11[[#This Row],[Adjusted Walmart %]]*$H$85</f>
        <v>1214.8244042337064</v>
      </c>
      <c r="I56" s="17">
        <f>SUM(Table11[[#This Row],[Payment 1]:[Payment 6]])</f>
        <v>150583.46315866275</v>
      </c>
    </row>
    <row r="57" spans="1:9" x14ac:dyDescent="0.3">
      <c r="A57" t="s">
        <v>176</v>
      </c>
      <c r="B57">
        <v>8.5035252088316981E-3</v>
      </c>
      <c r="C57" s="17">
        <f>Table11[[#This Row],[Adjusted Walmart %]]*$C$85</f>
        <v>142511.23657037676</v>
      </c>
      <c r="D57" s="35">
        <f>Table11[[#This Row],[Adjusted Walmart %]]*$D$85</f>
        <v>0</v>
      </c>
      <c r="E57" s="17">
        <f>Table11[[#This Row],[Adjusted Walmart %]]*$E$85</f>
        <v>743.9939221777546</v>
      </c>
      <c r="F57" s="17">
        <f>Table11[[#This Row],[Adjusted Walmart %]]*$F$85</f>
        <v>743.9939221777546</v>
      </c>
      <c r="G57" s="17">
        <f>Table11[[#This Row],[Adjusted Walmart %]]*$G$85</f>
        <v>743.9939221777546</v>
      </c>
      <c r="H57" s="17">
        <f>Table11[[#This Row],[Adjusted Walmart %]]*$H$85</f>
        <v>1177.2055730660675</v>
      </c>
      <c r="I57" s="17">
        <f>SUM(Table11[[#This Row],[Payment 1]:[Payment 6]])</f>
        <v>145920.42390997612</v>
      </c>
    </row>
    <row r="58" spans="1:9" x14ac:dyDescent="0.3">
      <c r="A58" t="s">
        <v>177</v>
      </c>
      <c r="B58">
        <v>3.5381403012562929E-3</v>
      </c>
      <c r="C58" s="17">
        <f>Table11[[#This Row],[Adjusted Walmart %]]*$C$85</f>
        <v>59295.966920617298</v>
      </c>
      <c r="D58" s="35">
        <f>Table11[[#This Row],[Adjusted Walmart %]]*$D$85</f>
        <v>0</v>
      </c>
      <c r="E58" s="17">
        <f>Table11[[#This Row],[Adjusted Walmart %]]*$E$85</f>
        <v>309.56042527079325</v>
      </c>
      <c r="F58" s="17">
        <f>Table11[[#This Row],[Adjusted Walmart %]]*$F$85</f>
        <v>309.56042527079325</v>
      </c>
      <c r="G58" s="17">
        <f>Table11[[#This Row],[Adjusted Walmart %]]*$G$85</f>
        <v>309.56042527079325</v>
      </c>
      <c r="H58" s="17">
        <f>Table11[[#This Row],[Adjusted Walmart %]]*$H$85</f>
        <v>489.81079947910325</v>
      </c>
      <c r="I58" s="17">
        <f>SUM(Table11[[#This Row],[Payment 1]:[Payment 6]])</f>
        <v>60714.458995908783</v>
      </c>
    </row>
    <row r="59" spans="1:9" x14ac:dyDescent="0.3">
      <c r="A59" t="s">
        <v>178</v>
      </c>
      <c r="B59">
        <v>1.2935806743908949E-2</v>
      </c>
      <c r="C59" s="17">
        <f>Table11[[#This Row],[Adjusted Walmart %]]*$C$85</f>
        <v>216792.18557442981</v>
      </c>
      <c r="D59" s="35">
        <f>Table11[[#This Row],[Adjusted Walmart %]]*$D$85</f>
        <v>0</v>
      </c>
      <c r="E59" s="17">
        <f>Table11[[#This Row],[Adjusted Walmart %]]*$E$85</f>
        <v>1131.7849197340752</v>
      </c>
      <c r="F59" s="17">
        <f>Table11[[#This Row],[Adjusted Walmart %]]*$F$85</f>
        <v>1131.7849197340752</v>
      </c>
      <c r="G59" s="17">
        <f>Table11[[#This Row],[Adjusted Walmart %]]*$G$85</f>
        <v>1131.7849197340752</v>
      </c>
      <c r="H59" s="17">
        <f>Table11[[#This Row],[Adjusted Walmart %]]*$H$85</f>
        <v>1790.7989236298656</v>
      </c>
      <c r="I59" s="17">
        <f>SUM(Table11[[#This Row],[Payment 1]:[Payment 6]])</f>
        <v>221978.33925726192</v>
      </c>
    </row>
    <row r="60" spans="1:9" x14ac:dyDescent="0.3">
      <c r="A60" t="s">
        <v>179</v>
      </c>
      <c r="B60">
        <v>8.3142266294694849E-4</v>
      </c>
      <c r="C60" s="17">
        <f>Table11[[#This Row],[Adjusted Walmart %]]*$C$85</f>
        <v>13933.876703998645</v>
      </c>
      <c r="D60" s="35">
        <f>Table11[[#This Row],[Adjusted Walmart %]]*$D$85</f>
        <v>0</v>
      </c>
      <c r="E60" s="17">
        <f>Table11[[#This Row],[Adjusted Walmart %]]*$E$85</f>
        <v>72.743173307809769</v>
      </c>
      <c r="F60" s="17">
        <f>Table11[[#This Row],[Adjusted Walmart %]]*$F$85</f>
        <v>72.743173307809769</v>
      </c>
      <c r="G60" s="17">
        <f>Table11[[#This Row],[Adjusted Walmart %]]*$G$85</f>
        <v>72.743173307809769</v>
      </c>
      <c r="H60" s="17">
        <f>Table11[[#This Row],[Adjusted Walmart %]]*$H$85</f>
        <v>115.09995776552178</v>
      </c>
      <c r="I60" s="17">
        <f>SUM(Table11[[#This Row],[Payment 1]:[Payment 6]])</f>
        <v>14267.206181687598</v>
      </c>
    </row>
    <row r="61" spans="1:9" x14ac:dyDescent="0.3">
      <c r="A61" t="s">
        <v>180</v>
      </c>
      <c r="B61">
        <v>2.0785566573673715E-3</v>
      </c>
      <c r="C61" s="17">
        <f>Table11[[#This Row],[Adjusted Walmart %]]*$C$85</f>
        <v>34834.691759996618</v>
      </c>
      <c r="D61" s="35">
        <f>Table11[[#This Row],[Adjusted Walmart %]]*$D$85</f>
        <v>0</v>
      </c>
      <c r="E61" s="17">
        <f>Table11[[#This Row],[Adjusted Walmart %]]*$E$85</f>
        <v>181.85793326952447</v>
      </c>
      <c r="F61" s="17">
        <f>Table11[[#This Row],[Adjusted Walmart %]]*$F$85</f>
        <v>181.85793326952447</v>
      </c>
      <c r="G61" s="17">
        <f>Table11[[#This Row],[Adjusted Walmart %]]*$G$85</f>
        <v>181.85793326952447</v>
      </c>
      <c r="H61" s="17">
        <f>Table11[[#This Row],[Adjusted Walmart %]]*$H$85</f>
        <v>287.7498944138045</v>
      </c>
      <c r="I61" s="17">
        <f>SUM(Table11[[#This Row],[Payment 1]:[Payment 6]])</f>
        <v>35668.015454218992</v>
      </c>
    </row>
    <row r="62" spans="1:9" x14ac:dyDescent="0.3">
      <c r="A62" t="s">
        <v>182</v>
      </c>
      <c r="B62">
        <v>2.0785566573673711E-3</v>
      </c>
      <c r="C62" s="17">
        <f>Table11[[#This Row],[Adjusted Walmart %]]*$C$85</f>
        <v>34834.691759996611</v>
      </c>
      <c r="D62" s="35">
        <f>Table11[[#This Row],[Adjusted Walmart %]]*$D$85</f>
        <v>0</v>
      </c>
      <c r="E62" s="17">
        <f>Table11[[#This Row],[Adjusted Walmart %]]*$E$85</f>
        <v>181.85793326952441</v>
      </c>
      <c r="F62" s="17">
        <f>Table11[[#This Row],[Adjusted Walmart %]]*$F$85</f>
        <v>181.85793326952441</v>
      </c>
      <c r="G62" s="17">
        <f>Table11[[#This Row],[Adjusted Walmart %]]*$G$85</f>
        <v>181.85793326952441</v>
      </c>
      <c r="H62" s="17">
        <f>Table11[[#This Row],[Adjusted Walmart %]]*$H$85</f>
        <v>287.74989441380444</v>
      </c>
      <c r="I62" s="17">
        <f>SUM(Table11[[#This Row],[Payment 1]:[Payment 6]])</f>
        <v>35668.015454218985</v>
      </c>
    </row>
    <row r="63" spans="1:9" x14ac:dyDescent="0.3">
      <c r="A63" t="s">
        <v>183</v>
      </c>
      <c r="B63">
        <v>2.7472076344333182E-3</v>
      </c>
      <c r="C63" s="17">
        <f>Table11[[#This Row],[Adjusted Walmart %]]*$C$85</f>
        <v>46040.665192837259</v>
      </c>
      <c r="D63" s="35">
        <f>Table11[[#This Row],[Adjusted Walmart %]]*$D$85</f>
        <v>0</v>
      </c>
      <c r="E63" s="17">
        <f>Table11[[#This Row],[Adjusted Walmart %]]*$E$85</f>
        <v>240.35981934362115</v>
      </c>
      <c r="F63" s="17">
        <f>Table11[[#This Row],[Adjusted Walmart %]]*$F$85</f>
        <v>240.35981934362115</v>
      </c>
      <c r="G63" s="17">
        <f>Table11[[#This Row],[Adjusted Walmart %]]*$G$85</f>
        <v>240.35981934362115</v>
      </c>
      <c r="H63" s="17">
        <f>Table11[[#This Row],[Adjusted Walmart %]]*$H$85</f>
        <v>380.31616984750184</v>
      </c>
      <c r="I63" s="17">
        <f>SUM(Table11[[#This Row],[Payment 1]:[Payment 6]])</f>
        <v>47142.060820715618</v>
      </c>
    </row>
    <row r="64" spans="1:9" x14ac:dyDescent="0.3">
      <c r="A64" t="s">
        <v>184</v>
      </c>
      <c r="B64">
        <v>2.4050055287108123E-2</v>
      </c>
      <c r="C64" s="17">
        <f>Table11[[#This Row],[Adjusted Walmart %]]*$C$85</f>
        <v>403056.73639822117</v>
      </c>
      <c r="D64" s="35">
        <f>Table11[[#This Row],[Adjusted Walmart %]]*$D$85</f>
        <v>0</v>
      </c>
      <c r="E64" s="17">
        <f>Table11[[#This Row],[Adjusted Walmart %]]*$E$85</f>
        <v>2104.1973207845353</v>
      </c>
      <c r="F64" s="17">
        <f>Table11[[#This Row],[Adjusted Walmart %]]*$F$85</f>
        <v>2104.1973207845353</v>
      </c>
      <c r="G64" s="17">
        <f>Table11[[#This Row],[Adjusted Walmart %]]*$G$85</f>
        <v>2104.1973207845353</v>
      </c>
      <c r="H64" s="17">
        <f>Table11[[#This Row],[Adjusted Walmart %]]*$H$85</f>
        <v>3329.4261404818599</v>
      </c>
      <c r="I64" s="17">
        <f>SUM(Table11[[#This Row],[Payment 1]:[Payment 6]])</f>
        <v>412698.75450105668</v>
      </c>
    </row>
    <row r="65" spans="1:9" x14ac:dyDescent="0.3">
      <c r="A65" t="s">
        <v>185</v>
      </c>
      <c r="B65">
        <v>7.0430048694447318E-3</v>
      </c>
      <c r="C65" s="17">
        <f>Table11[[#This Row],[Adjusted Walmart %]]*$C$85</f>
        <v>118034.26325746771</v>
      </c>
      <c r="D65" s="35">
        <f>Table11[[#This Row],[Adjusted Walmart %]]*$D$85</f>
        <v>0</v>
      </c>
      <c r="E65" s="17">
        <f>Table11[[#This Row],[Adjusted Walmart %]]*$E$85</f>
        <v>616.20947642902672</v>
      </c>
      <c r="F65" s="17">
        <f>Table11[[#This Row],[Adjusted Walmart %]]*$F$85</f>
        <v>616.20947642902672</v>
      </c>
      <c r="G65" s="17">
        <f>Table11[[#This Row],[Adjusted Walmart %]]*$G$85</f>
        <v>616.20947642902672</v>
      </c>
      <c r="H65" s="17">
        <f>Table11[[#This Row],[Adjusted Walmart %]]*$H$85</f>
        <v>975.01499434972573</v>
      </c>
      <c r="I65" s="17">
        <f>SUM(Table11[[#This Row],[Payment 1]:[Payment 6]])</f>
        <v>120857.9066811045</v>
      </c>
    </row>
    <row r="66" spans="1:9" x14ac:dyDescent="0.3">
      <c r="A66" t="s">
        <v>222</v>
      </c>
      <c r="B66">
        <v>0.12325062555894739</v>
      </c>
      <c r="C66" s="17">
        <f>Table11[[#This Row],[Adjusted Walmart %]]*$C$85</f>
        <v>2065566.7649736153</v>
      </c>
      <c r="D66" s="35">
        <f>Table11[[#This Row],[Adjusted Walmart %]]*$D$85</f>
        <v>0</v>
      </c>
      <c r="E66" s="17">
        <f>Table11[[#This Row],[Adjusted Walmart %]]*$E$85</f>
        <v>10783.494382450528</v>
      </c>
      <c r="F66" s="17">
        <f>Table11[[#This Row],[Adjusted Walmart %]]*$F$85</f>
        <v>10783.494382450528</v>
      </c>
      <c r="G66" s="17">
        <f>Table11[[#This Row],[Adjusted Walmart %]]*$G$85</f>
        <v>10783.494382450528</v>
      </c>
      <c r="H66" s="17">
        <f>Table11[[#This Row],[Adjusted Walmart %]]*$H$85</f>
        <v>17062.491111472355</v>
      </c>
      <c r="I66" s="17">
        <f>SUM(Table11[[#This Row],[Payment 1]:[Payment 6]])</f>
        <v>2114979.7392324391</v>
      </c>
    </row>
    <row r="67" spans="1:9" x14ac:dyDescent="0.3">
      <c r="A67" t="s">
        <v>187</v>
      </c>
      <c r="B67">
        <v>4.4983719056046288E-3</v>
      </c>
      <c r="C67" s="17">
        <f>Table11[[#This Row],[Adjusted Walmart %]]*$C$85</f>
        <v>75388.562634629314</v>
      </c>
      <c r="D67" s="35">
        <f>Table11[[#This Row],[Adjusted Walmart %]]*$D$85</f>
        <v>0</v>
      </c>
      <c r="E67" s="17">
        <f>Table11[[#This Row],[Adjusted Walmart %]]*$E$85</f>
        <v>393.57340341498445</v>
      </c>
      <c r="F67" s="17">
        <f>Table11[[#This Row],[Adjusted Walmart %]]*$F$85</f>
        <v>393.57340341498445</v>
      </c>
      <c r="G67" s="17">
        <f>Table11[[#This Row],[Adjusted Walmart %]]*$G$85</f>
        <v>393.57340341498445</v>
      </c>
      <c r="H67" s="17">
        <f>Table11[[#This Row],[Adjusted Walmart %]]*$H$85</f>
        <v>622.74272692244369</v>
      </c>
      <c r="I67" s="17">
        <f>SUM(Table11[[#This Row],[Payment 1]:[Payment 6]])</f>
        <v>77192.025571796694</v>
      </c>
    </row>
    <row r="68" spans="1:9" x14ac:dyDescent="0.3">
      <c r="A68" t="s">
        <v>188</v>
      </c>
      <c r="B68">
        <v>2.3283099591918342E-2</v>
      </c>
      <c r="C68" s="17">
        <f>Table11[[#This Row],[Adjusted Walmart %]]*$C$85</f>
        <v>390203.2665922317</v>
      </c>
      <c r="D68" s="35">
        <f>Table11[[#This Row],[Adjusted Walmart %]]*$D$85</f>
        <v>0</v>
      </c>
      <c r="E68" s="17">
        <f>Table11[[#This Row],[Adjusted Walmart %]]*$E$85</f>
        <v>2037.0945179130651</v>
      </c>
      <c r="F68" s="17">
        <f>Table11[[#This Row],[Adjusted Walmart %]]*$F$85</f>
        <v>2037.0945179130651</v>
      </c>
      <c r="G68" s="17">
        <f>Table11[[#This Row],[Adjusted Walmart %]]*$G$85</f>
        <v>2037.0945179130651</v>
      </c>
      <c r="H68" s="17">
        <f>Table11[[#This Row],[Adjusted Walmart %]]*$H$85</f>
        <v>3223.2508194826978</v>
      </c>
      <c r="I68" s="17">
        <f>SUM(Table11[[#This Row],[Payment 1]:[Payment 6]])</f>
        <v>399537.80096545361</v>
      </c>
    </row>
    <row r="69" spans="1:9" x14ac:dyDescent="0.3">
      <c r="A69" t="s">
        <v>189</v>
      </c>
      <c r="B69">
        <v>8.3142266294694849E-4</v>
      </c>
      <c r="C69" s="17">
        <f>Table11[[#This Row],[Adjusted Walmart %]]*$C$85</f>
        <v>13933.876703998645</v>
      </c>
      <c r="D69" s="35">
        <f>Table11[[#This Row],[Adjusted Walmart %]]*$D$85</f>
        <v>0</v>
      </c>
      <c r="E69" s="17">
        <f>Table11[[#This Row],[Adjusted Walmart %]]*$E$85</f>
        <v>72.743173307809769</v>
      </c>
      <c r="F69" s="17">
        <f>Table11[[#This Row],[Adjusted Walmart %]]*$F$85</f>
        <v>72.743173307809769</v>
      </c>
      <c r="G69" s="17">
        <f>Table11[[#This Row],[Adjusted Walmart %]]*$G$85</f>
        <v>72.743173307809769</v>
      </c>
      <c r="H69" s="17">
        <f>Table11[[#This Row],[Adjusted Walmart %]]*$H$85</f>
        <v>115.09995776552178</v>
      </c>
      <c r="I69" s="17">
        <f>SUM(Table11[[#This Row],[Payment 1]:[Payment 6]])</f>
        <v>14267.206181687598</v>
      </c>
    </row>
    <row r="70" spans="1:9" x14ac:dyDescent="0.3">
      <c r="A70" t="s">
        <v>190</v>
      </c>
      <c r="B70">
        <v>1.0993210946012411E-2</v>
      </c>
      <c r="C70" s="17">
        <f>Table11[[#This Row],[Adjusted Walmart %]]*$C$85</f>
        <v>184236.07237244534</v>
      </c>
      <c r="D70" s="35">
        <f>Table11[[#This Row],[Adjusted Walmart %]]*$D$85</f>
        <v>0</v>
      </c>
      <c r="E70" s="17">
        <f>Table11[[#This Row],[Adjusted Walmart %]]*$E$85</f>
        <v>961.82252985581454</v>
      </c>
      <c r="F70" s="17">
        <f>Table11[[#This Row],[Adjusted Walmart %]]*$F$85</f>
        <v>961.82252985581454</v>
      </c>
      <c r="G70" s="17">
        <f>Table11[[#This Row],[Adjusted Walmart %]]*$G$85</f>
        <v>961.82252985581454</v>
      </c>
      <c r="H70" s="17">
        <f>Table11[[#This Row],[Adjusted Walmart %]]*$H$85</f>
        <v>1521.8710915440104</v>
      </c>
      <c r="I70" s="17">
        <f>SUM(Table11[[#This Row],[Payment 1]:[Payment 6]])</f>
        <v>188643.41105355683</v>
      </c>
    </row>
    <row r="71" spans="1:9" x14ac:dyDescent="0.3">
      <c r="A71" t="s">
        <v>192</v>
      </c>
      <c r="B71">
        <v>8.3142266294694849E-4</v>
      </c>
      <c r="C71" s="17">
        <f>Table11[[#This Row],[Adjusted Walmart %]]*$C$85</f>
        <v>13933.876703998645</v>
      </c>
      <c r="D71" s="35">
        <f>Table11[[#This Row],[Adjusted Walmart %]]*$D$85</f>
        <v>0</v>
      </c>
      <c r="E71" s="17">
        <f>Table11[[#This Row],[Adjusted Walmart %]]*$E$85</f>
        <v>72.743173307809769</v>
      </c>
      <c r="F71" s="17">
        <f>Table11[[#This Row],[Adjusted Walmart %]]*$F$85</f>
        <v>72.743173307809769</v>
      </c>
      <c r="G71" s="17">
        <f>Table11[[#This Row],[Adjusted Walmart %]]*$G$85</f>
        <v>72.743173307809769</v>
      </c>
      <c r="H71" s="17">
        <f>Table11[[#This Row],[Adjusted Walmart %]]*$H$85</f>
        <v>115.09995776552178</v>
      </c>
      <c r="I71" s="17">
        <f>SUM(Table11[[#This Row],[Payment 1]:[Payment 6]])</f>
        <v>14267.206181687598</v>
      </c>
    </row>
    <row r="72" spans="1:9" x14ac:dyDescent="0.3">
      <c r="A72" t="s">
        <v>193</v>
      </c>
      <c r="B72">
        <v>3.1542782073211238E-3</v>
      </c>
      <c r="C72" s="17">
        <f>Table11[[#This Row],[Adjusted Walmart %]]*$C$85</f>
        <v>52862.79240349125</v>
      </c>
      <c r="D72" s="35">
        <f>Table11[[#This Row],[Adjusted Walmart %]]*$D$85</f>
        <v>0</v>
      </c>
      <c r="E72" s="17">
        <f>Table11[[#This Row],[Adjusted Walmart %]]*$E$85</f>
        <v>275.9754051963447</v>
      </c>
      <c r="F72" s="17">
        <f>Table11[[#This Row],[Adjusted Walmart %]]*$F$85</f>
        <v>275.9754051963447</v>
      </c>
      <c r="G72" s="17">
        <f>Table11[[#This Row],[Adjusted Walmart %]]*$G$85</f>
        <v>275.9754051963447</v>
      </c>
      <c r="H72" s="17">
        <f>Table11[[#This Row],[Adjusted Walmart %]]*$H$85</f>
        <v>436.66994493092511</v>
      </c>
      <c r="I72" s="17">
        <f>SUM(Table11[[#This Row],[Payment 1]:[Payment 6]])</f>
        <v>54127.388564011213</v>
      </c>
    </row>
    <row r="73" spans="1:9" x14ac:dyDescent="0.3">
      <c r="A73" t="s">
        <v>196</v>
      </c>
      <c r="B73">
        <v>2.5823659544551517E-3</v>
      </c>
      <c r="C73" s="17">
        <f>Table11[[#This Row],[Adjusted Walmart %]]*$C$85</f>
        <v>43278.070730527863</v>
      </c>
      <c r="D73" s="35">
        <f>Table11[[#This Row],[Adjusted Walmart %]]*$D$85</f>
        <v>0</v>
      </c>
      <c r="E73" s="17">
        <f>Table11[[#This Row],[Adjusted Walmart %]]*$E$85</f>
        <v>225.93742333567471</v>
      </c>
      <c r="F73" s="17">
        <f>Table11[[#This Row],[Adjusted Walmart %]]*$F$85</f>
        <v>225.93742333567471</v>
      </c>
      <c r="G73" s="17">
        <f>Table11[[#This Row],[Adjusted Walmart %]]*$G$85</f>
        <v>225.93742333567471</v>
      </c>
      <c r="H73" s="17">
        <f>Table11[[#This Row],[Adjusted Walmart %]]*$H$85</f>
        <v>357.49592299948529</v>
      </c>
      <c r="I73" s="17">
        <f>SUM(Table11[[#This Row],[Payment 1]:[Payment 6]])</f>
        <v>44313.378923534365</v>
      </c>
    </row>
    <row r="74" spans="1:9" x14ac:dyDescent="0.3">
      <c r="A74" t="s">
        <v>197</v>
      </c>
      <c r="B74">
        <v>2.0785566573673715E-3</v>
      </c>
      <c r="C74" s="17">
        <f>Table11[[#This Row],[Adjusted Walmart %]]*$C$85</f>
        <v>34834.691759996618</v>
      </c>
      <c r="D74" s="35">
        <f>Table11[[#This Row],[Adjusted Walmart %]]*$D$85</f>
        <v>0</v>
      </c>
      <c r="E74" s="17">
        <f>Table11[[#This Row],[Adjusted Walmart %]]*$E$85</f>
        <v>181.85793326952447</v>
      </c>
      <c r="F74" s="17">
        <f>Table11[[#This Row],[Adjusted Walmart %]]*$F$85</f>
        <v>181.85793326952447</v>
      </c>
      <c r="G74" s="17">
        <f>Table11[[#This Row],[Adjusted Walmart %]]*$G$85</f>
        <v>181.85793326952447</v>
      </c>
      <c r="H74" s="17">
        <f>Table11[[#This Row],[Adjusted Walmart %]]*$H$85</f>
        <v>287.7498944138045</v>
      </c>
      <c r="I74" s="17">
        <f>SUM(Table11[[#This Row],[Payment 1]:[Payment 6]])</f>
        <v>35668.015454218992</v>
      </c>
    </row>
    <row r="75" spans="1:9" x14ac:dyDescent="0.3">
      <c r="A75" t="s">
        <v>198</v>
      </c>
      <c r="B75">
        <v>1.6088317418064806E-2</v>
      </c>
      <c r="C75" s="17">
        <f>Table11[[#This Row],[Adjusted Walmart %]]*$C$85</f>
        <v>269625.3557529173</v>
      </c>
      <c r="D75" s="35">
        <f>Table11[[#This Row],[Adjusted Walmart %]]*$D$85</f>
        <v>0</v>
      </c>
      <c r="E75" s="17">
        <f>Table11[[#This Row],[Adjusted Walmart %]]*$E$85</f>
        <v>1407.6056791923393</v>
      </c>
      <c r="F75" s="17">
        <f>Table11[[#This Row],[Adjusted Walmart %]]*$F$85</f>
        <v>1407.6056791923393</v>
      </c>
      <c r="G75" s="17">
        <f>Table11[[#This Row],[Adjusted Walmart %]]*$G$85</f>
        <v>1407.6056791923393</v>
      </c>
      <c r="H75" s="17">
        <f>Table11[[#This Row],[Adjusted Walmart %]]*$H$85</f>
        <v>2227.2241759372455</v>
      </c>
      <c r="I75" s="17">
        <f>SUM(Table11[[#This Row],[Payment 1]:[Payment 6]])</f>
        <v>276075.39696643158</v>
      </c>
    </row>
    <row r="76" spans="1:9" x14ac:dyDescent="0.3">
      <c r="A76" t="s">
        <v>199</v>
      </c>
      <c r="B76">
        <v>2.0785566573673715E-3</v>
      </c>
      <c r="C76" s="17">
        <f>Table11[[#This Row],[Adjusted Walmart %]]*$C$85</f>
        <v>34834.691759996618</v>
      </c>
      <c r="D76" s="35">
        <f>Table11[[#This Row],[Adjusted Walmart %]]*$D$85</f>
        <v>0</v>
      </c>
      <c r="E76" s="17">
        <f>Table11[[#This Row],[Adjusted Walmart %]]*$E$85</f>
        <v>181.85793326952447</v>
      </c>
      <c r="F76" s="17">
        <f>Table11[[#This Row],[Adjusted Walmart %]]*$F$85</f>
        <v>181.85793326952447</v>
      </c>
      <c r="G76" s="17">
        <f>Table11[[#This Row],[Adjusted Walmart %]]*$G$85</f>
        <v>181.85793326952447</v>
      </c>
      <c r="H76" s="17">
        <f>Table11[[#This Row],[Adjusted Walmart %]]*$H$85</f>
        <v>287.7498944138045</v>
      </c>
      <c r="I76" s="17">
        <f>SUM(Table11[[#This Row],[Payment 1]:[Payment 6]])</f>
        <v>35668.015454218992</v>
      </c>
    </row>
    <row r="77" spans="1:9" x14ac:dyDescent="0.3">
      <c r="A77" t="s">
        <v>200</v>
      </c>
      <c r="B77">
        <v>8.3142266294694849E-4</v>
      </c>
      <c r="C77" s="17">
        <f>Table11[[#This Row],[Adjusted Walmart %]]*$C$85</f>
        <v>13933.876703998645</v>
      </c>
      <c r="D77" s="35">
        <f>Table11[[#This Row],[Adjusted Walmart %]]*$D$85</f>
        <v>0</v>
      </c>
      <c r="E77" s="17">
        <f>Table11[[#This Row],[Adjusted Walmart %]]*$E$85</f>
        <v>72.743173307809769</v>
      </c>
      <c r="F77" s="17">
        <f>Table11[[#This Row],[Adjusted Walmart %]]*$F$85</f>
        <v>72.743173307809769</v>
      </c>
      <c r="G77" s="17">
        <f>Table11[[#This Row],[Adjusted Walmart %]]*$G$85</f>
        <v>72.743173307809769</v>
      </c>
      <c r="H77" s="17">
        <f>Table11[[#This Row],[Adjusted Walmart %]]*$H$85</f>
        <v>115.09995776552178</v>
      </c>
      <c r="I77" s="17">
        <f>SUM(Table11[[#This Row],[Payment 1]:[Payment 6]])</f>
        <v>14267.206181687598</v>
      </c>
    </row>
    <row r="78" spans="1:9" x14ac:dyDescent="0.3">
      <c r="A78" t="s">
        <v>201</v>
      </c>
      <c r="B78">
        <v>2.7255591956221993E-2</v>
      </c>
      <c r="C78" s="17">
        <f>Table11[[#This Row],[Adjusted Walmart %]]*$C$85</f>
        <v>456778.5733268222</v>
      </c>
      <c r="D78" s="35">
        <f>Table11[[#This Row],[Adjusted Walmart %]]*$D$85</f>
        <v>0</v>
      </c>
      <c r="E78" s="17">
        <f>Table11[[#This Row],[Adjusted Walmart %]]*$E$85</f>
        <v>2384.6574523852159</v>
      </c>
      <c r="F78" s="17">
        <f>Table11[[#This Row],[Adjusted Walmart %]]*$F$85</f>
        <v>2384.6574523852159</v>
      </c>
      <c r="G78" s="17">
        <f>Table11[[#This Row],[Adjusted Walmart %]]*$G$85</f>
        <v>2384.6574523852159</v>
      </c>
      <c r="H78" s="17">
        <f>Table11[[#This Row],[Adjusted Walmart %]]*$H$85</f>
        <v>3773.1921714955952</v>
      </c>
      <c r="I78" s="17">
        <f>SUM(Table11[[#This Row],[Payment 1]:[Payment 6]])</f>
        <v>467705.73785547348</v>
      </c>
    </row>
    <row r="79" spans="1:9" x14ac:dyDescent="0.3">
      <c r="A79" t="s">
        <v>202</v>
      </c>
      <c r="B79">
        <v>8.3142266294694849E-4</v>
      </c>
      <c r="C79" s="17">
        <f>Table11[[#This Row],[Adjusted Walmart %]]*$C$85</f>
        <v>13933.876703998645</v>
      </c>
      <c r="D79" s="35">
        <f>Table11[[#This Row],[Adjusted Walmart %]]*$D$85</f>
        <v>0</v>
      </c>
      <c r="E79" s="17">
        <f>Table11[[#This Row],[Adjusted Walmart %]]*$E$85</f>
        <v>72.743173307809769</v>
      </c>
      <c r="F79" s="17">
        <f>Table11[[#This Row],[Adjusted Walmart %]]*$F$85</f>
        <v>72.743173307809769</v>
      </c>
      <c r="G79" s="17">
        <f>Table11[[#This Row],[Adjusted Walmart %]]*$G$85</f>
        <v>72.743173307809769</v>
      </c>
      <c r="H79" s="17">
        <f>Table11[[#This Row],[Adjusted Walmart %]]*$H$85</f>
        <v>115.09995776552178</v>
      </c>
      <c r="I79" s="17">
        <f>SUM(Table11[[#This Row],[Payment 1]:[Payment 6]])</f>
        <v>14267.206181687598</v>
      </c>
    </row>
    <row r="80" spans="1:9" x14ac:dyDescent="0.3">
      <c r="A80" t="s">
        <v>203</v>
      </c>
      <c r="B80">
        <v>3.4065743543459804E-3</v>
      </c>
      <c r="C80" s="17">
        <f>Table11[[#This Row],[Adjusted Walmart %]]*$C$85</f>
        <v>57091.043042074794</v>
      </c>
      <c r="D80" s="35">
        <f>Table11[[#This Row],[Adjusted Walmart %]]*$D$85</f>
        <v>0</v>
      </c>
      <c r="E80" s="17">
        <f>Table11[[#This Row],[Adjusted Walmart %]]*$E$85</f>
        <v>298.04940337540665</v>
      </c>
      <c r="F80" s="17">
        <f>Table11[[#This Row],[Adjusted Walmart %]]*$F$85</f>
        <v>298.04940337540665</v>
      </c>
      <c r="G80" s="17">
        <f>Table11[[#This Row],[Adjusted Walmart %]]*$G$85</f>
        <v>298.04940337540665</v>
      </c>
      <c r="H80" s="17">
        <f>Table11[[#This Row],[Adjusted Walmart %]]*$H$85</f>
        <v>471.59715723956748</v>
      </c>
      <c r="I80" s="17">
        <f>SUM(Table11[[#This Row],[Payment 1]:[Payment 6]])</f>
        <v>58456.788409440582</v>
      </c>
    </row>
    <row r="81" spans="1:9" x14ac:dyDescent="0.3">
      <c r="A81" t="s">
        <v>204</v>
      </c>
      <c r="B81">
        <v>8.3142266294694849E-4</v>
      </c>
      <c r="C81" s="17">
        <f>Table11[[#This Row],[Adjusted Walmart %]]*$C$85</f>
        <v>13933.876703998645</v>
      </c>
      <c r="D81" s="35">
        <f>Table11[[#This Row],[Adjusted Walmart %]]*$D$85</f>
        <v>0</v>
      </c>
      <c r="E81" s="17">
        <f>Table11[[#This Row],[Adjusted Walmart %]]*$E$85</f>
        <v>72.743173307809769</v>
      </c>
      <c r="F81" s="17">
        <f>Table11[[#This Row],[Adjusted Walmart %]]*$F$85</f>
        <v>72.743173307809769</v>
      </c>
      <c r="G81" s="17">
        <f>Table11[[#This Row],[Adjusted Walmart %]]*$G$85</f>
        <v>72.743173307809769</v>
      </c>
      <c r="H81" s="17">
        <f>Table11[[#This Row],[Adjusted Walmart %]]*$H$85</f>
        <v>115.09995776552178</v>
      </c>
      <c r="I81" s="17">
        <f>SUM(Table11[[#This Row],[Payment 1]:[Payment 6]])</f>
        <v>14267.206181687598</v>
      </c>
    </row>
    <row r="82" spans="1:9" x14ac:dyDescent="0.3">
      <c r="A82" t="s">
        <v>205</v>
      </c>
      <c r="B82">
        <v>8.3142266294694849E-4</v>
      </c>
      <c r="C82" s="17">
        <f>Table11[[#This Row],[Adjusted Walmart %]]*$C$85</f>
        <v>13933.876703998645</v>
      </c>
      <c r="D82" s="35">
        <f>Table11[[#This Row],[Adjusted Walmart %]]*$D$85</f>
        <v>0</v>
      </c>
      <c r="E82" s="17">
        <f>Table11[[#This Row],[Adjusted Walmart %]]*$E$85</f>
        <v>72.743173307809769</v>
      </c>
      <c r="F82" s="17">
        <f>Table11[[#This Row],[Adjusted Walmart %]]*$F$85</f>
        <v>72.743173307809769</v>
      </c>
      <c r="G82" s="17">
        <f>Table11[[#This Row],[Adjusted Walmart %]]*$G$85</f>
        <v>72.743173307809769</v>
      </c>
      <c r="H82" s="17">
        <f>Table11[[#This Row],[Adjusted Walmart %]]*$H$85</f>
        <v>115.09995776552178</v>
      </c>
      <c r="I82" s="17">
        <f>SUM(Table11[[#This Row],[Payment 1]:[Payment 6]])</f>
        <v>14267.206181687598</v>
      </c>
    </row>
    <row r="83" spans="1:9" x14ac:dyDescent="0.3">
      <c r="A83" t="s">
        <v>206</v>
      </c>
      <c r="B83">
        <v>2.0785566573673715E-3</v>
      </c>
      <c r="C83" s="17">
        <f>Table11[[#This Row],[Adjusted Walmart %]]*$C$85</f>
        <v>34834.691759996618</v>
      </c>
      <c r="D83" s="35">
        <f>Table11[[#This Row],[Adjusted Walmart %]]*$D$85</f>
        <v>0</v>
      </c>
      <c r="E83" s="17">
        <f>Table11[[#This Row],[Adjusted Walmart %]]*$E$85</f>
        <v>181.85793326952447</v>
      </c>
      <c r="F83" s="17">
        <f>Table11[[#This Row],[Adjusted Walmart %]]*$F$85</f>
        <v>181.85793326952447</v>
      </c>
      <c r="G83" s="17">
        <f>Table11[[#This Row],[Adjusted Walmart %]]*$G$85</f>
        <v>181.85793326952447</v>
      </c>
      <c r="H83" s="17">
        <f>Table11[[#This Row],[Adjusted Walmart %]]*$H$85</f>
        <v>287.7498944138045</v>
      </c>
      <c r="I83" s="17">
        <f>SUM(Table11[[#This Row],[Payment 1]:[Payment 6]])</f>
        <v>35668.015454218992</v>
      </c>
    </row>
    <row r="84" spans="1:9" x14ac:dyDescent="0.3">
      <c r="D84" s="36"/>
    </row>
    <row r="85" spans="1:9" s="15" customFormat="1" x14ac:dyDescent="0.3">
      <c r="A85" s="15" t="s">
        <v>6</v>
      </c>
      <c r="C85" s="33">
        <f>'Pharmacies Breakdown'!I2</f>
        <v>16759077.332112294</v>
      </c>
      <c r="D85" s="41">
        <f>'Pharmacies Breakdown'!I3</f>
        <v>0</v>
      </c>
      <c r="E85" s="33">
        <f>'Pharmacies Breakdown'!I4</f>
        <v>87492.410959756788</v>
      </c>
      <c r="F85" s="33">
        <f>'Pharmacies Breakdown'!I5</f>
        <v>87492.410959756788</v>
      </c>
      <c r="G85" s="33">
        <f>'Pharmacies Breakdown'!I6</f>
        <v>87492.410959756788</v>
      </c>
      <c r="H85" s="33">
        <f>'Pharmacies Breakdown'!I7</f>
        <v>138437.35911353922</v>
      </c>
      <c r="I85" s="33">
        <f>SUM(C85:H85)</f>
        <v>17159991.924105108</v>
      </c>
    </row>
    <row r="86" spans="1:9" x14ac:dyDescent="0.3">
      <c r="D86" s="36"/>
    </row>
    <row r="87" spans="1:9" x14ac:dyDescent="0.3">
      <c r="D87" s="36"/>
    </row>
    <row r="88" spans="1:9" x14ac:dyDescent="0.3">
      <c r="C88" s="7"/>
      <c r="D88" s="37"/>
      <c r="E88" s="7"/>
      <c r="F88" s="7"/>
      <c r="G88" s="7"/>
      <c r="H88" s="7"/>
      <c r="I88" s="7"/>
    </row>
    <row r="89" spans="1:9" x14ac:dyDescent="0.3">
      <c r="D89" s="34"/>
    </row>
    <row r="90" spans="1:9" x14ac:dyDescent="0.3">
      <c r="A90" s="38"/>
      <c r="B90" s="38"/>
      <c r="C90" s="38"/>
      <c r="D90" s="38"/>
      <c r="E90" s="38"/>
      <c r="F90" s="38"/>
      <c r="G90" s="38"/>
      <c r="H90" s="38"/>
      <c r="I90" s="38"/>
    </row>
    <row r="91" spans="1:9" x14ac:dyDescent="0.3">
      <c r="C91" s="39"/>
      <c r="D91" s="40"/>
      <c r="E91" s="39"/>
      <c r="F91" s="39"/>
      <c r="G91" s="39"/>
      <c r="H91" s="39"/>
      <c r="I91" s="39"/>
    </row>
    <row r="92" spans="1:9" x14ac:dyDescent="0.3">
      <c r="C92" s="39"/>
      <c r="D92" s="40"/>
      <c r="E92" s="39"/>
      <c r="F92" s="39"/>
      <c r="G92" s="39"/>
      <c r="H92" s="39"/>
      <c r="I92" s="39"/>
    </row>
    <row r="93" spans="1:9" x14ac:dyDescent="0.3">
      <c r="C93" s="39"/>
      <c r="D93" s="40"/>
      <c r="E93" s="39"/>
      <c r="F93" s="39"/>
      <c r="G93" s="39"/>
      <c r="H93" s="39"/>
      <c r="I93" s="39"/>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3E38C-A3B0-4822-B049-2D80F61D7521}">
  <sheetPr>
    <tabColor rgb="FF92D050"/>
  </sheetPr>
  <dimension ref="A1:P32"/>
  <sheetViews>
    <sheetView workbookViewId="0">
      <selection activeCell="A25" sqref="A25"/>
    </sheetView>
  </sheetViews>
  <sheetFormatPr defaultColWidth="12.5546875" defaultRowHeight="15.6" x14ac:dyDescent="0.3"/>
  <cols>
    <col min="1" max="1" width="16.88671875" style="1" bestFit="1" customWidth="1"/>
    <col min="2" max="2" width="17.109375" style="1" customWidth="1"/>
    <col min="3" max="3" width="18.44140625" style="1" customWidth="1"/>
    <col min="4" max="4" width="17" style="1" customWidth="1"/>
    <col min="5" max="5" width="19.33203125" style="1" customWidth="1"/>
    <col min="6" max="6" width="24.6640625" style="1" customWidth="1"/>
    <col min="7" max="7" width="19.33203125" style="1" customWidth="1"/>
    <col min="8" max="9" width="20.6640625" style="1" customWidth="1"/>
    <col min="10" max="10" width="19.33203125" style="1" customWidth="1"/>
    <col min="11" max="11" width="20.44140625" style="1" customWidth="1"/>
    <col min="12" max="12" width="19.33203125" style="1" customWidth="1"/>
    <col min="13" max="13" width="18.88671875" style="1" customWidth="1"/>
    <col min="14" max="14" width="16.5546875" style="1" customWidth="1"/>
    <col min="15" max="15" width="15.88671875" style="1" customWidth="1"/>
    <col min="16" max="16" width="13.88671875" style="1" bestFit="1" customWidth="1"/>
    <col min="17" max="16384" width="12.5546875" style="1"/>
  </cols>
  <sheetData>
    <row r="1" spans="1:15" x14ac:dyDescent="0.3">
      <c r="A1" s="1" t="s">
        <v>0</v>
      </c>
      <c r="B1" s="1" t="s">
        <v>1</v>
      </c>
      <c r="C1" s="1" t="s">
        <v>414</v>
      </c>
      <c r="D1" s="1" t="s">
        <v>415</v>
      </c>
      <c r="E1" s="1" t="s">
        <v>363</v>
      </c>
      <c r="F1" s="1" t="s">
        <v>416</v>
      </c>
      <c r="G1" s="1" t="s">
        <v>417</v>
      </c>
      <c r="H1" s="1" t="s">
        <v>418</v>
      </c>
      <c r="I1" s="1" t="s">
        <v>419</v>
      </c>
      <c r="J1" s="1" t="s">
        <v>2</v>
      </c>
      <c r="K1" s="1" t="s">
        <v>3</v>
      </c>
      <c r="L1" s="1" t="s">
        <v>4</v>
      </c>
      <c r="M1" s="1" t="s">
        <v>5</v>
      </c>
      <c r="N1" s="1" t="s">
        <v>420</v>
      </c>
      <c r="O1" s="1" t="s">
        <v>421</v>
      </c>
    </row>
    <row r="2" spans="1:15" x14ac:dyDescent="0.3">
      <c r="A2" s="1">
        <v>1</v>
      </c>
      <c r="B2" s="2">
        <v>44805</v>
      </c>
      <c r="C2" s="136">
        <v>40908127</v>
      </c>
      <c r="D2" s="136"/>
      <c r="E2" s="136">
        <f>Table1422[[#This Row],[PA Distributors ]]+Table1422[[#This Row],[PA J&amp;J]]</f>
        <v>40908127</v>
      </c>
      <c r="F2" s="136"/>
      <c r="G2" s="136"/>
      <c r="H2" s="136"/>
      <c r="I2" s="136"/>
      <c r="J2" s="136">
        <f>Table1422[[#This Row],[Totals]]-Table1422[[#This Row],[Distributors Atty Fees]]-Table1422[[#This Row],[J&amp;J Attorneys Fees]]-Table1422[[#This Row],[Attorney''s Costs]]-Table1422[[#This Row],[Admin Costs]]</f>
        <v>40908127</v>
      </c>
      <c r="K2" s="136">
        <f>Table1422[[#This Row],[Total Less Fees]]*0.15</f>
        <v>6136219.0499999998</v>
      </c>
      <c r="L2" s="136">
        <f>Table1422[[#This Row],[Total Less Fees]]*0.7</f>
        <v>28635688.899999999</v>
      </c>
      <c r="M2" s="136">
        <f>Table1422[[#This Row],[Total Less Fees]]*0.15</f>
        <v>6136219.0499999998</v>
      </c>
      <c r="N2" s="136">
        <v>6136219</v>
      </c>
      <c r="O2" s="136">
        <f>(Table1422[[#This Row],[PA J&amp;J]]-Table1422[[#This Row],[J&amp;J Attorneys Fees]])*0.15</f>
        <v>0</v>
      </c>
    </row>
    <row r="3" spans="1:15" x14ac:dyDescent="0.3">
      <c r="A3" s="1">
        <v>2</v>
      </c>
      <c r="B3" s="2">
        <v>44910</v>
      </c>
      <c r="C3" s="136">
        <v>46164857.061240003</v>
      </c>
      <c r="D3" s="136">
        <v>44023813</v>
      </c>
      <c r="E3" s="136">
        <f>Table1422[[#This Row],[PA Distributors ]]+Table1422[[#This Row],[PA J&amp;J]]</f>
        <v>90188670.061240003</v>
      </c>
      <c r="F3" s="136">
        <v>9348591</v>
      </c>
      <c r="G3" s="136">
        <v>2167116.1509940801</v>
      </c>
      <c r="H3" s="136">
        <v>16651314.529999999</v>
      </c>
      <c r="I3" s="136">
        <v>300000</v>
      </c>
      <c r="J3" s="136">
        <f>Table1422[[#This Row],[Totals]]-Table1422[[#This Row],[Distributors Atty Fees]]-Table1422[[#This Row],[J&amp;J Attorneys Fees]]-Table1422[[#This Row],[Attorney''s Costs]]-Table1422[[#This Row],[Admin Costs]]</f>
        <v>61721648.380245924</v>
      </c>
      <c r="K3" s="136">
        <f>Table1422[[#This Row],[Total Less Fees]]*0.15</f>
        <v>9258247.257036889</v>
      </c>
      <c r="L3" s="136">
        <f>Table1422[[#This Row],[Total Less Fees]]*0.7</f>
        <v>43205153.866172142</v>
      </c>
      <c r="M3" s="136">
        <f>Table1422[[#This Row],[Total Less Fees]]*0.15</f>
        <v>9258247.257036889</v>
      </c>
      <c r="N3" s="136">
        <f>Table1422[[#This Row],[Litigating]]-Table1422[[#This Row],[(Litigating J&amp;J)]]</f>
        <v>3078636.6570368893</v>
      </c>
      <c r="O3" s="136">
        <v>6179610.5999999996</v>
      </c>
    </row>
    <row r="4" spans="1:15" x14ac:dyDescent="0.3">
      <c r="A4" s="1">
        <v>3</v>
      </c>
      <c r="B4" s="2">
        <v>45275</v>
      </c>
      <c r="C4" s="136">
        <v>45599278.15316809</v>
      </c>
      <c r="D4" s="136">
        <v>25705389.550000001</v>
      </c>
      <c r="E4" s="136">
        <f>Table1422[[#This Row],[PA Distributors ]]+Table1422[[#This Row],[PA J&amp;J]]</f>
        <v>71304667.703168094</v>
      </c>
      <c r="F4" s="136">
        <f>9348591.07302335+135.9</f>
        <v>9348726.9730233513</v>
      </c>
      <c r="G4" s="136">
        <f>2167116.15099408+97.8</f>
        <v>2167213.9509940799</v>
      </c>
      <c r="H4" s="136"/>
      <c r="I4" s="136"/>
      <c r="J4" s="136">
        <f>Table1422[[#This Row],[Totals]]-Table1422[[#This Row],[Distributors Atty Fees]]-Table1422[[#This Row],[J&amp;J Attorneys Fees]]-Table1422[[#This Row],[Attorney''s Costs]]-Table1422[[#This Row],[Admin Costs]]</f>
        <v>59788726.779150657</v>
      </c>
      <c r="K4" s="136">
        <f>Table1422[[#This Row],[Total Less Fees]]*0.15</f>
        <v>8968309.0168725979</v>
      </c>
      <c r="L4" s="136">
        <f>Table1422[[#This Row],[Total Less Fees]]*0.7</f>
        <v>41852108.745405458</v>
      </c>
      <c r="M4" s="136">
        <f>Table1422[[#This Row],[Total Less Fees]]*0.15</f>
        <v>8968309.0168725979</v>
      </c>
      <c r="N4" s="136">
        <f>Table1422[[#This Row],[Litigating]]-Table1422[[#This Row],[(Litigating J&amp;J)]]</f>
        <v>6610037.3387458203</v>
      </c>
      <c r="O4" s="137">
        <v>2358271.6781267775</v>
      </c>
    </row>
    <row r="5" spans="1:15" x14ac:dyDescent="0.3">
      <c r="A5" s="1">
        <v>4</v>
      </c>
      <c r="B5" s="2">
        <v>45641</v>
      </c>
      <c r="C5" s="136">
        <v>47835145.781559996</v>
      </c>
      <c r="D5" s="136">
        <v>38539123</v>
      </c>
      <c r="E5" s="136">
        <f>Table1422[[#This Row],[PA Distributors ]]+Table1422[[#This Row],[PA J&amp;J]]</f>
        <v>86374268.781560004</v>
      </c>
      <c r="F5" s="136">
        <v>9348591.0730233546</v>
      </c>
      <c r="G5" s="136">
        <v>2167116.1509940801</v>
      </c>
      <c r="H5" s="136"/>
      <c r="I5" s="136"/>
      <c r="J5" s="136">
        <f>Table1422[[#This Row],[Totals]]-Table1422[[#This Row],[Distributors Atty Fees]]-Table1422[[#This Row],[J&amp;J Attorneys Fees]]-Table1422[[#This Row],[Attorney''s Costs]]-Table1422[[#This Row],[Admin Costs]]</f>
        <v>74858561.557542577</v>
      </c>
      <c r="K5" s="136">
        <f>Table1422[[#This Row],[Total Less Fees]]*0.15</f>
        <v>11228784.233631385</v>
      </c>
      <c r="L5" s="136">
        <f>Table1422[[#This Row],[Total Less Fees]]*0.7</f>
        <v>52400993.090279803</v>
      </c>
      <c r="M5" s="136">
        <f>Table1422[[#This Row],[Total Less Fees]]*0.15</f>
        <v>11228784.233631385</v>
      </c>
      <c r="N5" s="136">
        <f>Table1422[[#This Row],[Litigating]]-Table1422[[#This Row],[(Litigating J&amp;J)]]</f>
        <v>5772983.2062804969</v>
      </c>
      <c r="O5" s="136">
        <f>(Table1422[[#This Row],[PA J&amp;J]]-Table1422[[#This Row],[J&amp;J Attorneys Fees]])*0.15</f>
        <v>5455801.0273508886</v>
      </c>
    </row>
    <row r="6" spans="1:15" x14ac:dyDescent="0.3">
      <c r="A6" s="1">
        <v>5</v>
      </c>
      <c r="B6" s="2">
        <v>46006</v>
      </c>
      <c r="C6" s="136">
        <v>47835145.781559996</v>
      </c>
      <c r="D6" s="136">
        <v>41142321</v>
      </c>
      <c r="E6" s="136">
        <f>Table1422[[#This Row],[PA Distributors ]]+Table1422[[#This Row],[PA J&amp;J]]</f>
        <v>88977466.781560004</v>
      </c>
      <c r="F6" s="136">
        <v>9348591.0730233546</v>
      </c>
      <c r="G6" s="136">
        <v>2167116.1509940801</v>
      </c>
      <c r="H6" s="136"/>
      <c r="I6" s="136"/>
      <c r="J6" s="136">
        <f>Table1422[[#This Row],[Totals]]-Table1422[[#This Row],[Distributors Atty Fees]]-Table1422[[#This Row],[J&amp;J Attorneys Fees]]-Table1422[[#This Row],[Attorney''s Costs]]-Table1422[[#This Row],[Admin Costs]]</f>
        <v>77461759.557542577</v>
      </c>
      <c r="K6" s="136">
        <f>Table1422[[#This Row],[Total Less Fees]]*0.15</f>
        <v>11619263.933631387</v>
      </c>
      <c r="L6" s="136">
        <f>Table1422[[#This Row],[Total Less Fees]]*0.7</f>
        <v>54223231.690279804</v>
      </c>
      <c r="M6" s="136">
        <f>Table1422[[#This Row],[Total Less Fees]]*0.15</f>
        <v>11619263.933631387</v>
      </c>
      <c r="N6" s="136">
        <f>Table1422[[#This Row],[Litigating]]-Table1422[[#This Row],[(Litigating J&amp;J)]]</f>
        <v>5772983.2062804988</v>
      </c>
      <c r="O6" s="136">
        <f>(Table1422[[#This Row],[PA J&amp;J]]-Table1422[[#This Row],[J&amp;J Attorneys Fees]])*0.15</f>
        <v>5846280.7273508878</v>
      </c>
    </row>
    <row r="7" spans="1:15" x14ac:dyDescent="0.3">
      <c r="A7" s="1">
        <v>6</v>
      </c>
      <c r="B7" s="2">
        <v>46371</v>
      </c>
      <c r="C7" s="136">
        <v>47835145.781559996</v>
      </c>
      <c r="D7" s="136">
        <v>7342887</v>
      </c>
      <c r="E7" s="136">
        <f>Table1422[[#This Row],[PA Distributors ]]+Table1422[[#This Row],[PA J&amp;J]]</f>
        <v>55178032.781559996</v>
      </c>
      <c r="F7" s="136">
        <v>9348591.0730233546</v>
      </c>
      <c r="G7" s="136">
        <v>2167116.1509940801</v>
      </c>
      <c r="H7" s="136"/>
      <c r="I7" s="136"/>
      <c r="J7" s="136">
        <f>Table1422[[#This Row],[Totals]]-Table1422[[#This Row],[Distributors Atty Fees]]-Table1422[[#This Row],[J&amp;J Attorneys Fees]]-Table1422[[#This Row],[Attorney''s Costs]]-Table1422[[#This Row],[Admin Costs]]</f>
        <v>43662325.557542562</v>
      </c>
      <c r="K7" s="136">
        <f>Table1422[[#This Row],[Total Less Fees]]*0.15</f>
        <v>6549348.8336313842</v>
      </c>
      <c r="L7" s="136">
        <f>Table1422[[#This Row],[Total Less Fees]]*0.7</f>
        <v>30563627.890279792</v>
      </c>
      <c r="M7" s="136">
        <f>Table1422[[#This Row],[Total Less Fees]]*0.15</f>
        <v>6549348.8336313842</v>
      </c>
      <c r="N7" s="136">
        <f>Table1422[[#This Row],[Litigating]]-Table1422[[#This Row],[(Litigating J&amp;J)]]</f>
        <v>5772983.206280496</v>
      </c>
      <c r="O7" s="136">
        <f>(Table1422[[#This Row],[PA J&amp;J]]-Table1422[[#This Row],[J&amp;J Attorneys Fees]])*0.15</f>
        <v>776365.62735088798</v>
      </c>
    </row>
    <row r="8" spans="1:15" x14ac:dyDescent="0.3">
      <c r="A8" s="1">
        <v>7</v>
      </c>
      <c r="B8" s="2">
        <v>46736</v>
      </c>
      <c r="C8" s="136">
        <v>47835145.781559996</v>
      </c>
      <c r="D8" s="136">
        <v>7342887</v>
      </c>
      <c r="E8" s="136">
        <f>Table1422[[#This Row],[PA Distributors ]]+Table1422[[#This Row],[PA J&amp;J]]</f>
        <v>55178032.781559996</v>
      </c>
      <c r="F8" s="136"/>
      <c r="G8" s="136"/>
      <c r="H8" s="136"/>
      <c r="I8" s="136"/>
      <c r="J8" s="136">
        <f>Table1422[[#This Row],[Totals]]-Table1422[[#This Row],[Distributors Atty Fees]]-Table1422[[#This Row],[J&amp;J Attorneys Fees]]-Table1422[[#This Row],[Attorney''s Costs]]-Table1422[[#This Row],[Admin Costs]]</f>
        <v>55178032.781559996</v>
      </c>
      <c r="K8" s="136">
        <f>Table1422[[#This Row],[Total Less Fees]]*0.15</f>
        <v>8276704.9172339989</v>
      </c>
      <c r="L8" s="136">
        <f>Table1422[[#This Row],[Total Less Fees]]*0.7</f>
        <v>38624622.947091997</v>
      </c>
      <c r="M8" s="136">
        <f>Table1422[[#This Row],[Total Less Fees]]*0.15</f>
        <v>8276704.9172339989</v>
      </c>
      <c r="N8" s="136">
        <f>Table1422[[#This Row],[Litigating]]-Table1422[[#This Row],[(Litigating J&amp;J)]]</f>
        <v>7175271.8672339991</v>
      </c>
      <c r="O8" s="136">
        <f>(Table1422[[#This Row],[PA J&amp;J]]-Table1422[[#This Row],[J&amp;J Attorneys Fees]])*0.15</f>
        <v>1101433.05</v>
      </c>
    </row>
    <row r="9" spans="1:15" x14ac:dyDescent="0.3">
      <c r="A9" s="1">
        <v>8</v>
      </c>
      <c r="B9" s="2">
        <v>47102</v>
      </c>
      <c r="C9" s="136">
        <v>56259894.68688</v>
      </c>
      <c r="D9" s="136">
        <v>7342887</v>
      </c>
      <c r="E9" s="136">
        <f>Table1422[[#This Row],[PA Distributors ]]+Table1422[[#This Row],[PA J&amp;J]]</f>
        <v>63602781.68688</v>
      </c>
      <c r="F9" s="136"/>
      <c r="G9" s="136"/>
      <c r="H9" s="136"/>
      <c r="I9" s="136"/>
      <c r="J9" s="136">
        <f>Table1422[[#This Row],[Totals]]-Table1422[[#This Row],[Distributors Atty Fees]]-Table1422[[#This Row],[J&amp;J Attorneys Fees]]-Table1422[[#This Row],[Attorney''s Costs]]-Table1422[[#This Row],[Admin Costs]]</f>
        <v>63602781.68688</v>
      </c>
      <c r="K9" s="136">
        <f>Table1422[[#This Row],[Total Less Fees]]*0.15</f>
        <v>9540417.2530319989</v>
      </c>
      <c r="L9" s="136">
        <f>Table1422[[#This Row],[Total Less Fees]]*0.7</f>
        <v>44521947.180815995</v>
      </c>
      <c r="M9" s="136">
        <f>Table1422[[#This Row],[Total Less Fees]]*0.15</f>
        <v>9540417.2530319989</v>
      </c>
      <c r="N9" s="136">
        <f>Table1422[[#This Row],[Litigating]]-Table1422[[#This Row],[(Litigating J&amp;J)]]</f>
        <v>8438984.2030319981</v>
      </c>
      <c r="O9" s="136">
        <f>(Table1422[[#This Row],[PA J&amp;J]]-Table1422[[#This Row],[J&amp;J Attorneys Fees]])*0.15</f>
        <v>1101433.05</v>
      </c>
    </row>
    <row r="10" spans="1:15" x14ac:dyDescent="0.3">
      <c r="A10" s="1">
        <v>9</v>
      </c>
      <c r="B10" s="2">
        <v>47467</v>
      </c>
      <c r="C10" s="136">
        <v>56259894.68688</v>
      </c>
      <c r="D10" s="136">
        <v>9348779</v>
      </c>
      <c r="E10" s="136">
        <f>Table1422[[#This Row],[PA Distributors ]]+Table1422[[#This Row],[PA J&amp;J]]</f>
        <v>65608673.68688</v>
      </c>
      <c r="F10" s="136"/>
      <c r="G10" s="136"/>
      <c r="H10" s="136"/>
      <c r="I10" s="136"/>
      <c r="J10" s="136">
        <f>Table1422[[#This Row],[Totals]]-Table1422[[#This Row],[Distributors Atty Fees]]-Table1422[[#This Row],[J&amp;J Attorneys Fees]]-Table1422[[#This Row],[Attorney''s Costs]]-Table1422[[#This Row],[Admin Costs]]</f>
        <v>65608673.68688</v>
      </c>
      <c r="K10" s="136">
        <f>Table1422[[#This Row],[Total Less Fees]]*0.15</f>
        <v>9841301.0530319996</v>
      </c>
      <c r="L10" s="136">
        <f>Table1422[[#This Row],[Total Less Fees]]*0.7</f>
        <v>45926071.580816001</v>
      </c>
      <c r="M10" s="136">
        <f>Table1422[[#This Row],[Total Less Fees]]*0.15</f>
        <v>9841301.0530319996</v>
      </c>
      <c r="N10" s="136">
        <f>Table1422[[#This Row],[Litigating]]-Table1422[[#This Row],[(Litigating J&amp;J)]]</f>
        <v>8438984.203032</v>
      </c>
      <c r="O10" s="136">
        <f>(Table1422[[#This Row],[PA J&amp;J]]-Table1422[[#This Row],[J&amp;J Attorneys Fees]])*0.15</f>
        <v>1402316.8499999999</v>
      </c>
    </row>
    <row r="11" spans="1:15" x14ac:dyDescent="0.3">
      <c r="A11" s="1">
        <v>10</v>
      </c>
      <c r="B11" s="2">
        <v>47832</v>
      </c>
      <c r="C11" s="136">
        <v>56259894.68688</v>
      </c>
      <c r="D11" s="136">
        <v>9348779</v>
      </c>
      <c r="E11" s="136">
        <f>Table1422[[#This Row],[PA Distributors ]]+Table1422[[#This Row],[PA J&amp;J]]</f>
        <v>65608673.68688</v>
      </c>
      <c r="F11" s="136"/>
      <c r="G11" s="136"/>
      <c r="H11" s="136"/>
      <c r="I11" s="136"/>
      <c r="J11" s="136">
        <f>Table1422[[#This Row],[Totals]]-Table1422[[#This Row],[Distributors Atty Fees]]-Table1422[[#This Row],[J&amp;J Attorneys Fees]]-Table1422[[#This Row],[Attorney''s Costs]]-Table1422[[#This Row],[Admin Costs]]</f>
        <v>65608673.68688</v>
      </c>
      <c r="K11" s="136">
        <f>Table1422[[#This Row],[Total Less Fees]]*0.15</f>
        <v>9841301.0530319996</v>
      </c>
      <c r="L11" s="136">
        <f>Table1422[[#This Row],[Total Less Fees]]*0.7</f>
        <v>45926071.580816001</v>
      </c>
      <c r="M11" s="136">
        <f>Table1422[[#This Row],[Total Less Fees]]*0.15</f>
        <v>9841301.0530319996</v>
      </c>
      <c r="N11" s="136">
        <f>Table1422[[#This Row],[Litigating]]-Table1422[[#This Row],[(Litigating J&amp;J)]]</f>
        <v>8438984.203032</v>
      </c>
      <c r="O11" s="136">
        <f>(Table1422[[#This Row],[PA J&amp;J]]-Table1422[[#This Row],[J&amp;J Attorneys Fees]])*0.15</f>
        <v>1402316.8499999999</v>
      </c>
    </row>
    <row r="12" spans="1:15" x14ac:dyDescent="0.3">
      <c r="A12" s="1">
        <v>11</v>
      </c>
      <c r="B12" s="2">
        <v>48197</v>
      </c>
      <c r="C12" s="136">
        <v>47292119.32344</v>
      </c>
      <c r="D12" s="136">
        <v>9348779</v>
      </c>
      <c r="E12" s="136">
        <f>Table1422[[#This Row],[PA Distributors ]]+Table1422[[#This Row],[PA J&amp;J]]</f>
        <v>56640898.32344</v>
      </c>
      <c r="F12" s="136"/>
      <c r="G12" s="136"/>
      <c r="H12" s="136"/>
      <c r="I12" s="136"/>
      <c r="J12" s="136">
        <f>Table1422[[#This Row],[Totals]]-Table1422[[#This Row],[Distributors Atty Fees]]-Table1422[[#This Row],[J&amp;J Attorneys Fees]]-Table1422[[#This Row],[Attorney''s Costs]]-Table1422[[#This Row],[Admin Costs]]</f>
        <v>56640898.32344</v>
      </c>
      <c r="K12" s="136">
        <f>Table1422[[#This Row],[Total Less Fees]]*0.15</f>
        <v>8496134.7485159989</v>
      </c>
      <c r="L12" s="136">
        <f>Table1422[[#This Row],[Total Less Fees]]*0.7</f>
        <v>39648628.826407999</v>
      </c>
      <c r="M12" s="136">
        <f>Table1422[[#This Row],[Total Less Fees]]*0.15</f>
        <v>8496134.7485159989</v>
      </c>
      <c r="N12" s="136">
        <f>Table1422[[#This Row],[Litigating]]-Table1422[[#This Row],[(Litigating J&amp;J)]]</f>
        <v>7093817.8985159993</v>
      </c>
      <c r="O12" s="136">
        <f>(Table1422[[#This Row],[PA J&amp;J]]-Table1422[[#This Row],[J&amp;J Attorneys Fees]])*0.15</f>
        <v>1402316.8499999999</v>
      </c>
    </row>
    <row r="13" spans="1:15" x14ac:dyDescent="0.3">
      <c r="A13" s="1">
        <v>12</v>
      </c>
      <c r="B13" s="2">
        <v>48563</v>
      </c>
      <c r="C13" s="136">
        <v>47292119.32344</v>
      </c>
      <c r="D13" s="136"/>
      <c r="E13" s="136">
        <f>Table1422[[#This Row],[PA Distributors ]]+Table1422[[#This Row],[PA J&amp;J]]</f>
        <v>47292119.32344</v>
      </c>
      <c r="F13" s="136"/>
      <c r="G13" s="136"/>
      <c r="H13" s="136"/>
      <c r="I13" s="136"/>
      <c r="J13" s="136">
        <f>Table1422[[#This Row],[Totals]]-Table1422[[#This Row],[Distributors Atty Fees]]-Table1422[[#This Row],[J&amp;J Attorneys Fees]]-Table1422[[#This Row],[Attorney''s Costs]]-Table1422[[#This Row],[Admin Costs]]</f>
        <v>47292119.32344</v>
      </c>
      <c r="K13" s="136">
        <f>Table1422[[#This Row],[Total Less Fees]]*0.15</f>
        <v>7093817.8985160002</v>
      </c>
      <c r="L13" s="136">
        <f>Table1422[[#This Row],[Total Less Fees]]*0.7</f>
        <v>33104483.526407998</v>
      </c>
      <c r="M13" s="136">
        <f>Table1422[[#This Row],[Total Less Fees]]*0.15</f>
        <v>7093817.8985160002</v>
      </c>
      <c r="N13" s="136">
        <f>Table1422[[#This Row],[Litigating]]</f>
        <v>7093817.8985160002</v>
      </c>
      <c r="O13" s="136">
        <f>(Table1422[[#This Row],[PA J&amp;J]]-Table1422[[#This Row],[J&amp;J Attorneys Fees]])*0.15</f>
        <v>0</v>
      </c>
    </row>
    <row r="14" spans="1:15" x14ac:dyDescent="0.3">
      <c r="A14" s="1">
        <v>13</v>
      </c>
      <c r="B14" s="2">
        <v>48928</v>
      </c>
      <c r="C14" s="136">
        <v>47292119.32344</v>
      </c>
      <c r="D14" s="136"/>
      <c r="E14" s="136">
        <f>Table1422[[#This Row],[PA Distributors ]]+Table1422[[#This Row],[PA J&amp;J]]</f>
        <v>47292119.32344</v>
      </c>
      <c r="F14" s="136"/>
      <c r="G14" s="136"/>
      <c r="H14" s="136"/>
      <c r="I14" s="136"/>
      <c r="J14" s="136">
        <f>Table1422[[#This Row],[Totals]]-Table1422[[#This Row],[Distributors Atty Fees]]-Table1422[[#This Row],[J&amp;J Attorneys Fees]]-Table1422[[#This Row],[Attorney''s Costs]]-Table1422[[#This Row],[Admin Costs]]</f>
        <v>47292119.32344</v>
      </c>
      <c r="K14" s="136">
        <f>Table1422[[#This Row],[Total Less Fees]]*0.15</f>
        <v>7093817.8985160002</v>
      </c>
      <c r="L14" s="136">
        <f>Table1422[[#This Row],[Total Less Fees]]*0.7</f>
        <v>33104483.526407998</v>
      </c>
      <c r="M14" s="136">
        <f>Table1422[[#This Row],[Total Less Fees]]*0.15</f>
        <v>7093817.8985160002</v>
      </c>
      <c r="N14" s="136">
        <f>Table1422[[#This Row],[Litigating]]</f>
        <v>7093817.8985160002</v>
      </c>
      <c r="O14" s="136">
        <f>(Table1422[[#This Row],[PA J&amp;J]]-Table1422[[#This Row],[J&amp;J Attorneys Fees]])*0.15</f>
        <v>0</v>
      </c>
    </row>
    <row r="15" spans="1:15" x14ac:dyDescent="0.3">
      <c r="A15" s="1">
        <v>14</v>
      </c>
      <c r="B15" s="2">
        <v>49293</v>
      </c>
      <c r="C15" s="136">
        <v>47292119.32344</v>
      </c>
      <c r="D15" s="136"/>
      <c r="E15" s="136">
        <f>Table1422[[#This Row],[PA Distributors ]]+Table1422[[#This Row],[PA J&amp;J]]</f>
        <v>47292119.32344</v>
      </c>
      <c r="F15" s="136"/>
      <c r="G15" s="136"/>
      <c r="H15" s="136"/>
      <c r="I15" s="136"/>
      <c r="J15" s="136">
        <f>Table1422[[#This Row],[Totals]]-Table1422[[#This Row],[Distributors Atty Fees]]-Table1422[[#This Row],[J&amp;J Attorneys Fees]]-Table1422[[#This Row],[Attorney''s Costs]]-Table1422[[#This Row],[Admin Costs]]</f>
        <v>47292119.32344</v>
      </c>
      <c r="K15" s="136">
        <f>Table1422[[#This Row],[Total Less Fees]]*0.15</f>
        <v>7093817.8985160002</v>
      </c>
      <c r="L15" s="136">
        <f>Table1422[[#This Row],[Total Less Fees]]*0.7</f>
        <v>33104483.526407998</v>
      </c>
      <c r="M15" s="136">
        <f>Table1422[[#This Row],[Total Less Fees]]*0.15</f>
        <v>7093817.8985160002</v>
      </c>
      <c r="N15" s="136">
        <f>Table1422[[#This Row],[Litigating]]</f>
        <v>7093817.8985160002</v>
      </c>
      <c r="O15" s="136">
        <f>(Table1422[[#This Row],[PA J&amp;J]]-Table1422[[#This Row],[J&amp;J Attorneys Fees]])*0.15</f>
        <v>0</v>
      </c>
    </row>
    <row r="16" spans="1:15" x14ac:dyDescent="0.3">
      <c r="A16" s="1">
        <v>15</v>
      </c>
      <c r="B16" s="2">
        <v>49658</v>
      </c>
      <c r="C16" s="136">
        <v>47292119.32344</v>
      </c>
      <c r="D16" s="136"/>
      <c r="E16" s="136">
        <f>Table1422[[#This Row],[PA Distributors ]]+Table1422[[#This Row],[PA J&amp;J]]</f>
        <v>47292119.32344</v>
      </c>
      <c r="F16" s="136"/>
      <c r="G16" s="136"/>
      <c r="H16" s="136"/>
      <c r="I16" s="136"/>
      <c r="J16" s="136">
        <f>Table1422[[#This Row],[Totals]]-Table1422[[#This Row],[Distributors Atty Fees]]-Table1422[[#This Row],[J&amp;J Attorneys Fees]]-Table1422[[#This Row],[Attorney''s Costs]]-Table1422[[#This Row],[Admin Costs]]</f>
        <v>47292119.32344</v>
      </c>
      <c r="K16" s="136">
        <f>Table1422[[#This Row],[Total Less Fees]]*0.15</f>
        <v>7093817.8985160002</v>
      </c>
      <c r="L16" s="136">
        <f>Table1422[[#This Row],[Total Less Fees]]*0.7</f>
        <v>33104483.526407998</v>
      </c>
      <c r="M16" s="136">
        <f>Table1422[[#This Row],[Total Less Fees]]*0.15</f>
        <v>7093817.8985160002</v>
      </c>
      <c r="N16" s="136">
        <f>Table1422[[#This Row],[Litigating]]</f>
        <v>7093817.8985160002</v>
      </c>
      <c r="O16" s="136">
        <f>(Table1422[[#This Row],[PA J&amp;J]]-Table1422[[#This Row],[J&amp;J Attorneys Fees]])*0.15</f>
        <v>0</v>
      </c>
    </row>
    <row r="17" spans="1:16" x14ac:dyDescent="0.3">
      <c r="A17" s="1">
        <v>16</v>
      </c>
      <c r="B17" s="2">
        <v>50024</v>
      </c>
      <c r="C17" s="136">
        <v>47292119.32344</v>
      </c>
      <c r="D17" s="136"/>
      <c r="E17" s="136">
        <f>Table1422[[#This Row],[PA Distributors ]]+Table1422[[#This Row],[PA J&amp;J]]</f>
        <v>47292119.32344</v>
      </c>
      <c r="F17" s="136"/>
      <c r="G17" s="136"/>
      <c r="H17" s="136"/>
      <c r="I17" s="136"/>
      <c r="J17" s="136">
        <f>Table1422[[#This Row],[Totals]]-Table1422[[#This Row],[Distributors Atty Fees]]-Table1422[[#This Row],[J&amp;J Attorneys Fees]]-Table1422[[#This Row],[Attorney''s Costs]]-Table1422[[#This Row],[Admin Costs]]</f>
        <v>47292119.32344</v>
      </c>
      <c r="K17" s="136">
        <f>Table1422[[#This Row],[Total Less Fees]]*0.15</f>
        <v>7093817.8985160002</v>
      </c>
      <c r="L17" s="136">
        <f>Table1422[[#This Row],[Total Less Fees]]*0.7</f>
        <v>33104483.526407998</v>
      </c>
      <c r="M17" s="136">
        <f>Table1422[[#This Row],[Total Less Fees]]*0.15</f>
        <v>7093817.8985160002</v>
      </c>
      <c r="N17" s="136">
        <f>Table1422[[#This Row],[Litigating]]</f>
        <v>7093817.8985160002</v>
      </c>
      <c r="O17" s="136">
        <f>(Table1422[[#This Row],[PA J&amp;J]]-Table1422[[#This Row],[J&amp;J Attorneys Fees]])*0.15</f>
        <v>0</v>
      </c>
    </row>
    <row r="18" spans="1:16" x14ac:dyDescent="0.3">
      <c r="A18" s="1">
        <v>17</v>
      </c>
      <c r="B18" s="2">
        <v>50389</v>
      </c>
      <c r="C18" s="136">
        <v>47292119.32344</v>
      </c>
      <c r="D18" s="136"/>
      <c r="E18" s="136">
        <f>Table1422[[#This Row],[PA Distributors ]]+Table1422[[#This Row],[PA J&amp;J]]</f>
        <v>47292119.32344</v>
      </c>
      <c r="F18" s="136"/>
      <c r="G18" s="136"/>
      <c r="H18" s="136"/>
      <c r="I18" s="136"/>
      <c r="J18" s="136">
        <f>Table1422[[#This Row],[Totals]]-Table1422[[#This Row],[Distributors Atty Fees]]-Table1422[[#This Row],[J&amp;J Attorneys Fees]]-Table1422[[#This Row],[Attorney''s Costs]]-Table1422[[#This Row],[Admin Costs]]</f>
        <v>47292119.32344</v>
      </c>
      <c r="K18" s="136">
        <f>Table1422[[#This Row],[Total Less Fees]]*0.15</f>
        <v>7093817.8985160002</v>
      </c>
      <c r="L18" s="136">
        <f>Table1422[[#This Row],[Total Less Fees]]*0.7</f>
        <v>33104483.526407998</v>
      </c>
      <c r="M18" s="136">
        <f>Table1422[[#This Row],[Total Less Fees]]*0.15</f>
        <v>7093817.8985160002</v>
      </c>
      <c r="N18" s="136">
        <f>Table1422[[#This Row],[Litigating]]</f>
        <v>7093817.8985160002</v>
      </c>
      <c r="O18" s="136">
        <f>(Table1422[[#This Row],[PA J&amp;J]]-Table1422[[#This Row],[J&amp;J Attorneys Fees]])*0.15</f>
        <v>0</v>
      </c>
    </row>
    <row r="19" spans="1:16" x14ac:dyDescent="0.3">
      <c r="A19" s="1">
        <v>18</v>
      </c>
      <c r="B19" s="138">
        <v>50754</v>
      </c>
      <c r="C19" s="136">
        <v>47292119.32344</v>
      </c>
      <c r="D19" s="136"/>
      <c r="E19" s="136">
        <f>Table1422[[#This Row],[PA Distributors ]]+Table1422[[#This Row],[PA J&amp;J]]</f>
        <v>47292119.32344</v>
      </c>
      <c r="F19" s="136"/>
      <c r="G19" s="136"/>
      <c r="H19" s="136"/>
      <c r="I19" s="136"/>
      <c r="J19" s="136">
        <f>Table1422[[#This Row],[Totals]]-Table1422[[#This Row],[Distributors Atty Fees]]-Table1422[[#This Row],[J&amp;J Attorneys Fees]]-Table1422[[#This Row],[Attorney''s Costs]]-Table1422[[#This Row],[Admin Costs]]</f>
        <v>47292119.32344</v>
      </c>
      <c r="K19" s="136">
        <f>Table1422[[#This Row],[Total Less Fees]]*0.15</f>
        <v>7093817.8985160002</v>
      </c>
      <c r="L19" s="136">
        <f>Table1422[[#This Row],[Total Less Fees]]*0.7</f>
        <v>33104483.526407998</v>
      </c>
      <c r="M19" s="136">
        <f>Table1422[[#This Row],[Total Less Fees]]*0.15</f>
        <v>7093817.8985160002</v>
      </c>
      <c r="N19" s="136">
        <f>Table1422[[#This Row],[Litigating]]</f>
        <v>7093817.8985160002</v>
      </c>
      <c r="O19" s="136">
        <f>(Table1422[[#This Row],[PA J&amp;J]]-Table1422[[#This Row],[J&amp;J Attorneys Fees]])*0.15</f>
        <v>0</v>
      </c>
    </row>
    <row r="20" spans="1:16" x14ac:dyDescent="0.3">
      <c r="A20" s="1" t="s">
        <v>6</v>
      </c>
      <c r="C20" s="136">
        <f t="shared" ref="C20:H20" si="0">SUM(C2:C19)</f>
        <v>871129483.9888078</v>
      </c>
      <c r="D20" s="136">
        <f t="shared" si="0"/>
        <v>199485644.55000001</v>
      </c>
      <c r="E20" s="136">
        <f t="shared" si="0"/>
        <v>1070615128.5388077</v>
      </c>
      <c r="F20" s="136">
        <f t="shared" si="0"/>
        <v>46743091.192093417</v>
      </c>
      <c r="G20" s="136">
        <f t="shared" si="0"/>
        <v>10835678.554970402</v>
      </c>
      <c r="H20" s="136">
        <f t="shared" si="0"/>
        <v>16651314.529999999</v>
      </c>
      <c r="I20" s="136">
        <v>300000</v>
      </c>
      <c r="J20" s="136">
        <f>Table1422[[#This Row],[Totals]]-Table1422[[#This Row],[Distributors Atty Fees]]-Table1422[[#This Row],[J&amp;J Attorneys Fees]]-Table1422[[#This Row],[Attorney''s Costs]]-Table1422[[#This Row],[Admin Costs]]</f>
        <v>996085044.26174402</v>
      </c>
      <c r="K20" s="136">
        <f>Table1422[[#This Row],[Total Less Fees]]*0.15</f>
        <v>149412756.6392616</v>
      </c>
      <c r="L20" s="136">
        <f>Table1422[[#This Row],[Total Less Fees]]*0.7</f>
        <v>697259530.98322082</v>
      </c>
      <c r="M20" s="136">
        <f>Table1422[[#This Row],[Total Less Fees]]*0.15</f>
        <v>149412756.6392616</v>
      </c>
      <c r="N20" s="136">
        <f>SUM(N2:N19)</f>
        <v>122386610.27908219</v>
      </c>
      <c r="O20" s="136">
        <f>SUM(O2:O19)</f>
        <v>27026146.310179446</v>
      </c>
    </row>
    <row r="23" spans="1:16" x14ac:dyDescent="0.3">
      <c r="B23" s="136"/>
      <c r="C23" s="139"/>
      <c r="F23" s="136"/>
    </row>
    <row r="24" spans="1:16" x14ac:dyDescent="0.3">
      <c r="A24" s="140"/>
      <c r="B24" s="140"/>
      <c r="C24" s="140"/>
      <c r="D24" s="8"/>
      <c r="F24" s="141"/>
      <c r="G24" s="136"/>
      <c r="H24" s="142"/>
      <c r="I24" s="142"/>
      <c r="J24" s="142"/>
      <c r="K24" s="142"/>
      <c r="L24" s="142"/>
      <c r="M24" s="142"/>
    </row>
    <row r="25" spans="1:16" x14ac:dyDescent="0.3">
      <c r="A25" s="140"/>
      <c r="B25" s="140"/>
      <c r="C25" s="140"/>
      <c r="D25" s="143"/>
      <c r="E25" s="8"/>
      <c r="F25" s="8"/>
      <c r="I25" s="140"/>
      <c r="J25" s="136"/>
      <c r="K25" s="142"/>
      <c r="N25" s="144"/>
      <c r="O25" s="144"/>
      <c r="P25" s="142"/>
    </row>
    <row r="26" spans="1:16" x14ac:dyDescent="0.3">
      <c r="D26" s="140"/>
      <c r="H26" s="145"/>
      <c r="I26" s="144"/>
      <c r="J26" s="142"/>
      <c r="K26" s="142"/>
      <c r="L26" s="136"/>
      <c r="M26" s="136"/>
    </row>
    <row r="27" spans="1:16" x14ac:dyDescent="0.3">
      <c r="H27" s="8"/>
      <c r="J27" s="142"/>
      <c r="K27" s="142"/>
      <c r="L27" s="136"/>
    </row>
    <row r="28" spans="1:16" x14ac:dyDescent="0.3">
      <c r="G28" s="136"/>
      <c r="H28" s="8"/>
      <c r="J28" s="136"/>
      <c r="L28" s="136"/>
    </row>
    <row r="29" spans="1:16" x14ac:dyDescent="0.3">
      <c r="J29" s="136"/>
      <c r="L29" s="136"/>
    </row>
    <row r="30" spans="1:16" x14ac:dyDescent="0.3">
      <c r="B30" s="136"/>
      <c r="C30" s="136"/>
      <c r="D30" s="140"/>
      <c r="E30" s="136"/>
      <c r="H30" s="140"/>
      <c r="I30" s="140"/>
      <c r="J30" s="142"/>
    </row>
    <row r="31" spans="1:16" x14ac:dyDescent="0.3">
      <c r="B31" s="136"/>
      <c r="C31" s="136"/>
      <c r="D31" s="140"/>
      <c r="E31" s="136"/>
      <c r="H31" s="140"/>
      <c r="I31" s="140"/>
    </row>
    <row r="32" spans="1:16" x14ac:dyDescent="0.3">
      <c r="B32" s="136"/>
      <c r="C32" s="136"/>
      <c r="D32" s="140"/>
      <c r="G32" s="136"/>
      <c r="H32" s="136"/>
    </row>
  </sheetData>
  <pageMargins left="0.7" right="0.7" top="0.75" bottom="0.75" header="0.3" footer="0.3"/>
  <pageSetup scale="8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097EB-636E-4F49-AEB1-12D16CD8267A}">
  <sheetPr>
    <tabColor rgb="FF92D050"/>
  </sheetPr>
  <dimension ref="A1:Q144"/>
  <sheetViews>
    <sheetView workbookViewId="0">
      <selection activeCell="A9" sqref="A9"/>
    </sheetView>
  </sheetViews>
  <sheetFormatPr defaultRowHeight="14.4" x14ac:dyDescent="0.3"/>
  <cols>
    <col min="1" max="1" width="38.88671875" customWidth="1"/>
    <col min="2" max="2" width="0.109375" customWidth="1"/>
    <col min="3" max="3" width="23.6640625" customWidth="1"/>
    <col min="4" max="4" width="18.33203125" customWidth="1"/>
    <col min="5" max="5" width="19.109375" customWidth="1"/>
    <col min="6" max="6" width="17.88671875" customWidth="1"/>
    <col min="7" max="8" width="16.44140625" customWidth="1"/>
    <col min="9" max="9" width="21.44140625" customWidth="1"/>
    <col min="10" max="10" width="14.88671875" bestFit="1" customWidth="1"/>
    <col min="11" max="11" width="13.6640625" hidden="1" customWidth="1"/>
    <col min="12" max="12" width="11.5546875" hidden="1" customWidth="1"/>
    <col min="13" max="13" width="14.5546875" hidden="1" customWidth="1"/>
    <col min="14" max="14" width="21.44140625" hidden="1" customWidth="1"/>
    <col min="15" max="15" width="15.33203125" bestFit="1" customWidth="1"/>
  </cols>
  <sheetData>
    <row r="1" spans="1:17" ht="28.8" x14ac:dyDescent="0.3">
      <c r="A1" s="93" t="s">
        <v>349</v>
      </c>
      <c r="B1" s="93" t="s">
        <v>350</v>
      </c>
      <c r="C1" s="94" t="s">
        <v>351</v>
      </c>
      <c r="D1" s="94"/>
      <c r="E1" s="95" t="s">
        <v>352</v>
      </c>
      <c r="F1" s="96" t="s">
        <v>353</v>
      </c>
      <c r="G1" s="96" t="s">
        <v>354</v>
      </c>
      <c r="H1" s="96" t="s">
        <v>355</v>
      </c>
      <c r="I1" s="95" t="s">
        <v>356</v>
      </c>
      <c r="J1" s="95" t="s">
        <v>357</v>
      </c>
      <c r="K1" s="97" t="s">
        <v>358</v>
      </c>
      <c r="L1" s="97" t="s">
        <v>359</v>
      </c>
      <c r="M1" s="97" t="s">
        <v>360</v>
      </c>
      <c r="N1" s="97" t="s">
        <v>361</v>
      </c>
      <c r="O1" s="93" t="s">
        <v>362</v>
      </c>
      <c r="P1" s="36"/>
      <c r="Q1" s="36"/>
    </row>
    <row r="2" spans="1:17" x14ac:dyDescent="0.3">
      <c r="A2" s="36" t="s">
        <v>26</v>
      </c>
      <c r="B2" s="36">
        <v>1</v>
      </c>
      <c r="C2" s="69">
        <v>185366.96914398481</v>
      </c>
      <c r="D2" s="69"/>
      <c r="E2" s="69">
        <f t="shared" ref="E2:E65" si="0">+C2</f>
        <v>185366.96914398481</v>
      </c>
      <c r="F2" s="69">
        <v>39145.846666666672</v>
      </c>
      <c r="G2" s="69">
        <v>38315.912000000004</v>
      </c>
      <c r="H2" s="69"/>
      <c r="I2" s="69"/>
      <c r="J2" s="69">
        <f t="shared" ref="J2:J13" si="1">+F2+G2</f>
        <v>77461.758666666676</v>
      </c>
      <c r="K2" s="98"/>
      <c r="L2" s="98"/>
      <c r="M2" s="98"/>
      <c r="N2" s="98"/>
      <c r="O2" s="69">
        <f t="shared" ref="O2:O65" si="2">SUM(E2+J2)</f>
        <v>262828.72781065147</v>
      </c>
      <c r="P2" s="36"/>
      <c r="Q2" s="36"/>
    </row>
    <row r="3" spans="1:17" x14ac:dyDescent="0.3">
      <c r="A3" s="36" t="s">
        <v>27</v>
      </c>
      <c r="B3" s="36">
        <v>2</v>
      </c>
      <c r="C3" s="69">
        <v>6209793.8923684452</v>
      </c>
      <c r="D3" s="69"/>
      <c r="E3" s="69">
        <f t="shared" si="0"/>
        <v>6209793.8923684452</v>
      </c>
      <c r="F3" s="69">
        <v>398296.81228561688</v>
      </c>
      <c r="G3" s="69">
        <v>359099.04782826698</v>
      </c>
      <c r="H3" s="69"/>
      <c r="I3" s="69"/>
      <c r="J3" s="69">
        <f t="shared" si="1"/>
        <v>757395.86011388386</v>
      </c>
      <c r="K3" s="69"/>
      <c r="L3" s="69"/>
      <c r="M3" s="69"/>
      <c r="N3" s="99"/>
      <c r="O3" s="69">
        <f t="shared" si="2"/>
        <v>6967189.7524823286</v>
      </c>
      <c r="P3" s="36"/>
      <c r="Q3" s="36"/>
    </row>
    <row r="4" spans="1:17" x14ac:dyDescent="0.3">
      <c r="A4" s="36" t="s">
        <v>28</v>
      </c>
      <c r="B4" s="36">
        <v>3</v>
      </c>
      <c r="C4" s="69">
        <v>326547.65424871328</v>
      </c>
      <c r="D4" s="69"/>
      <c r="E4" s="69">
        <f t="shared" si="0"/>
        <v>326547.65424871328</v>
      </c>
      <c r="F4" s="69">
        <v>20879.579218425773</v>
      </c>
      <c r="G4" s="69">
        <v>19157.956000000002</v>
      </c>
      <c r="H4" s="69"/>
      <c r="I4" s="69"/>
      <c r="J4" s="69">
        <f t="shared" si="1"/>
        <v>40037.535218425779</v>
      </c>
      <c r="K4" s="98"/>
      <c r="L4" s="98"/>
      <c r="M4" s="98"/>
      <c r="N4" s="98"/>
      <c r="O4" s="69">
        <f t="shared" si="2"/>
        <v>366585.18946713908</v>
      </c>
      <c r="P4" s="36"/>
      <c r="Q4" s="36"/>
    </row>
    <row r="5" spans="1:17" x14ac:dyDescent="0.3">
      <c r="A5" s="36" t="s">
        <v>29</v>
      </c>
      <c r="B5" s="36">
        <v>4</v>
      </c>
      <c r="C5" s="69">
        <v>686504.4368627416</v>
      </c>
      <c r="D5" s="69"/>
      <c r="E5" s="69">
        <f t="shared" si="0"/>
        <v>686504.4368627416</v>
      </c>
      <c r="F5" s="69">
        <v>53574.825623531717</v>
      </c>
      <c r="G5" s="69">
        <v>48302.34206137633</v>
      </c>
      <c r="H5" s="69"/>
      <c r="I5" s="69"/>
      <c r="J5" s="69">
        <f t="shared" si="1"/>
        <v>101877.16768490805</v>
      </c>
      <c r="K5" s="69"/>
      <c r="L5" s="69"/>
      <c r="M5" s="69"/>
      <c r="N5" s="69"/>
      <c r="O5" s="69">
        <f t="shared" si="2"/>
        <v>788381.60454764962</v>
      </c>
      <c r="P5" s="36"/>
      <c r="Q5" s="36"/>
    </row>
    <row r="6" spans="1:17" x14ac:dyDescent="0.3">
      <c r="A6" s="36" t="s">
        <v>30</v>
      </c>
      <c r="B6" s="36">
        <v>5</v>
      </c>
      <c r="C6" s="69">
        <v>103460.67897729314</v>
      </c>
      <c r="D6" s="69"/>
      <c r="E6" s="69">
        <f t="shared" si="0"/>
        <v>103460.67897729314</v>
      </c>
      <c r="F6" s="69">
        <v>15152.807292398233</v>
      </c>
      <c r="G6" s="69">
        <v>13661.567210142388</v>
      </c>
      <c r="H6" s="69"/>
      <c r="I6" s="69"/>
      <c r="J6" s="69">
        <f t="shared" si="1"/>
        <v>28814.374502540621</v>
      </c>
      <c r="K6" s="98"/>
      <c r="L6" s="98"/>
      <c r="M6" s="98"/>
      <c r="N6" s="98"/>
      <c r="O6" s="69">
        <f t="shared" si="2"/>
        <v>132275.05347983376</v>
      </c>
      <c r="P6" s="36"/>
      <c r="Q6" s="36"/>
    </row>
    <row r="7" spans="1:17" x14ac:dyDescent="0.3">
      <c r="A7" s="36" t="s">
        <v>31</v>
      </c>
      <c r="B7" s="36">
        <v>6</v>
      </c>
      <c r="C7" s="69">
        <v>1018979.5383515304</v>
      </c>
      <c r="D7" s="69"/>
      <c r="E7" s="69">
        <f t="shared" si="0"/>
        <v>1018979.5383515304</v>
      </c>
      <c r="F7" s="69"/>
      <c r="G7" s="69"/>
      <c r="H7" s="69"/>
      <c r="I7" s="69"/>
      <c r="J7" s="69">
        <f t="shared" si="1"/>
        <v>0</v>
      </c>
      <c r="K7" s="69"/>
      <c r="L7" s="98"/>
      <c r="M7" s="69"/>
      <c r="N7" s="69"/>
      <c r="O7" s="69">
        <f t="shared" si="2"/>
        <v>1018979.5383515304</v>
      </c>
      <c r="P7" s="36"/>
      <c r="Q7" s="36"/>
    </row>
    <row r="8" spans="1:17" x14ac:dyDescent="0.3">
      <c r="A8" s="36" t="s">
        <v>32</v>
      </c>
      <c r="B8" s="36">
        <v>7</v>
      </c>
      <c r="C8" s="69">
        <v>434858.04165987222</v>
      </c>
      <c r="D8" s="69"/>
      <c r="E8" s="69">
        <f t="shared" si="0"/>
        <v>434858.04165987222</v>
      </c>
      <c r="F8" s="69"/>
      <c r="G8" s="69"/>
      <c r="H8" s="69"/>
      <c r="I8" s="69"/>
      <c r="J8" s="69">
        <f t="shared" si="1"/>
        <v>0</v>
      </c>
      <c r="K8" s="98"/>
      <c r="L8" s="98"/>
      <c r="M8" s="98"/>
      <c r="N8" s="98"/>
      <c r="O8" s="69">
        <f t="shared" si="2"/>
        <v>434858.04165987222</v>
      </c>
      <c r="P8" s="36"/>
      <c r="Q8" s="36"/>
    </row>
    <row r="9" spans="1:17" x14ac:dyDescent="0.3">
      <c r="A9" s="36" t="s">
        <v>33</v>
      </c>
      <c r="B9" s="36">
        <v>8</v>
      </c>
      <c r="C9" s="69">
        <v>121242.94323480103</v>
      </c>
      <c r="D9" s="69"/>
      <c r="E9" s="69">
        <f t="shared" si="0"/>
        <v>121242.94323480103</v>
      </c>
      <c r="F9" s="69">
        <v>19572.923333333336</v>
      </c>
      <c r="G9" s="69">
        <v>9578.98</v>
      </c>
      <c r="H9" s="69"/>
      <c r="I9" s="69"/>
      <c r="J9" s="69">
        <f t="shared" si="1"/>
        <v>29151.903333333335</v>
      </c>
      <c r="K9" s="69"/>
      <c r="L9" s="69"/>
      <c r="M9" s="69"/>
      <c r="N9" s="69"/>
      <c r="O9" s="69">
        <f t="shared" si="2"/>
        <v>150394.84656813438</v>
      </c>
      <c r="P9" s="36"/>
      <c r="Q9" s="36"/>
    </row>
    <row r="10" spans="1:17" x14ac:dyDescent="0.3">
      <c r="A10" s="36" t="s">
        <v>34</v>
      </c>
      <c r="B10" s="36">
        <v>9</v>
      </c>
      <c r="C10" s="69">
        <v>3126990.0882038507</v>
      </c>
      <c r="D10" s="69"/>
      <c r="E10" s="69">
        <f t="shared" si="0"/>
        <v>3126990.0882038507</v>
      </c>
      <c r="F10" s="69">
        <v>205916.0039769756</v>
      </c>
      <c r="G10" s="69">
        <v>185651.1</v>
      </c>
      <c r="H10" s="69"/>
      <c r="I10" s="69"/>
      <c r="J10" s="69">
        <f t="shared" si="1"/>
        <v>391567.1039769756</v>
      </c>
      <c r="K10" s="98"/>
      <c r="L10" s="98"/>
      <c r="M10" s="98"/>
      <c r="N10" s="98"/>
      <c r="O10" s="69">
        <f t="shared" si="2"/>
        <v>3518557.1921808263</v>
      </c>
      <c r="P10" s="36"/>
      <c r="Q10" s="36"/>
    </row>
    <row r="11" spans="1:17" x14ac:dyDescent="0.3">
      <c r="A11" s="36" t="s">
        <v>35</v>
      </c>
      <c r="B11" s="36">
        <v>10</v>
      </c>
      <c r="C11" s="69">
        <v>737695.9069482832</v>
      </c>
      <c r="D11" s="69"/>
      <c r="E11" s="69">
        <f t="shared" si="0"/>
        <v>737695.9069482832</v>
      </c>
      <c r="F11" s="69"/>
      <c r="G11" s="36"/>
      <c r="H11" s="69"/>
      <c r="I11" s="69"/>
      <c r="J11" s="69">
        <f t="shared" si="1"/>
        <v>0</v>
      </c>
      <c r="K11" s="69"/>
      <c r="L11" s="69"/>
      <c r="M11" s="69"/>
      <c r="N11" s="69"/>
      <c r="O11" s="69">
        <f t="shared" si="2"/>
        <v>737695.9069482832</v>
      </c>
      <c r="P11" s="36"/>
      <c r="Q11" s="36"/>
    </row>
    <row r="12" spans="1:17" x14ac:dyDescent="0.3">
      <c r="A12" s="36" t="s">
        <v>36</v>
      </c>
      <c r="B12" s="36">
        <v>11</v>
      </c>
      <c r="C12" s="69">
        <v>855166.88055542833</v>
      </c>
      <c r="D12" s="69"/>
      <c r="E12" s="69">
        <f t="shared" si="0"/>
        <v>855166.88055542833</v>
      </c>
      <c r="F12" s="69">
        <v>42509.521300859175</v>
      </c>
      <c r="G12" s="69">
        <v>38315.910000000003</v>
      </c>
      <c r="H12" s="69"/>
      <c r="I12" s="69"/>
      <c r="J12" s="69">
        <f t="shared" si="1"/>
        <v>80825.431300859171</v>
      </c>
      <c r="K12" s="98"/>
      <c r="L12" s="98"/>
      <c r="M12" s="98"/>
      <c r="N12" s="98"/>
      <c r="O12" s="69">
        <f t="shared" si="2"/>
        <v>935992.31185628753</v>
      </c>
      <c r="P12" s="36"/>
      <c r="Q12" s="36"/>
    </row>
    <row r="13" spans="1:17" x14ac:dyDescent="0.3">
      <c r="A13" s="36" t="s">
        <v>37</v>
      </c>
      <c r="B13" s="36">
        <v>12</v>
      </c>
      <c r="C13" s="69">
        <v>77462.718767322978</v>
      </c>
      <c r="D13" s="69"/>
      <c r="E13" s="69">
        <f t="shared" si="0"/>
        <v>77462.718767322978</v>
      </c>
      <c r="F13" s="69"/>
      <c r="G13" s="36"/>
      <c r="H13" s="69"/>
      <c r="I13" s="69"/>
      <c r="J13" s="69">
        <f t="shared" si="1"/>
        <v>0</v>
      </c>
      <c r="K13" s="69"/>
      <c r="L13" s="69"/>
      <c r="M13" s="69"/>
      <c r="N13" s="69"/>
      <c r="O13" s="69">
        <f t="shared" si="2"/>
        <v>77462.718767322978</v>
      </c>
      <c r="P13" s="36"/>
      <c r="Q13" s="36"/>
    </row>
    <row r="14" spans="1:17" x14ac:dyDescent="0.3">
      <c r="A14" s="36" t="s">
        <v>38</v>
      </c>
      <c r="B14" s="36">
        <v>13</v>
      </c>
      <c r="C14" s="69">
        <v>347024.22679038619</v>
      </c>
      <c r="D14" s="69"/>
      <c r="E14" s="69">
        <f t="shared" si="0"/>
        <v>347024.22679038619</v>
      </c>
      <c r="F14" s="69">
        <v>20621.920662830635</v>
      </c>
      <c r="G14" s="69">
        <v>19157.96</v>
      </c>
      <c r="H14" s="100">
        <v>73398.462500000009</v>
      </c>
      <c r="I14" s="69">
        <v>71842.335000000006</v>
      </c>
      <c r="J14" s="69">
        <f>+F14+G14+H14+I14</f>
        <v>185020.67816283065</v>
      </c>
      <c r="K14" s="98"/>
      <c r="L14" s="98"/>
      <c r="M14" s="98"/>
      <c r="N14" s="98"/>
      <c r="O14" s="69">
        <f t="shared" si="2"/>
        <v>532044.9049532169</v>
      </c>
      <c r="P14" s="36"/>
      <c r="Q14" s="36"/>
    </row>
    <row r="15" spans="1:17" x14ac:dyDescent="0.3">
      <c r="A15" s="36" t="s">
        <v>39</v>
      </c>
      <c r="B15" s="36">
        <v>14</v>
      </c>
      <c r="C15" s="69">
        <v>134714.40719290738</v>
      </c>
      <c r="D15" s="69"/>
      <c r="E15" s="69">
        <f t="shared" si="0"/>
        <v>134714.40719290738</v>
      </c>
      <c r="F15" s="69"/>
      <c r="G15" s="36"/>
      <c r="H15" s="69"/>
      <c r="I15" s="69"/>
      <c r="J15" s="69">
        <f t="shared" ref="J15:J23" si="3">+F15+G15</f>
        <v>0</v>
      </c>
      <c r="K15" s="69"/>
      <c r="L15" s="69"/>
      <c r="M15" s="69"/>
      <c r="N15" s="69"/>
      <c r="O15" s="69">
        <f t="shared" si="2"/>
        <v>134714.40719290738</v>
      </c>
      <c r="P15" s="36"/>
      <c r="Q15" s="36"/>
    </row>
    <row r="16" spans="1:17" x14ac:dyDescent="0.3">
      <c r="A16" s="36" t="s">
        <v>40</v>
      </c>
      <c r="B16" s="36">
        <v>15</v>
      </c>
      <c r="C16" s="69">
        <v>1201652.1992113502</v>
      </c>
      <c r="D16" s="69"/>
      <c r="E16" s="69">
        <f t="shared" si="0"/>
        <v>1201652.1992113502</v>
      </c>
      <c r="F16" s="69">
        <v>170205.29254792054</v>
      </c>
      <c r="G16" s="69">
        <v>153454.80205716679</v>
      </c>
      <c r="H16" s="69"/>
      <c r="I16" s="69"/>
      <c r="J16" s="69">
        <f t="shared" si="3"/>
        <v>323660.0946050873</v>
      </c>
      <c r="K16" s="98"/>
      <c r="L16" s="98"/>
      <c r="M16" s="98"/>
      <c r="N16" s="98"/>
      <c r="O16" s="69">
        <f t="shared" si="2"/>
        <v>1525312.2938164375</v>
      </c>
      <c r="P16" s="36"/>
      <c r="Q16" s="36"/>
    </row>
    <row r="17" spans="1:17" x14ac:dyDescent="0.3">
      <c r="A17" s="36" t="s">
        <v>41</v>
      </c>
      <c r="B17" s="36">
        <v>16</v>
      </c>
      <c r="C17" s="69">
        <v>79212.059345245434</v>
      </c>
      <c r="D17" s="69"/>
      <c r="E17" s="69">
        <f t="shared" si="0"/>
        <v>79212.059345245434</v>
      </c>
      <c r="F17" s="69">
        <v>11860.892792235798</v>
      </c>
      <c r="G17" s="69">
        <v>10693.62138161113</v>
      </c>
      <c r="H17" s="69"/>
      <c r="I17" s="69"/>
      <c r="J17" s="69">
        <f t="shared" si="3"/>
        <v>22554.514173846928</v>
      </c>
      <c r="K17" s="69"/>
      <c r="L17" s="69"/>
      <c r="M17" s="69"/>
      <c r="N17" s="69"/>
      <c r="O17" s="69">
        <f t="shared" si="2"/>
        <v>101766.57351909236</v>
      </c>
      <c r="P17" s="36"/>
      <c r="Q17" s="36"/>
    </row>
    <row r="18" spans="1:17" x14ac:dyDescent="0.3">
      <c r="A18" s="36" t="s">
        <v>42</v>
      </c>
      <c r="B18" s="36">
        <v>17</v>
      </c>
      <c r="C18" s="69">
        <v>161118.42697465586</v>
      </c>
      <c r="D18" s="69"/>
      <c r="E18" s="69">
        <f t="shared" si="0"/>
        <v>161118.42697465586</v>
      </c>
      <c r="F18" s="69">
        <v>25658.205878684788</v>
      </c>
      <c r="G18" s="69">
        <v>23133.093250593585</v>
      </c>
      <c r="H18" s="69"/>
      <c r="I18" s="69"/>
      <c r="J18" s="69">
        <f t="shared" si="3"/>
        <v>48791.29912927837</v>
      </c>
      <c r="K18" s="98"/>
      <c r="L18" s="98"/>
      <c r="M18" s="98"/>
      <c r="N18" s="98"/>
      <c r="O18" s="69">
        <f t="shared" si="2"/>
        <v>209909.72610393423</v>
      </c>
      <c r="P18" s="36"/>
      <c r="Q18" s="36"/>
    </row>
    <row r="19" spans="1:17" x14ac:dyDescent="0.3">
      <c r="A19" s="36" t="s">
        <v>43</v>
      </c>
      <c r="B19" s="36">
        <v>18</v>
      </c>
      <c r="C19" s="69">
        <v>77462.718767322978</v>
      </c>
      <c r="D19" s="69"/>
      <c r="E19" s="69">
        <f t="shared" si="0"/>
        <v>77462.718767322978</v>
      </c>
      <c r="F19" s="69">
        <v>11927.457239849376</v>
      </c>
      <c r="G19" s="69">
        <v>10753.634992114517</v>
      </c>
      <c r="H19" s="69"/>
      <c r="I19" s="69"/>
      <c r="J19" s="69">
        <f t="shared" si="3"/>
        <v>22681.092231963892</v>
      </c>
      <c r="K19" s="69"/>
      <c r="L19" s="69"/>
      <c r="M19" s="69"/>
      <c r="N19" s="69"/>
      <c r="O19" s="69">
        <f t="shared" si="2"/>
        <v>100143.81099928687</v>
      </c>
      <c r="P19" s="36"/>
      <c r="Q19" s="36"/>
    </row>
    <row r="20" spans="1:17" x14ac:dyDescent="0.3">
      <c r="A20" s="36" t="s">
        <v>44</v>
      </c>
      <c r="B20" s="36">
        <v>19</v>
      </c>
      <c r="C20" s="69">
        <v>176745.29108246299</v>
      </c>
      <c r="D20" s="69"/>
      <c r="E20" s="69">
        <f t="shared" si="0"/>
        <v>176745.29108246299</v>
      </c>
      <c r="F20" s="69">
        <v>20614.91387887131</v>
      </c>
      <c r="G20" s="69">
        <v>19157.956000000002</v>
      </c>
      <c r="H20" s="69"/>
      <c r="I20" s="69"/>
      <c r="J20" s="69">
        <f t="shared" si="3"/>
        <v>39772.869878871308</v>
      </c>
      <c r="K20" s="98"/>
      <c r="L20" s="98"/>
      <c r="M20" s="98"/>
      <c r="N20" s="98"/>
      <c r="O20" s="69">
        <f t="shared" si="2"/>
        <v>216518.1609613343</v>
      </c>
      <c r="P20" s="36"/>
      <c r="Q20" s="36"/>
    </row>
    <row r="21" spans="1:17" x14ac:dyDescent="0.3">
      <c r="A21" s="36" t="s">
        <v>45</v>
      </c>
      <c r="B21" s="36">
        <v>20</v>
      </c>
      <c r="C21" s="69">
        <v>361573.3520919836</v>
      </c>
      <c r="D21" s="69"/>
      <c r="E21" s="69">
        <f t="shared" si="0"/>
        <v>361573.3520919836</v>
      </c>
      <c r="F21" s="69"/>
      <c r="G21" s="69">
        <v>74505.61</v>
      </c>
      <c r="H21" s="69"/>
      <c r="I21" s="69"/>
      <c r="J21" s="69">
        <f t="shared" si="3"/>
        <v>74505.61</v>
      </c>
      <c r="K21" s="69"/>
      <c r="L21" s="69"/>
      <c r="M21" s="69"/>
      <c r="N21" s="69"/>
      <c r="O21" s="69">
        <f t="shared" si="2"/>
        <v>436078.96209198359</v>
      </c>
      <c r="P21" s="36"/>
      <c r="Q21" s="36"/>
    </row>
    <row r="22" spans="1:17" x14ac:dyDescent="0.3">
      <c r="A22" s="36" t="s">
        <v>46</v>
      </c>
      <c r="B22" s="36">
        <v>21</v>
      </c>
      <c r="C22" s="69">
        <v>564722.66295619507</v>
      </c>
      <c r="D22" s="69"/>
      <c r="E22" s="69">
        <f t="shared" si="0"/>
        <v>564722.66295619507</v>
      </c>
      <c r="F22" s="69">
        <v>82638.328506448001</v>
      </c>
      <c r="G22" s="69">
        <v>82239.033788426983</v>
      </c>
      <c r="H22" s="69"/>
      <c r="I22" s="69"/>
      <c r="J22" s="69">
        <f t="shared" si="3"/>
        <v>164877.36229487497</v>
      </c>
      <c r="K22" s="98"/>
      <c r="L22" s="98"/>
      <c r="M22" s="98"/>
      <c r="N22" s="98"/>
      <c r="O22" s="69">
        <f t="shared" si="2"/>
        <v>729600.02525107004</v>
      </c>
      <c r="P22" s="36"/>
      <c r="Q22" s="36"/>
    </row>
    <row r="23" spans="1:17" x14ac:dyDescent="0.3">
      <c r="A23" s="36" t="s">
        <v>47</v>
      </c>
      <c r="B23" s="36">
        <v>22</v>
      </c>
      <c r="C23" s="69">
        <v>868099.43637907051</v>
      </c>
      <c r="D23" s="69"/>
      <c r="E23" s="69">
        <f t="shared" si="0"/>
        <v>868099.43637907051</v>
      </c>
      <c r="F23" s="69"/>
      <c r="G23" s="69">
        <v>165634.69352473743</v>
      </c>
      <c r="H23" s="69"/>
      <c r="I23" s="69"/>
      <c r="J23" s="69">
        <f t="shared" si="3"/>
        <v>165634.69352473743</v>
      </c>
      <c r="K23" s="69"/>
      <c r="L23" s="69"/>
      <c r="M23" s="69"/>
      <c r="N23" s="69"/>
      <c r="O23" s="69">
        <f t="shared" si="2"/>
        <v>1033734.129903808</v>
      </c>
      <c r="P23" s="36"/>
      <c r="Q23" s="36"/>
    </row>
    <row r="24" spans="1:17" x14ac:dyDescent="0.3">
      <c r="A24" s="36" t="s">
        <v>48</v>
      </c>
      <c r="B24" s="36">
        <v>23</v>
      </c>
      <c r="C24" s="69">
        <v>3485330.3788026427</v>
      </c>
      <c r="D24" s="69"/>
      <c r="E24" s="69">
        <f t="shared" si="0"/>
        <v>3485330.3788026427</v>
      </c>
      <c r="F24" s="69">
        <v>183714.6905116773</v>
      </c>
      <c r="G24" s="36"/>
      <c r="H24" s="69">
        <v>366992.3125</v>
      </c>
      <c r="I24" s="69">
        <v>359211.67499999999</v>
      </c>
      <c r="J24" s="69">
        <f>+H24+I24+F24</f>
        <v>909918.67801167734</v>
      </c>
      <c r="K24" s="98"/>
      <c r="L24" s="98"/>
      <c r="M24" s="98"/>
      <c r="N24" s="98"/>
      <c r="O24" s="69">
        <f t="shared" si="2"/>
        <v>4395249.0568143204</v>
      </c>
      <c r="P24" s="36"/>
      <c r="Q24" s="36"/>
    </row>
    <row r="25" spans="1:17" x14ac:dyDescent="0.3">
      <c r="A25" s="36" t="s">
        <v>49</v>
      </c>
      <c r="B25" s="36">
        <v>24</v>
      </c>
      <c r="C25" s="69">
        <v>90528.045690932267</v>
      </c>
      <c r="D25" s="69"/>
      <c r="E25" s="69">
        <f t="shared" si="0"/>
        <v>90528.045690932267</v>
      </c>
      <c r="F25" s="69"/>
      <c r="G25" s="36"/>
      <c r="H25" s="69"/>
      <c r="I25" s="69"/>
      <c r="J25" s="69">
        <f t="shared" ref="J25:J51" si="4">+F25+G25</f>
        <v>0</v>
      </c>
      <c r="K25" s="69"/>
      <c r="L25" s="69"/>
      <c r="M25" s="69"/>
      <c r="N25" s="69"/>
      <c r="O25" s="69">
        <f t="shared" si="2"/>
        <v>90528.045690932267</v>
      </c>
      <c r="P25" s="36"/>
      <c r="Q25" s="36"/>
    </row>
    <row r="26" spans="1:17" x14ac:dyDescent="0.3">
      <c r="A26" s="36" t="s">
        <v>50</v>
      </c>
      <c r="B26" s="36">
        <v>25</v>
      </c>
      <c r="C26" s="69">
        <v>1105196.7062803425</v>
      </c>
      <c r="D26" s="69"/>
      <c r="E26" s="69">
        <f t="shared" si="0"/>
        <v>1105196.7062803425</v>
      </c>
      <c r="F26" s="69">
        <v>86271.345989357535</v>
      </c>
      <c r="G26" s="69">
        <v>77781.084969933567</v>
      </c>
      <c r="H26" s="69"/>
      <c r="I26" s="69"/>
      <c r="J26" s="69">
        <f t="shared" si="4"/>
        <v>164052.43095929112</v>
      </c>
      <c r="K26" s="98"/>
      <c r="L26" s="98"/>
      <c r="M26" s="98"/>
      <c r="N26" s="98"/>
      <c r="O26" s="69">
        <f t="shared" si="2"/>
        <v>1269249.1372396336</v>
      </c>
      <c r="P26" s="36"/>
      <c r="Q26" s="36"/>
    </row>
    <row r="27" spans="1:17" x14ac:dyDescent="0.3">
      <c r="A27" s="36" t="s">
        <v>51</v>
      </c>
      <c r="B27" s="36">
        <v>26</v>
      </c>
      <c r="C27" s="69">
        <v>726379.92060259648</v>
      </c>
      <c r="D27" s="69"/>
      <c r="E27" s="69">
        <f t="shared" si="0"/>
        <v>726379.92060259648</v>
      </c>
      <c r="F27" s="69">
        <v>41022.809140762583</v>
      </c>
      <c r="G27" s="69">
        <v>38315.912000000004</v>
      </c>
      <c r="H27" s="69"/>
      <c r="I27" s="69"/>
      <c r="J27" s="69">
        <f t="shared" si="4"/>
        <v>79338.721140762587</v>
      </c>
      <c r="K27" s="69"/>
      <c r="L27" s="69"/>
      <c r="M27" s="69"/>
      <c r="N27" s="69"/>
      <c r="O27" s="69">
        <f t="shared" si="2"/>
        <v>805718.64174335904</v>
      </c>
      <c r="P27" s="36"/>
      <c r="Q27" s="36"/>
    </row>
    <row r="28" spans="1:17" x14ac:dyDescent="0.3">
      <c r="A28" s="36" t="s">
        <v>52</v>
      </c>
      <c r="B28" s="36">
        <v>27</v>
      </c>
      <c r="C28" s="69">
        <v>77462.718767322978</v>
      </c>
      <c r="D28" s="69"/>
      <c r="E28" s="69">
        <f t="shared" si="0"/>
        <v>77462.718767322978</v>
      </c>
      <c r="F28" s="69"/>
      <c r="G28" s="36"/>
      <c r="H28" s="69"/>
      <c r="I28" s="69"/>
      <c r="J28" s="69">
        <f t="shared" si="4"/>
        <v>0</v>
      </c>
      <c r="K28" s="98"/>
      <c r="L28" s="98"/>
      <c r="M28" s="98"/>
      <c r="N28" s="98"/>
      <c r="O28" s="69">
        <f t="shared" si="2"/>
        <v>77462.718767322978</v>
      </c>
      <c r="P28" s="36"/>
      <c r="Q28" s="36"/>
    </row>
    <row r="29" spans="1:17" x14ac:dyDescent="0.3">
      <c r="A29" s="36" t="s">
        <v>53</v>
      </c>
      <c r="B29" s="36">
        <v>28</v>
      </c>
      <c r="C29" s="69">
        <v>276972.75364112685</v>
      </c>
      <c r="D29" s="69"/>
      <c r="E29" s="69">
        <f t="shared" si="0"/>
        <v>276972.75364112685</v>
      </c>
      <c r="F29" s="69">
        <v>49662.810742969101</v>
      </c>
      <c r="G29" s="69">
        <v>44775.322071839815</v>
      </c>
      <c r="H29" s="69"/>
      <c r="I29" s="69"/>
      <c r="J29" s="69">
        <f t="shared" si="4"/>
        <v>94438.132814808923</v>
      </c>
      <c r="K29" s="69"/>
      <c r="L29" s="69"/>
      <c r="M29" s="69"/>
      <c r="N29" s="69"/>
      <c r="O29" s="69">
        <f t="shared" si="2"/>
        <v>371410.88645593578</v>
      </c>
      <c r="P29" s="36"/>
      <c r="Q29" s="36"/>
    </row>
    <row r="30" spans="1:17" x14ac:dyDescent="0.3">
      <c r="A30" s="36" t="s">
        <v>54</v>
      </c>
      <c r="B30" s="36">
        <v>29</v>
      </c>
      <c r="C30" s="69">
        <v>77462.718767322978</v>
      </c>
      <c r="D30" s="69"/>
      <c r="E30" s="69">
        <f t="shared" si="0"/>
        <v>77462.718767322978</v>
      </c>
      <c r="F30" s="69"/>
      <c r="G30" s="36"/>
      <c r="H30" s="69"/>
      <c r="I30" s="69"/>
      <c r="J30" s="69">
        <f t="shared" si="4"/>
        <v>0</v>
      </c>
      <c r="K30" s="98"/>
      <c r="L30" s="98"/>
      <c r="M30" s="98"/>
      <c r="N30" s="98"/>
      <c r="O30" s="69">
        <f t="shared" si="2"/>
        <v>77462.718767322978</v>
      </c>
      <c r="P30" s="36"/>
      <c r="Q30" s="36"/>
    </row>
    <row r="31" spans="1:17" x14ac:dyDescent="0.3">
      <c r="A31" s="36" t="s">
        <v>55</v>
      </c>
      <c r="B31" s="36">
        <v>30</v>
      </c>
      <c r="C31" s="69">
        <v>110465.78756085968</v>
      </c>
      <c r="D31" s="69"/>
      <c r="E31" s="69">
        <f t="shared" si="0"/>
        <v>110465.78756085968</v>
      </c>
      <c r="F31" s="69">
        <v>11450.99593061534</v>
      </c>
      <c r="G31" s="69">
        <v>10324.063885353416</v>
      </c>
      <c r="H31" s="69"/>
      <c r="I31" s="69"/>
      <c r="J31" s="69">
        <f t="shared" si="4"/>
        <v>21775.059815968758</v>
      </c>
      <c r="K31" s="69"/>
      <c r="L31" s="69"/>
      <c r="M31" s="69"/>
      <c r="N31" s="69"/>
      <c r="O31" s="69">
        <f t="shared" si="2"/>
        <v>132240.84737682843</v>
      </c>
      <c r="P31" s="36"/>
      <c r="Q31" s="36"/>
    </row>
    <row r="32" spans="1:17" x14ac:dyDescent="0.3">
      <c r="A32" s="36" t="s">
        <v>56</v>
      </c>
      <c r="B32" s="36">
        <v>31</v>
      </c>
      <c r="C32" s="69">
        <v>96455.492931007815</v>
      </c>
      <c r="D32" s="69"/>
      <c r="E32" s="69">
        <f t="shared" si="0"/>
        <v>96455.492931007815</v>
      </c>
      <c r="F32" s="69">
        <v>14042.869015205304</v>
      </c>
      <c r="G32" s="69">
        <v>12660.861790982999</v>
      </c>
      <c r="H32" s="69"/>
      <c r="I32" s="69"/>
      <c r="J32" s="69">
        <f t="shared" si="4"/>
        <v>26703.730806188301</v>
      </c>
      <c r="K32" s="98"/>
      <c r="L32" s="98"/>
      <c r="M32" s="98"/>
      <c r="N32" s="98"/>
      <c r="O32" s="69">
        <f t="shared" si="2"/>
        <v>123159.22373719612</v>
      </c>
      <c r="P32" s="36"/>
      <c r="Q32" s="36"/>
    </row>
    <row r="33" spans="1:17" x14ac:dyDescent="0.3">
      <c r="A33" s="36" t="s">
        <v>57</v>
      </c>
      <c r="B33" s="36">
        <v>32</v>
      </c>
      <c r="C33" s="69">
        <v>368039.7074665234</v>
      </c>
      <c r="D33" s="69"/>
      <c r="E33" s="69">
        <f t="shared" si="0"/>
        <v>368039.7074665234</v>
      </c>
      <c r="F33" s="69">
        <v>26513.033521722322</v>
      </c>
      <c r="G33" s="69">
        <v>23903.79435390027</v>
      </c>
      <c r="H33" s="69"/>
      <c r="I33" s="69"/>
      <c r="J33" s="69">
        <f t="shared" si="4"/>
        <v>50416.827875622592</v>
      </c>
      <c r="K33" s="69"/>
      <c r="L33" s="69"/>
      <c r="M33" s="69"/>
      <c r="N33" s="69"/>
      <c r="O33" s="69">
        <f t="shared" si="2"/>
        <v>418456.535342146</v>
      </c>
      <c r="P33" s="36"/>
      <c r="Q33" s="36"/>
    </row>
    <row r="34" spans="1:17" x14ac:dyDescent="0.3">
      <c r="A34" s="36" t="s">
        <v>58</v>
      </c>
      <c r="B34" s="36">
        <v>33</v>
      </c>
      <c r="C34" s="69">
        <v>101844.03203661912</v>
      </c>
      <c r="D34" s="69"/>
      <c r="E34" s="69">
        <f t="shared" si="0"/>
        <v>101844.03203661912</v>
      </c>
      <c r="F34" s="69"/>
      <c r="G34" s="36"/>
      <c r="H34" s="69"/>
      <c r="I34" s="69"/>
      <c r="J34" s="69">
        <f t="shared" si="4"/>
        <v>0</v>
      </c>
      <c r="K34" s="98"/>
      <c r="L34" s="98"/>
      <c r="M34" s="98"/>
      <c r="N34" s="98"/>
      <c r="O34" s="69">
        <f t="shared" si="2"/>
        <v>101844.03203661912</v>
      </c>
      <c r="P34" s="36"/>
      <c r="Q34" s="36"/>
    </row>
    <row r="35" spans="1:17" x14ac:dyDescent="0.3">
      <c r="A35" s="36" t="s">
        <v>59</v>
      </c>
      <c r="B35" s="36">
        <v>34</v>
      </c>
      <c r="C35" s="69">
        <v>77462.718767322978</v>
      </c>
      <c r="D35" s="69"/>
      <c r="E35" s="69">
        <f t="shared" si="0"/>
        <v>77462.718767322978</v>
      </c>
      <c r="F35" s="69"/>
      <c r="G35" s="36"/>
      <c r="H35" s="69"/>
      <c r="I35" s="69"/>
      <c r="J35" s="69">
        <f t="shared" si="4"/>
        <v>0</v>
      </c>
      <c r="K35" s="69"/>
      <c r="L35" s="69"/>
      <c r="M35" s="69"/>
      <c r="N35" s="69"/>
      <c r="O35" s="69">
        <f t="shared" si="2"/>
        <v>77462.718767322978</v>
      </c>
      <c r="P35" s="36"/>
      <c r="Q35" s="36"/>
    </row>
    <row r="36" spans="1:17" x14ac:dyDescent="0.3">
      <c r="A36" s="36" t="s">
        <v>60</v>
      </c>
      <c r="B36" s="36">
        <v>35</v>
      </c>
      <c r="C36" s="69">
        <v>750628.54023464408</v>
      </c>
      <c r="D36" s="69"/>
      <c r="E36" s="69">
        <f t="shared" si="0"/>
        <v>750628.54023464408</v>
      </c>
      <c r="F36" s="69">
        <v>68760.755894646747</v>
      </c>
      <c r="G36" s="69">
        <v>61993.772503539549</v>
      </c>
      <c r="H36" s="69"/>
      <c r="I36" s="69"/>
      <c r="J36" s="69">
        <f t="shared" si="4"/>
        <v>130754.52839818629</v>
      </c>
      <c r="K36" s="98"/>
      <c r="L36" s="98"/>
      <c r="M36" s="98"/>
      <c r="N36" s="98"/>
      <c r="O36" s="69">
        <f t="shared" si="2"/>
        <v>881383.0686328304</v>
      </c>
      <c r="P36" s="36"/>
      <c r="Q36" s="36"/>
    </row>
    <row r="37" spans="1:17" x14ac:dyDescent="0.3">
      <c r="A37" s="36" t="s">
        <v>61</v>
      </c>
      <c r="B37" s="36">
        <v>36</v>
      </c>
      <c r="C37" s="69">
        <v>1221051.110409532</v>
      </c>
      <c r="D37" s="69"/>
      <c r="E37" s="69">
        <f t="shared" si="0"/>
        <v>1221051.110409532</v>
      </c>
      <c r="F37" s="69"/>
      <c r="G37" s="36"/>
      <c r="H37" s="69"/>
      <c r="I37" s="69"/>
      <c r="J37" s="69">
        <f t="shared" si="4"/>
        <v>0</v>
      </c>
      <c r="K37" s="69"/>
      <c r="L37" s="69"/>
      <c r="M37" s="69"/>
      <c r="N37" s="69"/>
      <c r="O37" s="69">
        <f t="shared" si="2"/>
        <v>1221051.110409532</v>
      </c>
      <c r="P37" s="36"/>
      <c r="Q37" s="36"/>
    </row>
    <row r="38" spans="1:17" x14ac:dyDescent="0.3">
      <c r="A38" s="36" t="s">
        <v>62</v>
      </c>
      <c r="B38" s="36">
        <v>37</v>
      </c>
      <c r="C38" s="69">
        <v>532930.10406883527</v>
      </c>
      <c r="D38" s="69"/>
      <c r="E38" s="69">
        <f t="shared" si="0"/>
        <v>532930.10406883527</v>
      </c>
      <c r="F38" s="69">
        <v>27412.449789955561</v>
      </c>
      <c r="G38" s="69">
        <v>24714.695961850375</v>
      </c>
      <c r="H38" s="69"/>
      <c r="I38" s="69"/>
      <c r="J38" s="69">
        <f t="shared" si="4"/>
        <v>52127.145751805932</v>
      </c>
      <c r="K38" s="98"/>
      <c r="L38" s="98"/>
      <c r="M38" s="98"/>
      <c r="N38" s="98"/>
      <c r="O38" s="69">
        <f t="shared" si="2"/>
        <v>585057.24982064124</v>
      </c>
      <c r="P38" s="36"/>
      <c r="Q38" s="36"/>
    </row>
    <row r="39" spans="1:17" x14ac:dyDescent="0.3">
      <c r="A39" s="36" t="s">
        <v>63</v>
      </c>
      <c r="B39" s="36">
        <v>38</v>
      </c>
      <c r="C39" s="69">
        <v>324931.084770758</v>
      </c>
      <c r="D39" s="69"/>
      <c r="E39" s="69">
        <f t="shared" si="0"/>
        <v>324931.084770758</v>
      </c>
      <c r="F39" s="69"/>
      <c r="G39" s="36"/>
      <c r="H39" s="69"/>
      <c r="I39" s="69"/>
      <c r="J39" s="69">
        <f t="shared" si="4"/>
        <v>0</v>
      </c>
      <c r="K39" s="69"/>
      <c r="L39" s="69"/>
      <c r="M39" s="69"/>
      <c r="N39" s="69"/>
      <c r="O39" s="69">
        <f t="shared" si="2"/>
        <v>324931.084770758</v>
      </c>
      <c r="P39" s="36"/>
      <c r="Q39" s="36"/>
    </row>
    <row r="40" spans="1:17" x14ac:dyDescent="0.3">
      <c r="A40" s="36" t="s">
        <v>64</v>
      </c>
      <c r="B40" s="36">
        <v>39</v>
      </c>
      <c r="C40" s="69">
        <v>1135372.7731524657</v>
      </c>
      <c r="D40" s="69"/>
      <c r="E40" s="69">
        <f t="shared" si="0"/>
        <v>1135372.7731524657</v>
      </c>
      <c r="F40" s="69">
        <v>119292.72633875201</v>
      </c>
      <c r="G40" s="69">
        <v>107552.71726946429</v>
      </c>
      <c r="H40" s="69"/>
      <c r="I40" s="69"/>
      <c r="J40" s="69">
        <f t="shared" si="4"/>
        <v>226845.4436082163</v>
      </c>
      <c r="K40" s="98"/>
      <c r="L40" s="98"/>
      <c r="M40" s="98"/>
      <c r="N40" s="98"/>
      <c r="O40" s="69">
        <f t="shared" si="2"/>
        <v>1362218.2167606819</v>
      </c>
      <c r="P40" s="36"/>
      <c r="Q40" s="36"/>
    </row>
    <row r="41" spans="1:17" x14ac:dyDescent="0.3">
      <c r="A41" s="36" t="s">
        <v>65</v>
      </c>
      <c r="B41" s="36">
        <v>40</v>
      </c>
      <c r="C41" s="69">
        <v>1768530.3397799649</v>
      </c>
      <c r="D41" s="69"/>
      <c r="E41" s="69">
        <f t="shared" si="0"/>
        <v>1768530.3397799649</v>
      </c>
      <c r="F41" s="69">
        <v>103698.49165691638</v>
      </c>
      <c r="G41" s="69">
        <v>93493.165063352062</v>
      </c>
      <c r="H41" s="69"/>
      <c r="I41" s="69"/>
      <c r="J41" s="69">
        <f t="shared" si="4"/>
        <v>197191.65672026842</v>
      </c>
      <c r="K41" s="69"/>
      <c r="L41" s="69"/>
      <c r="M41" s="69"/>
      <c r="N41" s="69"/>
      <c r="O41" s="69">
        <f t="shared" si="2"/>
        <v>1965721.9965002332</v>
      </c>
      <c r="P41" s="36"/>
      <c r="Q41" s="36"/>
    </row>
    <row r="42" spans="1:17" x14ac:dyDescent="0.3">
      <c r="A42" s="36" t="s">
        <v>66</v>
      </c>
      <c r="B42" s="36">
        <v>41</v>
      </c>
      <c r="C42" s="69">
        <v>345946.48798417643</v>
      </c>
      <c r="D42" s="69"/>
      <c r="E42" s="69">
        <f t="shared" si="0"/>
        <v>345946.48798417643</v>
      </c>
      <c r="F42" s="69">
        <v>39145.846666666672</v>
      </c>
      <c r="G42" s="69">
        <v>38315.912000000004</v>
      </c>
      <c r="H42" s="69"/>
      <c r="I42" s="69"/>
      <c r="J42" s="69">
        <f t="shared" si="4"/>
        <v>77461.758666666676</v>
      </c>
      <c r="K42" s="98"/>
      <c r="L42" s="98"/>
      <c r="M42" s="98"/>
      <c r="N42" s="98"/>
      <c r="O42" s="69">
        <f t="shared" si="2"/>
        <v>423408.24665084312</v>
      </c>
      <c r="P42" s="36"/>
      <c r="Q42" s="36"/>
    </row>
    <row r="43" spans="1:17" x14ac:dyDescent="0.3">
      <c r="A43" s="36" t="s">
        <v>67</v>
      </c>
      <c r="B43" s="36">
        <v>42</v>
      </c>
      <c r="C43" s="69">
        <v>96994.323602753313</v>
      </c>
      <c r="D43" s="69"/>
      <c r="E43" s="69">
        <f t="shared" si="0"/>
        <v>96994.323602753313</v>
      </c>
      <c r="F43" s="69"/>
      <c r="G43" s="36"/>
      <c r="H43" s="69"/>
      <c r="I43" s="69"/>
      <c r="J43" s="69">
        <f t="shared" si="4"/>
        <v>0</v>
      </c>
      <c r="K43" s="69"/>
      <c r="L43" s="69"/>
      <c r="M43" s="69"/>
      <c r="N43" s="69"/>
      <c r="O43" s="69">
        <f t="shared" si="2"/>
        <v>96994.323602753313</v>
      </c>
      <c r="P43" s="36"/>
      <c r="Q43" s="36"/>
    </row>
    <row r="44" spans="1:17" x14ac:dyDescent="0.3">
      <c r="A44" s="36" t="s">
        <v>68</v>
      </c>
      <c r="B44" s="36">
        <v>43</v>
      </c>
      <c r="C44" s="69">
        <v>501676.37585322099</v>
      </c>
      <c r="D44" s="69"/>
      <c r="E44" s="69">
        <f t="shared" si="0"/>
        <v>501676.37585322099</v>
      </c>
      <c r="F44" s="69">
        <v>39145.846666666672</v>
      </c>
      <c r="G44" s="69">
        <v>38315.912000000004</v>
      </c>
      <c r="H44" s="69"/>
      <c r="I44" s="69"/>
      <c r="J44" s="69">
        <f t="shared" si="4"/>
        <v>77461.758666666676</v>
      </c>
      <c r="K44" s="98"/>
      <c r="L44" s="98"/>
      <c r="M44" s="98"/>
      <c r="N44" s="98"/>
      <c r="O44" s="69">
        <f t="shared" si="2"/>
        <v>579138.13451988762</v>
      </c>
      <c r="P44" s="36"/>
      <c r="Q44" s="36"/>
    </row>
    <row r="45" spans="1:17" x14ac:dyDescent="0.3">
      <c r="A45" s="36" t="s">
        <v>69</v>
      </c>
      <c r="B45" s="36">
        <v>44</v>
      </c>
      <c r="C45" s="69">
        <v>93222.3539750973</v>
      </c>
      <c r="D45" s="69"/>
      <c r="E45" s="69">
        <f t="shared" si="0"/>
        <v>93222.3539750973</v>
      </c>
      <c r="F45" s="69"/>
      <c r="G45" s="36"/>
      <c r="H45" s="69"/>
      <c r="I45" s="69"/>
      <c r="J45" s="69">
        <f t="shared" si="4"/>
        <v>0</v>
      </c>
      <c r="K45" s="69"/>
      <c r="L45" s="69"/>
      <c r="M45" s="69"/>
      <c r="N45" s="69"/>
      <c r="O45" s="69">
        <f t="shared" si="2"/>
        <v>93222.3539750973</v>
      </c>
      <c r="P45" s="36"/>
      <c r="Q45" s="36"/>
    </row>
    <row r="46" spans="1:17" x14ac:dyDescent="0.3">
      <c r="A46" s="36" t="s">
        <v>70</v>
      </c>
      <c r="B46" s="36">
        <v>45</v>
      </c>
      <c r="C46" s="69">
        <v>445635.11987109476</v>
      </c>
      <c r="D46" s="69"/>
      <c r="E46" s="69">
        <f t="shared" si="0"/>
        <v>445635.11987109476</v>
      </c>
      <c r="F46" s="69">
        <v>53610.496523688278</v>
      </c>
      <c r="G46" s="69">
        <v>48334.502465091071</v>
      </c>
      <c r="H46" s="69"/>
      <c r="I46" s="69"/>
      <c r="J46" s="69">
        <f t="shared" si="4"/>
        <v>101944.99898877935</v>
      </c>
      <c r="K46" s="98"/>
      <c r="L46" s="98"/>
      <c r="M46" s="98"/>
      <c r="N46" s="98"/>
      <c r="O46" s="69">
        <f t="shared" si="2"/>
        <v>547580.11885987408</v>
      </c>
      <c r="P46" s="36"/>
      <c r="Q46" s="36"/>
    </row>
    <row r="47" spans="1:17" x14ac:dyDescent="0.3">
      <c r="A47" s="36" t="s">
        <v>71</v>
      </c>
      <c r="B47" s="36">
        <v>46</v>
      </c>
      <c r="C47" s="69">
        <v>2719613.8051319369</v>
      </c>
      <c r="D47" s="69"/>
      <c r="E47" s="69">
        <f t="shared" si="0"/>
        <v>2719613.8051319369</v>
      </c>
      <c r="F47" s="69"/>
      <c r="G47" s="36"/>
      <c r="H47" s="69"/>
      <c r="I47" s="69"/>
      <c r="J47" s="69">
        <f t="shared" si="4"/>
        <v>0</v>
      </c>
      <c r="K47" s="69"/>
      <c r="L47" s="69"/>
      <c r="M47" s="69"/>
      <c r="N47" s="69"/>
      <c r="O47" s="69">
        <f t="shared" si="2"/>
        <v>2719613.8051319369</v>
      </c>
      <c r="P47" s="36"/>
      <c r="Q47" s="36"/>
    </row>
    <row r="48" spans="1:17" x14ac:dyDescent="0.3">
      <c r="A48" s="36" t="s">
        <v>72</v>
      </c>
      <c r="B48" s="36">
        <v>47</v>
      </c>
      <c r="C48" s="69">
        <v>77462.718767322978</v>
      </c>
      <c r="D48" s="69"/>
      <c r="E48" s="69">
        <f t="shared" si="0"/>
        <v>77462.718767322978</v>
      </c>
      <c r="F48" s="69"/>
      <c r="G48" s="36"/>
      <c r="H48" s="69"/>
      <c r="I48" s="69"/>
      <c r="J48" s="69">
        <f t="shared" si="4"/>
        <v>0</v>
      </c>
      <c r="K48" s="98"/>
      <c r="L48" s="98"/>
      <c r="M48" s="98"/>
      <c r="N48" s="98"/>
      <c r="O48" s="69">
        <f t="shared" si="2"/>
        <v>77462.718767322978</v>
      </c>
      <c r="P48" s="36"/>
      <c r="Q48" s="36"/>
    </row>
    <row r="49" spans="1:17" x14ac:dyDescent="0.3">
      <c r="A49" s="36" t="s">
        <v>73</v>
      </c>
      <c r="B49" s="36">
        <v>48</v>
      </c>
      <c r="C49" s="69">
        <v>908513.75079067075</v>
      </c>
      <c r="D49" s="69"/>
      <c r="E49" s="69">
        <f t="shared" si="0"/>
        <v>908513.75079067075</v>
      </c>
      <c r="F49" s="69"/>
      <c r="G49" s="69">
        <v>89862.772347589605</v>
      </c>
      <c r="H49" s="69"/>
      <c r="I49" s="69"/>
      <c r="J49" s="69">
        <f t="shared" si="4"/>
        <v>89862.772347589605</v>
      </c>
      <c r="K49" s="69"/>
      <c r="L49" s="69"/>
      <c r="M49" s="69"/>
      <c r="N49" s="69"/>
      <c r="O49" s="69">
        <f t="shared" si="2"/>
        <v>998376.52313826035</v>
      </c>
      <c r="P49" s="36"/>
      <c r="Q49" s="36"/>
    </row>
    <row r="50" spans="1:17" x14ac:dyDescent="0.3">
      <c r="A50" s="36" t="s">
        <v>74</v>
      </c>
      <c r="B50" s="36">
        <v>49</v>
      </c>
      <c r="C50" s="69">
        <v>311459.62081265164</v>
      </c>
      <c r="D50" s="69"/>
      <c r="E50" s="69">
        <f t="shared" si="0"/>
        <v>311459.62081265164</v>
      </c>
      <c r="F50" s="69">
        <v>29188.66952364421</v>
      </c>
      <c r="G50" s="69">
        <v>26316.111778967137</v>
      </c>
      <c r="H50" s="69"/>
      <c r="I50" s="69"/>
      <c r="J50" s="69">
        <f t="shared" si="4"/>
        <v>55504.781302611344</v>
      </c>
      <c r="K50" s="98"/>
      <c r="L50" s="98"/>
      <c r="M50" s="98"/>
      <c r="N50" s="98"/>
      <c r="O50" s="69">
        <f t="shared" si="2"/>
        <v>366964.40211526299</v>
      </c>
      <c r="P50" s="36"/>
      <c r="Q50" s="36"/>
    </row>
    <row r="51" spans="1:17" x14ac:dyDescent="0.3">
      <c r="A51" s="36" t="s">
        <v>75</v>
      </c>
      <c r="B51" s="36">
        <v>50</v>
      </c>
      <c r="C51" s="69">
        <v>124476.08219071156</v>
      </c>
      <c r="D51" s="69"/>
      <c r="E51" s="69">
        <f t="shared" si="0"/>
        <v>124476.08219071156</v>
      </c>
      <c r="F51" s="69"/>
      <c r="G51" s="36"/>
      <c r="H51" s="69"/>
      <c r="I51" s="69"/>
      <c r="J51" s="69">
        <f t="shared" si="4"/>
        <v>0</v>
      </c>
      <c r="K51" s="69"/>
      <c r="L51" s="69"/>
      <c r="M51" s="69"/>
      <c r="N51" s="69"/>
      <c r="O51" s="69">
        <f t="shared" si="2"/>
        <v>124476.08219071156</v>
      </c>
      <c r="P51" s="36"/>
      <c r="Q51" s="36"/>
    </row>
    <row r="52" spans="1:17" x14ac:dyDescent="0.3">
      <c r="A52" s="36" t="s">
        <v>76</v>
      </c>
      <c r="B52" s="36">
        <v>51</v>
      </c>
      <c r="C52" s="69">
        <v>12472395.824300386</v>
      </c>
      <c r="D52" s="69"/>
      <c r="E52" s="69">
        <f t="shared" si="0"/>
        <v>12472395.824300386</v>
      </c>
      <c r="F52" s="69">
        <v>510793.59516418452</v>
      </c>
      <c r="G52" s="69">
        <v>460524.63389715098</v>
      </c>
      <c r="H52" s="100">
        <v>1027578.475</v>
      </c>
      <c r="I52" s="69">
        <v>1005792.69</v>
      </c>
      <c r="J52" s="69">
        <f>+F52+G52+H52+I52</f>
        <v>3004689.3940613354</v>
      </c>
      <c r="K52" s="98"/>
      <c r="L52" s="98"/>
      <c r="M52" s="98"/>
      <c r="N52" s="98"/>
      <c r="O52" s="69">
        <f t="shared" si="2"/>
        <v>15477085.21836172</v>
      </c>
      <c r="P52" s="36"/>
      <c r="Q52" s="36"/>
    </row>
    <row r="53" spans="1:17" x14ac:dyDescent="0.3">
      <c r="A53" s="36" t="s">
        <v>77</v>
      </c>
      <c r="B53" s="36">
        <v>52</v>
      </c>
      <c r="C53" s="69">
        <v>152496.67145041531</v>
      </c>
      <c r="D53" s="69"/>
      <c r="E53" s="69">
        <f t="shared" si="0"/>
        <v>152496.67145041531</v>
      </c>
      <c r="F53" s="69">
        <v>19572.923333333336</v>
      </c>
      <c r="G53" s="69">
        <v>19157.956000000002</v>
      </c>
      <c r="H53" s="69"/>
      <c r="I53" s="69"/>
      <c r="J53" s="69">
        <f t="shared" ref="J53:J68" si="5">+F53+G53</f>
        <v>38730.879333333338</v>
      </c>
      <c r="K53" s="69"/>
      <c r="L53" s="69"/>
      <c r="M53" s="69"/>
      <c r="N53" s="69"/>
      <c r="O53" s="69">
        <f t="shared" si="2"/>
        <v>191227.55078374865</v>
      </c>
      <c r="P53" s="36"/>
      <c r="Q53" s="36"/>
    </row>
    <row r="54" spans="1:17" x14ac:dyDescent="0.3">
      <c r="A54" s="36" t="s">
        <v>78</v>
      </c>
      <c r="B54" s="36">
        <v>53</v>
      </c>
      <c r="C54" s="69">
        <v>77462.718767322978</v>
      </c>
      <c r="D54" s="69"/>
      <c r="E54" s="69">
        <f t="shared" si="0"/>
        <v>77462.718767322978</v>
      </c>
      <c r="F54" s="69"/>
      <c r="G54" s="36"/>
      <c r="H54" s="69"/>
      <c r="I54" s="69"/>
      <c r="J54" s="69">
        <f t="shared" si="5"/>
        <v>0</v>
      </c>
      <c r="K54" s="98"/>
      <c r="L54" s="98"/>
      <c r="M54" s="98"/>
      <c r="N54" s="98"/>
      <c r="O54" s="69">
        <f t="shared" si="2"/>
        <v>77462.718767322978</v>
      </c>
      <c r="P54" s="36"/>
      <c r="Q54" s="36"/>
    </row>
    <row r="55" spans="1:17" x14ac:dyDescent="0.3">
      <c r="A55" s="36" t="s">
        <v>79</v>
      </c>
      <c r="B55" s="36">
        <v>54</v>
      </c>
      <c r="C55" s="69">
        <v>531313.53459088004</v>
      </c>
      <c r="D55" s="69"/>
      <c r="E55" s="69">
        <f t="shared" si="0"/>
        <v>531313.53459088004</v>
      </c>
      <c r="F55" s="69">
        <v>45559.701754424917</v>
      </c>
      <c r="G55" s="69">
        <v>41076.014205260071</v>
      </c>
      <c r="H55" s="69"/>
      <c r="I55" s="69"/>
      <c r="J55" s="69">
        <f t="shared" si="5"/>
        <v>86635.715959684981</v>
      </c>
      <c r="K55" s="69"/>
      <c r="L55" s="69"/>
      <c r="M55" s="69"/>
      <c r="N55" s="69"/>
      <c r="O55" s="69">
        <f t="shared" si="2"/>
        <v>617949.25055056508</v>
      </c>
      <c r="P55" s="36"/>
      <c r="Q55" s="36"/>
    </row>
    <row r="56" spans="1:17" x14ac:dyDescent="0.3">
      <c r="A56" s="36" t="s">
        <v>80</v>
      </c>
      <c r="B56" s="36">
        <v>55</v>
      </c>
      <c r="C56" s="69">
        <v>77462.718767322978</v>
      </c>
      <c r="D56" s="69"/>
      <c r="E56" s="69">
        <f t="shared" si="0"/>
        <v>77462.718767322978</v>
      </c>
      <c r="F56" s="69"/>
      <c r="G56" s="36"/>
      <c r="H56" s="69"/>
      <c r="I56" s="69"/>
      <c r="J56" s="69">
        <f t="shared" si="5"/>
        <v>0</v>
      </c>
      <c r="K56" s="98"/>
      <c r="L56" s="98"/>
      <c r="M56" s="98"/>
      <c r="N56" s="98"/>
      <c r="O56" s="69">
        <f t="shared" si="2"/>
        <v>77462.718767322978</v>
      </c>
      <c r="P56" s="36"/>
      <c r="Q56" s="36"/>
    </row>
    <row r="57" spans="1:17" x14ac:dyDescent="0.3">
      <c r="A57" s="36" t="s">
        <v>81</v>
      </c>
      <c r="B57" s="36">
        <v>56</v>
      </c>
      <c r="C57" s="69">
        <v>229014.42251149568</v>
      </c>
      <c r="D57" s="69"/>
      <c r="E57" s="69">
        <f t="shared" si="0"/>
        <v>229014.42251149568</v>
      </c>
      <c r="F57" s="69"/>
      <c r="G57" s="36"/>
      <c r="H57" s="69"/>
      <c r="I57" s="69"/>
      <c r="J57" s="69">
        <f t="shared" si="5"/>
        <v>0</v>
      </c>
      <c r="K57" s="69"/>
      <c r="L57" s="69"/>
      <c r="M57" s="69"/>
      <c r="N57" s="69"/>
      <c r="O57" s="69">
        <f t="shared" si="2"/>
        <v>229014.42251149568</v>
      </c>
      <c r="P57" s="36"/>
      <c r="Q57" s="36"/>
    </row>
    <row r="58" spans="1:17" x14ac:dyDescent="0.3">
      <c r="A58" s="36" t="s">
        <v>82</v>
      </c>
      <c r="B58" s="36">
        <v>57</v>
      </c>
      <c r="C58" s="69">
        <v>77462.718767322978</v>
      </c>
      <c r="D58" s="69"/>
      <c r="E58" s="69">
        <f t="shared" si="0"/>
        <v>77462.718767322978</v>
      </c>
      <c r="F58" s="69"/>
      <c r="G58" s="36"/>
      <c r="H58" s="69"/>
      <c r="I58" s="69"/>
      <c r="J58" s="69">
        <f t="shared" si="5"/>
        <v>0</v>
      </c>
      <c r="K58" s="98"/>
      <c r="L58" s="98"/>
      <c r="M58" s="98"/>
      <c r="N58" s="98"/>
      <c r="O58" s="69">
        <f t="shared" si="2"/>
        <v>77462.718767322978</v>
      </c>
      <c r="P58" s="36"/>
      <c r="Q58" s="36"/>
    </row>
    <row r="59" spans="1:17" x14ac:dyDescent="0.3">
      <c r="A59" s="36" t="s">
        <v>83</v>
      </c>
      <c r="B59" s="36">
        <v>58</v>
      </c>
      <c r="C59" s="69">
        <v>89450.384347441272</v>
      </c>
      <c r="D59" s="69"/>
      <c r="E59" s="69">
        <f t="shared" si="0"/>
        <v>89450.384347441272</v>
      </c>
      <c r="F59" s="69"/>
      <c r="G59" s="36"/>
      <c r="H59" s="69"/>
      <c r="I59" s="69"/>
      <c r="J59" s="69">
        <f t="shared" si="5"/>
        <v>0</v>
      </c>
      <c r="K59" s="69"/>
      <c r="L59" s="69"/>
      <c r="M59" s="69"/>
      <c r="N59" s="69"/>
      <c r="O59" s="69">
        <f t="shared" si="2"/>
        <v>89450.384347441272</v>
      </c>
      <c r="P59" s="36"/>
      <c r="Q59" s="36"/>
    </row>
    <row r="60" spans="1:17" x14ac:dyDescent="0.3">
      <c r="A60" s="36" t="s">
        <v>84</v>
      </c>
      <c r="B60" s="36">
        <v>59</v>
      </c>
      <c r="C60" s="69">
        <v>80289.798151455194</v>
      </c>
      <c r="D60" s="69"/>
      <c r="E60" s="69">
        <f t="shared" si="0"/>
        <v>80289.798151455194</v>
      </c>
      <c r="F60" s="69">
        <v>13072.429436838922</v>
      </c>
      <c r="G60" s="69">
        <v>11785.926522065163</v>
      </c>
      <c r="H60" s="69"/>
      <c r="I60" s="69"/>
      <c r="J60" s="69">
        <f t="shared" si="5"/>
        <v>24858.355958904085</v>
      </c>
      <c r="K60" s="98"/>
      <c r="L60" s="98"/>
      <c r="M60" s="98"/>
      <c r="N60" s="98"/>
      <c r="O60" s="69">
        <f t="shared" si="2"/>
        <v>105148.15411035928</v>
      </c>
      <c r="P60" s="36"/>
      <c r="Q60" s="36"/>
    </row>
    <row r="61" spans="1:17" x14ac:dyDescent="0.3">
      <c r="A61" s="36" t="s">
        <v>85</v>
      </c>
      <c r="B61" s="36">
        <v>60</v>
      </c>
      <c r="C61" s="69">
        <v>77462.718767322978</v>
      </c>
      <c r="D61" s="69"/>
      <c r="E61" s="69">
        <f t="shared" si="0"/>
        <v>77462.718767322978</v>
      </c>
      <c r="F61" s="69"/>
      <c r="G61" s="69"/>
      <c r="H61" s="69"/>
      <c r="I61" s="69"/>
      <c r="J61" s="69">
        <f t="shared" si="5"/>
        <v>0</v>
      </c>
      <c r="K61" s="69"/>
      <c r="L61" s="69"/>
      <c r="M61" s="69"/>
      <c r="N61" s="69"/>
      <c r="O61" s="69">
        <f t="shared" si="2"/>
        <v>77462.718767322978</v>
      </c>
      <c r="P61" s="36"/>
      <c r="Q61" s="36"/>
    </row>
    <row r="62" spans="1:17" x14ac:dyDescent="0.3">
      <c r="A62" s="36" t="s">
        <v>86</v>
      </c>
      <c r="B62" s="36">
        <v>61</v>
      </c>
      <c r="C62" s="69">
        <v>181056.09138186453</v>
      </c>
      <c r="D62" s="69"/>
      <c r="E62" s="69">
        <f t="shared" si="0"/>
        <v>181056.09138186453</v>
      </c>
      <c r="F62" s="69"/>
      <c r="G62" s="69"/>
      <c r="H62" s="69"/>
      <c r="I62" s="69"/>
      <c r="J62" s="69">
        <f t="shared" si="5"/>
        <v>0</v>
      </c>
      <c r="K62" s="98"/>
      <c r="L62" s="98"/>
      <c r="M62" s="98"/>
      <c r="N62" s="98"/>
      <c r="O62" s="69">
        <f t="shared" si="2"/>
        <v>181056.09138186453</v>
      </c>
      <c r="P62" s="36"/>
      <c r="Q62" s="36"/>
    </row>
    <row r="63" spans="1:17" x14ac:dyDescent="0.3">
      <c r="A63" s="36" t="s">
        <v>87</v>
      </c>
      <c r="B63" s="36">
        <v>62</v>
      </c>
      <c r="C63" s="69">
        <v>77462.718767322978</v>
      </c>
      <c r="D63" s="69"/>
      <c r="E63" s="69">
        <f t="shared" si="0"/>
        <v>77462.718767322978</v>
      </c>
      <c r="F63" s="69"/>
      <c r="G63" s="69"/>
      <c r="H63" s="69"/>
      <c r="I63" s="69"/>
      <c r="J63" s="69">
        <f t="shared" si="5"/>
        <v>0</v>
      </c>
      <c r="K63" s="69"/>
      <c r="L63" s="69"/>
      <c r="M63" s="69"/>
      <c r="N63" s="69"/>
      <c r="O63" s="69">
        <f t="shared" si="2"/>
        <v>77462.718767322978</v>
      </c>
      <c r="P63" s="36"/>
      <c r="Q63" s="36"/>
    </row>
    <row r="64" spans="1:17" x14ac:dyDescent="0.3">
      <c r="A64" s="36" t="s">
        <v>88</v>
      </c>
      <c r="B64" s="36">
        <v>63</v>
      </c>
      <c r="C64" s="69">
        <v>887498.34757725231</v>
      </c>
      <c r="D64" s="69"/>
      <c r="E64" s="69">
        <f t="shared" si="0"/>
        <v>887498.34757725231</v>
      </c>
      <c r="F64" s="69">
        <v>66675.600686387901</v>
      </c>
      <c r="G64" s="69">
        <v>60113.82</v>
      </c>
      <c r="H64" s="69"/>
      <c r="I64" s="69"/>
      <c r="J64" s="69">
        <f t="shared" si="5"/>
        <v>126789.42068638789</v>
      </c>
      <c r="K64" s="98"/>
      <c r="L64" s="98"/>
      <c r="M64" s="98"/>
      <c r="N64" s="98"/>
      <c r="O64" s="69">
        <f t="shared" si="2"/>
        <v>1014287.7682636402</v>
      </c>
      <c r="P64" s="36"/>
      <c r="Q64" s="36"/>
    </row>
    <row r="65" spans="1:17" x14ac:dyDescent="0.3">
      <c r="A65" s="36" t="s">
        <v>89</v>
      </c>
      <c r="B65" s="36">
        <v>64</v>
      </c>
      <c r="C65" s="69">
        <v>169740.10503617767</v>
      </c>
      <c r="D65" s="69"/>
      <c r="E65" s="69">
        <f t="shared" si="0"/>
        <v>169740.10503617767</v>
      </c>
      <c r="F65" s="69"/>
      <c r="G65" s="69"/>
      <c r="H65" s="69"/>
      <c r="I65" s="69"/>
      <c r="J65" s="69">
        <f t="shared" si="5"/>
        <v>0</v>
      </c>
      <c r="K65" s="69"/>
      <c r="L65" s="69"/>
      <c r="M65" s="69"/>
      <c r="N65" s="69"/>
      <c r="O65" s="69">
        <f t="shared" si="2"/>
        <v>169740.10503617767</v>
      </c>
      <c r="P65" s="36"/>
      <c r="Q65" s="36"/>
    </row>
    <row r="66" spans="1:17" x14ac:dyDescent="0.3">
      <c r="A66" s="36" t="s">
        <v>90</v>
      </c>
      <c r="B66" s="36">
        <v>65</v>
      </c>
      <c r="C66" s="69">
        <v>1738893.1810423059</v>
      </c>
      <c r="D66" s="69"/>
      <c r="E66" s="69">
        <f t="shared" ref="E66:E68" si="6">+C66</f>
        <v>1738893.1810423059</v>
      </c>
      <c r="F66" s="69">
        <v>112956.68269844326</v>
      </c>
      <c r="G66" s="69">
        <v>101840.23</v>
      </c>
      <c r="H66" s="69"/>
      <c r="I66" s="69"/>
      <c r="J66" s="69">
        <f t="shared" si="5"/>
        <v>214796.91269844325</v>
      </c>
      <c r="K66" s="98"/>
      <c r="L66" s="98"/>
      <c r="M66" s="98"/>
      <c r="N66" s="98"/>
      <c r="O66" s="69">
        <f t="shared" ref="O66:O68" si="7">SUM(E66+J66)</f>
        <v>1953690.0937407492</v>
      </c>
      <c r="P66" s="36"/>
      <c r="Q66" s="36"/>
    </row>
    <row r="67" spans="1:17" x14ac:dyDescent="0.3">
      <c r="A67" s="36" t="s">
        <v>91</v>
      </c>
      <c r="B67" s="36">
        <v>66</v>
      </c>
      <c r="C67" s="69">
        <v>109926.95688911418</v>
      </c>
      <c r="D67" s="69"/>
      <c r="E67" s="69">
        <f t="shared" si="6"/>
        <v>109926.95688911418</v>
      </c>
      <c r="F67" s="69">
        <v>9786.461666666668</v>
      </c>
      <c r="G67" s="69">
        <v>9578.98</v>
      </c>
      <c r="H67" s="69"/>
      <c r="I67" s="69"/>
      <c r="J67" s="69">
        <f t="shared" si="5"/>
        <v>19365.441666666666</v>
      </c>
      <c r="K67" s="69"/>
      <c r="L67" s="69"/>
      <c r="M67" s="69"/>
      <c r="N67" s="69"/>
      <c r="O67" s="69">
        <f t="shared" si="7"/>
        <v>129292.39855578085</v>
      </c>
      <c r="P67" s="36"/>
      <c r="Q67" s="36"/>
    </row>
    <row r="68" spans="1:17" x14ac:dyDescent="0.3">
      <c r="A68" s="36" t="s">
        <v>92</v>
      </c>
      <c r="B68" s="36">
        <v>67</v>
      </c>
      <c r="C68" s="69">
        <v>1385402.6763400985</v>
      </c>
      <c r="D68" s="69"/>
      <c r="E68" s="69">
        <f t="shared" si="6"/>
        <v>1385402.6763400985</v>
      </c>
      <c r="F68" s="69">
        <v>145371.02076481629</v>
      </c>
      <c r="G68" s="69">
        <v>131064.56</v>
      </c>
      <c r="H68" s="36"/>
      <c r="I68" s="69"/>
      <c r="J68" s="69">
        <f t="shared" si="5"/>
        <v>276435.58076481626</v>
      </c>
      <c r="K68" s="98"/>
      <c r="L68" s="98"/>
      <c r="M68" s="98"/>
      <c r="N68" s="98"/>
      <c r="O68" s="69">
        <f t="shared" si="7"/>
        <v>1661838.2571049146</v>
      </c>
      <c r="P68" s="36"/>
      <c r="Q68" s="36"/>
    </row>
    <row r="69" spans="1:17" x14ac:dyDescent="0.3">
      <c r="A69" s="70" t="s">
        <v>363</v>
      </c>
      <c r="B69" s="70"/>
      <c r="C69" s="64">
        <f>SUM(C2:C68)</f>
        <v>54223231.690279804</v>
      </c>
      <c r="D69" s="64"/>
      <c r="E69" s="64">
        <f>SUM(E2:E68)</f>
        <v>54223231.690279804</v>
      </c>
      <c r="F69" s="64">
        <f>SUM(F2:F68)</f>
        <v>2955297.5846229889</v>
      </c>
      <c r="G69" s="69">
        <f>SUM(G2:G68)</f>
        <v>2842615.9411807763</v>
      </c>
      <c r="H69" s="69">
        <f>SUM(H2:H67)</f>
        <v>1467969.25</v>
      </c>
      <c r="I69" s="64">
        <f t="shared" ref="I69:O69" si="8">SUM(I2:I68)</f>
        <v>1436846.7</v>
      </c>
      <c r="J69" s="64">
        <f t="shared" si="8"/>
        <v>8702729.4758037664</v>
      </c>
      <c r="K69" s="64">
        <f t="shared" si="8"/>
        <v>0</v>
      </c>
      <c r="L69" s="64">
        <f t="shared" si="8"/>
        <v>0</v>
      </c>
      <c r="M69" s="64">
        <f t="shared" si="8"/>
        <v>0</v>
      </c>
      <c r="N69" s="64">
        <f t="shared" si="8"/>
        <v>0</v>
      </c>
      <c r="O69" s="64">
        <f t="shared" si="8"/>
        <v>62925961.166083544</v>
      </c>
      <c r="P69" s="36"/>
      <c r="Q69" s="36"/>
    </row>
    <row r="70" spans="1:17" x14ac:dyDescent="0.3">
      <c r="A70" s="70"/>
      <c r="B70" s="70"/>
      <c r="C70" s="64"/>
      <c r="D70" s="64"/>
      <c r="E70" s="64"/>
      <c r="F70" s="64"/>
      <c r="G70" s="64"/>
      <c r="H70" s="64"/>
      <c r="I70" s="64"/>
      <c r="J70" s="64"/>
      <c r="K70" s="64"/>
      <c r="L70" s="64"/>
      <c r="M70" s="64"/>
      <c r="N70" s="64"/>
      <c r="O70" s="64"/>
      <c r="P70" s="36"/>
      <c r="Q70" s="36"/>
    </row>
    <row r="71" spans="1:17" x14ac:dyDescent="0.3">
      <c r="A71" s="70"/>
      <c r="B71" s="70"/>
      <c r="C71" s="64"/>
      <c r="D71" s="64"/>
      <c r="E71" s="64"/>
      <c r="F71" s="64"/>
      <c r="G71" s="64"/>
      <c r="H71" s="64"/>
      <c r="I71" s="64"/>
      <c r="J71" s="64"/>
      <c r="K71" s="64"/>
      <c r="L71" s="64"/>
      <c r="M71" s="64"/>
      <c r="N71" s="64"/>
      <c r="O71" s="64"/>
      <c r="P71" s="36"/>
      <c r="Q71" s="36"/>
    </row>
    <row r="72" spans="1:17" x14ac:dyDescent="0.3">
      <c r="A72" s="36"/>
      <c r="B72" s="36"/>
      <c r="C72" s="36"/>
      <c r="D72" s="36"/>
      <c r="E72" s="36"/>
      <c r="F72" s="36"/>
      <c r="G72" s="36"/>
      <c r="H72" s="36"/>
      <c r="I72" s="36"/>
      <c r="J72" s="36"/>
      <c r="K72" s="36"/>
      <c r="L72" s="36"/>
      <c r="M72" s="36"/>
      <c r="N72" s="36"/>
      <c r="O72" s="36"/>
      <c r="P72" s="36"/>
      <c r="Q72" s="36"/>
    </row>
    <row r="73" spans="1:17" ht="28.8" x14ac:dyDescent="0.3">
      <c r="A73" s="93" t="s">
        <v>364</v>
      </c>
      <c r="B73" s="93" t="s">
        <v>350</v>
      </c>
      <c r="C73" s="93" t="s">
        <v>353</v>
      </c>
      <c r="D73" s="93" t="s">
        <v>354</v>
      </c>
      <c r="E73" s="93"/>
      <c r="F73" s="95" t="s">
        <v>365</v>
      </c>
      <c r="G73" s="93"/>
      <c r="H73" s="93"/>
      <c r="I73" s="93" t="s">
        <v>359</v>
      </c>
      <c r="J73" s="93"/>
      <c r="K73" s="97"/>
      <c r="L73" s="93" t="s">
        <v>366</v>
      </c>
      <c r="M73" s="36"/>
      <c r="N73" s="97" t="s">
        <v>367</v>
      </c>
      <c r="O73" s="93" t="s">
        <v>366</v>
      </c>
      <c r="P73" s="36"/>
      <c r="Q73" s="36"/>
    </row>
    <row r="74" spans="1:17" x14ac:dyDescent="0.3">
      <c r="A74" s="36" t="s">
        <v>263</v>
      </c>
      <c r="B74" s="36">
        <v>68</v>
      </c>
      <c r="C74" s="69">
        <v>178962.07629058108</v>
      </c>
      <c r="D74" s="69">
        <v>161349.80047802409</v>
      </c>
      <c r="E74" s="69"/>
      <c r="F74" s="69">
        <f t="shared" ref="F74:F83" si="9">+C74+D74</f>
        <v>340311.8767686052</v>
      </c>
      <c r="G74" s="69"/>
      <c r="H74" s="69"/>
      <c r="I74" s="69"/>
      <c r="J74" s="69"/>
      <c r="K74" s="98"/>
      <c r="L74" s="98"/>
      <c r="M74" s="101">
        <f t="shared" ref="M74:M83" si="10">SUM(F74+I74+J74+L74)</f>
        <v>340311.8767686052</v>
      </c>
      <c r="N74" s="36"/>
      <c r="O74" s="69">
        <f t="shared" ref="O74:O83" si="11">F74</f>
        <v>340311.8767686052</v>
      </c>
      <c r="P74" s="36"/>
      <c r="Q74" s="36"/>
    </row>
    <row r="75" spans="1:17" x14ac:dyDescent="0.3">
      <c r="A75" s="36" t="s">
        <v>264</v>
      </c>
      <c r="B75" s="36">
        <v>69</v>
      </c>
      <c r="C75" s="69">
        <v>159666.86330377465</v>
      </c>
      <c r="D75" s="69">
        <v>143953.49601993797</v>
      </c>
      <c r="E75" s="69"/>
      <c r="F75" s="69">
        <f t="shared" si="9"/>
        <v>303620.35932371265</v>
      </c>
      <c r="G75" s="69"/>
      <c r="H75" s="69"/>
      <c r="I75" s="69"/>
      <c r="J75" s="69"/>
      <c r="K75" s="69"/>
      <c r="L75" s="69"/>
      <c r="M75" s="101">
        <f t="shared" si="10"/>
        <v>303620.35932371265</v>
      </c>
      <c r="N75" s="36"/>
      <c r="O75" s="69">
        <f t="shared" si="11"/>
        <v>303620.35932371265</v>
      </c>
      <c r="P75" s="36"/>
      <c r="Q75" s="36"/>
    </row>
    <row r="76" spans="1:17" x14ac:dyDescent="0.3">
      <c r="A76" s="36" t="s">
        <v>265</v>
      </c>
      <c r="B76" s="36">
        <v>70</v>
      </c>
      <c r="C76" s="69">
        <v>103677.86173627451</v>
      </c>
      <c r="D76" s="69">
        <v>93474.5654044275</v>
      </c>
      <c r="E76" s="69"/>
      <c r="F76" s="69">
        <f t="shared" si="9"/>
        <v>197152.42714070203</v>
      </c>
      <c r="G76" s="69"/>
      <c r="H76" s="69"/>
      <c r="I76" s="69"/>
      <c r="J76" s="69"/>
      <c r="K76" s="98"/>
      <c r="L76" s="98"/>
      <c r="M76" s="101">
        <f t="shared" si="10"/>
        <v>197152.42714070203</v>
      </c>
      <c r="N76" s="36"/>
      <c r="O76" s="69">
        <f t="shared" si="11"/>
        <v>197152.42714070203</v>
      </c>
      <c r="P76" s="36"/>
      <c r="Q76" s="36"/>
    </row>
    <row r="77" spans="1:17" x14ac:dyDescent="0.3">
      <c r="A77" s="36" t="s">
        <v>266</v>
      </c>
      <c r="B77" s="36">
        <v>71</v>
      </c>
      <c r="C77" s="69">
        <v>98171.191523967078</v>
      </c>
      <c r="D77" s="69">
        <v>88509.825620053161</v>
      </c>
      <c r="E77" s="69"/>
      <c r="F77" s="69">
        <f t="shared" si="9"/>
        <v>186681.01714402024</v>
      </c>
      <c r="G77" s="69"/>
      <c r="H77" s="69"/>
      <c r="I77" s="69"/>
      <c r="J77" s="69"/>
      <c r="K77" s="69"/>
      <c r="L77" s="69"/>
      <c r="M77" s="101">
        <f t="shared" si="10"/>
        <v>186681.01714402024</v>
      </c>
      <c r="N77" s="36"/>
      <c r="O77" s="69">
        <f t="shared" si="11"/>
        <v>186681.01714402024</v>
      </c>
      <c r="P77" s="36"/>
      <c r="Q77" s="36"/>
    </row>
    <row r="78" spans="1:17" x14ac:dyDescent="0.3">
      <c r="A78" s="36" t="s">
        <v>368</v>
      </c>
      <c r="B78" s="36">
        <v>72</v>
      </c>
      <c r="C78" s="69">
        <v>74978.62674318823</v>
      </c>
      <c r="D78" s="69">
        <v>67599.7212140435</v>
      </c>
      <c r="E78" s="69"/>
      <c r="F78" s="69">
        <f t="shared" si="9"/>
        <v>142578.34795723174</v>
      </c>
      <c r="G78" s="69"/>
      <c r="H78" s="69"/>
      <c r="I78" s="102"/>
      <c r="J78" s="69"/>
      <c r="K78" s="98"/>
      <c r="L78" s="98"/>
      <c r="M78" s="101">
        <f t="shared" si="10"/>
        <v>142578.34795723174</v>
      </c>
      <c r="N78" s="36"/>
      <c r="O78" s="69">
        <f t="shared" si="11"/>
        <v>142578.34795723174</v>
      </c>
      <c r="P78" s="36"/>
      <c r="Q78" s="36"/>
    </row>
    <row r="79" spans="1:17" x14ac:dyDescent="0.3">
      <c r="A79" s="36" t="s">
        <v>267</v>
      </c>
      <c r="B79" s="36">
        <v>73</v>
      </c>
      <c r="C79" s="69">
        <v>147926.09102443259</v>
      </c>
      <c r="D79" s="69">
        <v>133368.17367681835</v>
      </c>
      <c r="E79" s="69"/>
      <c r="F79" s="69">
        <f t="shared" si="9"/>
        <v>281294.26470125094</v>
      </c>
      <c r="G79" s="69"/>
      <c r="H79" s="69"/>
      <c r="I79" s="69"/>
      <c r="J79" s="69"/>
      <c r="K79" s="69"/>
      <c r="L79" s="69"/>
      <c r="M79" s="101">
        <f t="shared" si="10"/>
        <v>281294.26470125094</v>
      </c>
      <c r="N79" s="36"/>
      <c r="O79" s="69">
        <f t="shared" si="11"/>
        <v>281294.26470125094</v>
      </c>
      <c r="P79" s="36"/>
      <c r="Q79" s="36"/>
    </row>
    <row r="80" spans="1:17" x14ac:dyDescent="0.3">
      <c r="A80" s="36" t="s">
        <v>268</v>
      </c>
      <c r="B80" s="36">
        <v>74</v>
      </c>
      <c r="C80" s="69">
        <v>86625.286834323633</v>
      </c>
      <c r="D80" s="69">
        <v>78100.193274329737</v>
      </c>
      <c r="E80" s="69"/>
      <c r="F80" s="69">
        <f t="shared" si="9"/>
        <v>164725.48010865337</v>
      </c>
      <c r="G80" s="69"/>
      <c r="H80" s="69"/>
      <c r="I80" s="69"/>
      <c r="J80" s="69"/>
      <c r="K80" s="98"/>
      <c r="L80" s="98"/>
      <c r="M80" s="101">
        <f t="shared" si="10"/>
        <v>164725.48010865337</v>
      </c>
      <c r="N80" s="36"/>
      <c r="O80" s="69">
        <f t="shared" si="11"/>
        <v>164725.48010865337</v>
      </c>
      <c r="P80" s="36"/>
      <c r="Q80" s="36"/>
    </row>
    <row r="81" spans="1:17" x14ac:dyDescent="0.3">
      <c r="A81" s="36" t="s">
        <v>269</v>
      </c>
      <c r="B81" s="36">
        <v>75</v>
      </c>
      <c r="C81" s="69">
        <v>79276.23213759283</v>
      </c>
      <c r="D81" s="69">
        <v>71474.384423664291</v>
      </c>
      <c r="E81" s="69"/>
      <c r="F81" s="69">
        <f t="shared" si="9"/>
        <v>150750.61656125711</v>
      </c>
      <c r="G81" s="69"/>
      <c r="H81" s="69"/>
      <c r="I81" s="69"/>
      <c r="J81" s="69"/>
      <c r="K81" s="69"/>
      <c r="L81" s="69"/>
      <c r="M81" s="101">
        <f t="shared" si="10"/>
        <v>150750.61656125711</v>
      </c>
      <c r="N81" s="36"/>
      <c r="O81" s="69">
        <f t="shared" si="11"/>
        <v>150750.61656125711</v>
      </c>
      <c r="P81" s="36"/>
      <c r="Q81" s="36"/>
    </row>
    <row r="82" spans="1:17" x14ac:dyDescent="0.3">
      <c r="A82" s="36" t="s">
        <v>270</v>
      </c>
      <c r="B82" s="36">
        <v>76</v>
      </c>
      <c r="C82" s="69">
        <v>118705.91738956672</v>
      </c>
      <c r="D82" s="69">
        <v>107023.65821498603</v>
      </c>
      <c r="E82" s="69"/>
      <c r="F82" s="69">
        <f t="shared" si="9"/>
        <v>225729.57560455275</v>
      </c>
      <c r="G82" s="69"/>
      <c r="H82" s="69"/>
      <c r="I82" s="69"/>
      <c r="J82" s="69"/>
      <c r="K82" s="98"/>
      <c r="L82" s="98"/>
      <c r="M82" s="101">
        <f t="shared" si="10"/>
        <v>225729.57560455275</v>
      </c>
      <c r="N82" s="36"/>
      <c r="O82" s="69">
        <f t="shared" si="11"/>
        <v>225729.57560455275</v>
      </c>
      <c r="P82" s="36"/>
      <c r="Q82" s="36"/>
    </row>
    <row r="83" spans="1:17" x14ac:dyDescent="0.3">
      <c r="A83" s="36" t="s">
        <v>271</v>
      </c>
      <c r="B83" s="36">
        <v>77</v>
      </c>
      <c r="C83" s="69">
        <v>22299.606195029206</v>
      </c>
      <c r="D83" s="69">
        <v>20105.024957714129</v>
      </c>
      <c r="E83" s="69"/>
      <c r="F83" s="69">
        <f t="shared" si="9"/>
        <v>42404.631152743335</v>
      </c>
      <c r="G83" s="69"/>
      <c r="H83" s="69"/>
      <c r="I83" s="69"/>
      <c r="J83" s="69"/>
      <c r="K83" s="69"/>
      <c r="L83" s="69"/>
      <c r="M83" s="101">
        <f t="shared" si="10"/>
        <v>42404.631152743335</v>
      </c>
      <c r="N83" s="36"/>
      <c r="O83" s="69">
        <f t="shared" si="11"/>
        <v>42404.631152743335</v>
      </c>
      <c r="P83" s="36"/>
      <c r="Q83" s="36"/>
    </row>
    <row r="84" spans="1:17" x14ac:dyDescent="0.3">
      <c r="A84" s="70" t="s">
        <v>363</v>
      </c>
      <c r="B84" s="70"/>
      <c r="C84" s="64">
        <f>SUM(C74:C83)</f>
        <v>1070289.7531787304</v>
      </c>
      <c r="D84" s="64">
        <f>SUM(D74:D83)</f>
        <v>964958.84328399878</v>
      </c>
      <c r="E84" s="64">
        <f>SUM(E74:E83)</f>
        <v>0</v>
      </c>
      <c r="F84" s="64">
        <f>SUM(F74:F83)</f>
        <v>2035248.5964627292</v>
      </c>
      <c r="G84" s="64"/>
      <c r="H84" s="64"/>
      <c r="I84" s="64">
        <f t="shared" ref="I84:O84" si="12">SUM(I74:I83)</f>
        <v>0</v>
      </c>
      <c r="J84" s="64">
        <f t="shared" si="12"/>
        <v>0</v>
      </c>
      <c r="K84" s="64">
        <f t="shared" si="12"/>
        <v>0</v>
      </c>
      <c r="L84" s="64">
        <f t="shared" si="12"/>
        <v>0</v>
      </c>
      <c r="M84" s="64">
        <f t="shared" si="12"/>
        <v>2035248.5964627292</v>
      </c>
      <c r="N84" s="64">
        <f t="shared" si="12"/>
        <v>0</v>
      </c>
      <c r="O84" s="64">
        <f t="shared" si="12"/>
        <v>2035248.5964627292</v>
      </c>
      <c r="P84" s="36"/>
      <c r="Q84" s="36"/>
    </row>
    <row r="85" spans="1:17" x14ac:dyDescent="0.3">
      <c r="A85" s="36"/>
      <c r="B85" s="36"/>
      <c r="C85" s="69"/>
      <c r="D85" s="69"/>
      <c r="E85" s="69"/>
      <c r="F85" s="69"/>
      <c r="G85" s="69"/>
      <c r="H85" s="69"/>
      <c r="I85" s="69"/>
      <c r="J85" s="69"/>
      <c r="K85" s="103"/>
      <c r="L85" s="36"/>
      <c r="M85" s="36"/>
      <c r="N85" s="36"/>
      <c r="O85" s="36"/>
      <c r="P85" s="36"/>
      <c r="Q85" s="36"/>
    </row>
    <row r="86" spans="1:17" x14ac:dyDescent="0.3">
      <c r="A86" s="36"/>
      <c r="B86" s="36"/>
      <c r="C86" s="36"/>
      <c r="D86" s="36"/>
      <c r="E86" s="36"/>
      <c r="F86" s="36"/>
      <c r="G86" s="36"/>
      <c r="H86" s="36"/>
      <c r="I86" s="36"/>
      <c r="J86" s="36"/>
      <c r="K86" s="36"/>
      <c r="L86" s="36"/>
      <c r="M86" s="36"/>
      <c r="N86" s="36"/>
      <c r="O86" s="36"/>
      <c r="P86" s="36"/>
      <c r="Q86" s="36"/>
    </row>
    <row r="87" spans="1:17" x14ac:dyDescent="0.3">
      <c r="A87" s="93" t="s">
        <v>369</v>
      </c>
      <c r="B87" s="93" t="s">
        <v>350</v>
      </c>
      <c r="C87" s="93" t="s">
        <v>353</v>
      </c>
      <c r="D87" s="93" t="s">
        <v>354</v>
      </c>
      <c r="E87" s="93"/>
      <c r="F87" s="93" t="s">
        <v>362</v>
      </c>
      <c r="G87" s="36"/>
      <c r="H87" s="36"/>
      <c r="I87" s="36"/>
      <c r="J87" s="36"/>
      <c r="K87" s="36"/>
      <c r="L87" s="36"/>
      <c r="M87" s="36"/>
      <c r="N87" s="36"/>
      <c r="O87" s="36"/>
      <c r="P87" s="36"/>
      <c r="Q87" s="36"/>
    </row>
    <row r="88" spans="1:17" x14ac:dyDescent="0.3">
      <c r="A88" s="36" t="s">
        <v>370</v>
      </c>
      <c r="B88" s="36">
        <v>78</v>
      </c>
      <c r="C88" s="69"/>
      <c r="D88" s="69">
        <v>3831.5912000000003</v>
      </c>
      <c r="E88" s="69"/>
      <c r="F88" s="69">
        <f t="shared" ref="F88:F123" si="13">+C88+D88</f>
        <v>3831.5912000000003</v>
      </c>
      <c r="G88" s="36"/>
      <c r="H88" s="36"/>
      <c r="I88" s="36"/>
      <c r="J88" s="36"/>
      <c r="K88" s="36"/>
      <c r="L88" s="36"/>
      <c r="M88" s="36"/>
      <c r="N88" s="36"/>
      <c r="O88" s="36"/>
      <c r="P88" s="36"/>
      <c r="Q88" s="36"/>
    </row>
    <row r="89" spans="1:17" x14ac:dyDescent="0.3">
      <c r="A89" s="36" t="s">
        <v>371</v>
      </c>
      <c r="B89" s="36">
        <v>79</v>
      </c>
      <c r="C89" s="69">
        <v>40080.396698233497</v>
      </c>
      <c r="D89" s="69">
        <v>38315.912000000004</v>
      </c>
      <c r="E89" s="69"/>
      <c r="F89" s="69">
        <f t="shared" si="13"/>
        <v>78396.308698233508</v>
      </c>
      <c r="G89" s="36"/>
      <c r="H89" s="36"/>
      <c r="I89" s="36"/>
      <c r="J89" s="36"/>
      <c r="K89" s="36"/>
      <c r="L89" s="36"/>
      <c r="M89" s="36"/>
      <c r="N89" s="36"/>
      <c r="O89" s="36"/>
      <c r="P89" s="36"/>
      <c r="Q89" s="36"/>
    </row>
    <row r="90" spans="1:17" x14ac:dyDescent="0.3">
      <c r="A90" s="36" t="s">
        <v>372</v>
      </c>
      <c r="B90" s="36">
        <v>80</v>
      </c>
      <c r="C90" s="69">
        <v>19812.318625348737</v>
      </c>
      <c r="D90" s="69">
        <v>19157.956000000002</v>
      </c>
      <c r="E90" s="69"/>
      <c r="F90" s="69">
        <f t="shared" si="13"/>
        <v>38970.274625348742</v>
      </c>
      <c r="G90" s="36"/>
      <c r="H90" s="36"/>
      <c r="I90" s="36"/>
      <c r="J90" s="36"/>
      <c r="K90" s="36"/>
      <c r="L90" s="36"/>
      <c r="M90" s="36"/>
      <c r="N90" s="36"/>
      <c r="O90" s="36"/>
      <c r="P90" s="36"/>
      <c r="Q90" s="36"/>
    </row>
    <row r="91" spans="1:17" x14ac:dyDescent="0.3">
      <c r="A91" s="36" t="s">
        <v>373</v>
      </c>
      <c r="B91" s="36">
        <v>81</v>
      </c>
      <c r="C91" s="69">
        <v>19572.923333333336</v>
      </c>
      <c r="D91" s="69">
        <v>19157.956000000002</v>
      </c>
      <c r="E91" s="69"/>
      <c r="F91" s="69">
        <f t="shared" si="13"/>
        <v>38730.879333333338</v>
      </c>
      <c r="G91" s="36"/>
      <c r="H91" s="36"/>
      <c r="I91" s="36"/>
      <c r="J91" s="36"/>
      <c r="K91" s="36"/>
      <c r="L91" s="36"/>
      <c r="M91" s="36"/>
      <c r="N91" s="36"/>
      <c r="O91" s="36"/>
      <c r="P91" s="36"/>
      <c r="Q91" s="36"/>
    </row>
    <row r="92" spans="1:17" x14ac:dyDescent="0.3">
      <c r="A92" s="36" t="s">
        <v>374</v>
      </c>
      <c r="B92" s="36">
        <v>82</v>
      </c>
      <c r="C92" s="69">
        <v>3914.5846666666675</v>
      </c>
      <c r="D92" s="69">
        <v>3831.5912000000003</v>
      </c>
      <c r="E92" s="69"/>
      <c r="F92" s="69">
        <f t="shared" si="13"/>
        <v>7746.1758666666683</v>
      </c>
      <c r="G92" s="36"/>
      <c r="H92" s="36"/>
      <c r="I92" s="36"/>
      <c r="J92" s="36"/>
      <c r="K92" s="36"/>
      <c r="L92" s="36"/>
      <c r="M92" s="36"/>
      <c r="N92" s="36"/>
      <c r="O92" s="36"/>
      <c r="P92" s="36"/>
      <c r="Q92" s="36"/>
    </row>
    <row r="93" spans="1:17" x14ac:dyDescent="0.3">
      <c r="A93" s="36" t="s">
        <v>375</v>
      </c>
      <c r="B93" s="36">
        <v>83</v>
      </c>
      <c r="C93" s="69">
        <v>9786.461666666668</v>
      </c>
      <c r="D93" s="69">
        <v>9578.978000000001</v>
      </c>
      <c r="E93" s="69"/>
      <c r="F93" s="69">
        <f t="shared" si="13"/>
        <v>19365.439666666669</v>
      </c>
      <c r="G93" s="36"/>
      <c r="H93" s="36"/>
      <c r="I93" s="36"/>
      <c r="J93" s="36"/>
      <c r="K93" s="36"/>
      <c r="L93" s="36"/>
      <c r="M93" s="36"/>
      <c r="N93" s="36"/>
      <c r="O93" s="36"/>
      <c r="P93" s="36"/>
      <c r="Q93" s="36"/>
    </row>
    <row r="94" spans="1:17" x14ac:dyDescent="0.3">
      <c r="A94" s="36" t="s">
        <v>376</v>
      </c>
      <c r="B94" s="36">
        <v>84</v>
      </c>
      <c r="C94" s="69">
        <v>3914.5846666666675</v>
      </c>
      <c r="D94" s="69">
        <v>3831.5912000000003</v>
      </c>
      <c r="E94" s="69"/>
      <c r="F94" s="69">
        <f t="shared" si="13"/>
        <v>7746.1758666666683</v>
      </c>
      <c r="G94" s="36"/>
      <c r="H94" s="36"/>
      <c r="I94" s="36"/>
      <c r="J94" s="36"/>
      <c r="K94" s="36"/>
      <c r="L94" s="36"/>
      <c r="M94" s="36"/>
      <c r="N94" s="36"/>
      <c r="O94" s="36"/>
      <c r="P94" s="36"/>
      <c r="Q94" s="36"/>
    </row>
    <row r="95" spans="1:17" x14ac:dyDescent="0.3">
      <c r="A95" s="36" t="s">
        <v>377</v>
      </c>
      <c r="B95" s="36">
        <v>85</v>
      </c>
      <c r="C95" s="69">
        <v>3914.5846666666675</v>
      </c>
      <c r="D95" s="69">
        <v>3831.5912000000003</v>
      </c>
      <c r="E95" s="69"/>
      <c r="F95" s="69">
        <f t="shared" si="13"/>
        <v>7746.1758666666683</v>
      </c>
      <c r="G95" s="36"/>
      <c r="H95" s="36"/>
      <c r="I95" s="36"/>
      <c r="J95" s="36"/>
      <c r="K95" s="36"/>
      <c r="L95" s="36"/>
      <c r="M95" s="36"/>
      <c r="N95" s="36"/>
      <c r="O95" s="36"/>
      <c r="P95" s="36"/>
      <c r="Q95" s="36"/>
    </row>
    <row r="96" spans="1:17" x14ac:dyDescent="0.3">
      <c r="A96" s="36" t="s">
        <v>378</v>
      </c>
      <c r="B96" s="36">
        <v>86</v>
      </c>
      <c r="C96" s="69">
        <v>9786.461666666668</v>
      </c>
      <c r="D96" s="69">
        <v>9578.978000000001</v>
      </c>
      <c r="E96" s="69"/>
      <c r="F96" s="69">
        <f t="shared" si="13"/>
        <v>19365.439666666669</v>
      </c>
      <c r="G96" s="36"/>
      <c r="H96" s="36"/>
      <c r="I96" s="36"/>
      <c r="J96" s="36"/>
      <c r="K96" s="36"/>
      <c r="L96" s="36"/>
      <c r="M96" s="36"/>
      <c r="N96" s="36"/>
      <c r="O96" s="36"/>
      <c r="P96" s="36"/>
      <c r="Q96" s="36"/>
    </row>
    <row r="97" spans="1:17" x14ac:dyDescent="0.3">
      <c r="A97" s="36" t="s">
        <v>379</v>
      </c>
      <c r="B97" s="36">
        <v>87</v>
      </c>
      <c r="C97" s="69">
        <v>3914.5846666666675</v>
      </c>
      <c r="D97" s="69">
        <v>3831.5912000000003</v>
      </c>
      <c r="E97" s="69"/>
      <c r="F97" s="69">
        <f t="shared" si="13"/>
        <v>7746.1758666666683</v>
      </c>
      <c r="G97" s="36"/>
      <c r="H97" s="36"/>
      <c r="I97" s="36"/>
      <c r="J97" s="36"/>
      <c r="K97" s="36"/>
      <c r="L97" s="36"/>
      <c r="M97" s="36"/>
      <c r="N97" s="36"/>
      <c r="O97" s="36"/>
      <c r="P97" s="36"/>
      <c r="Q97" s="36"/>
    </row>
    <row r="98" spans="1:17" x14ac:dyDescent="0.3">
      <c r="A98" s="36" t="s">
        <v>380</v>
      </c>
      <c r="B98" s="36">
        <v>88</v>
      </c>
      <c r="C98" s="69">
        <v>9786.461666666668</v>
      </c>
      <c r="D98" s="69">
        <v>9578.978000000001</v>
      </c>
      <c r="E98" s="69"/>
      <c r="F98" s="69">
        <f t="shared" si="13"/>
        <v>19365.439666666669</v>
      </c>
      <c r="G98" s="36"/>
      <c r="H98" s="36"/>
      <c r="I98" s="36"/>
      <c r="J98" s="36"/>
      <c r="K98" s="36"/>
      <c r="L98" s="36"/>
      <c r="M98" s="36"/>
      <c r="N98" s="36"/>
      <c r="O98" s="36"/>
      <c r="P98" s="36"/>
      <c r="Q98" s="36"/>
    </row>
    <row r="99" spans="1:17" x14ac:dyDescent="0.3">
      <c r="A99" s="36" t="s">
        <v>381</v>
      </c>
      <c r="B99" s="36">
        <v>89</v>
      </c>
      <c r="C99" s="69">
        <v>9786.461666666668</v>
      </c>
      <c r="D99" s="69">
        <v>9578.978000000001</v>
      </c>
      <c r="E99" s="69"/>
      <c r="F99" s="69">
        <f t="shared" si="13"/>
        <v>19365.439666666669</v>
      </c>
      <c r="G99" s="36"/>
      <c r="H99" s="36"/>
      <c r="I99" s="36"/>
      <c r="J99" s="36"/>
      <c r="K99" s="36"/>
      <c r="L99" s="36"/>
      <c r="M99" s="36"/>
      <c r="N99" s="36"/>
      <c r="O99" s="36"/>
      <c r="P99" s="36"/>
      <c r="Q99" s="36"/>
    </row>
    <row r="100" spans="1:17" x14ac:dyDescent="0.3">
      <c r="A100" s="36" t="s">
        <v>382</v>
      </c>
      <c r="B100" s="36">
        <v>90</v>
      </c>
      <c r="C100" s="69">
        <v>9786.461666666668</v>
      </c>
      <c r="D100" s="69">
        <v>9578.978000000001</v>
      </c>
      <c r="E100" s="69"/>
      <c r="F100" s="69">
        <f t="shared" si="13"/>
        <v>19365.439666666669</v>
      </c>
      <c r="G100" s="36"/>
      <c r="H100" s="36"/>
      <c r="I100" s="36"/>
      <c r="J100" s="36"/>
      <c r="K100" s="36"/>
      <c r="L100" s="36"/>
      <c r="M100" s="36"/>
      <c r="N100" s="36"/>
      <c r="O100" s="36"/>
      <c r="P100" s="36"/>
      <c r="Q100" s="36"/>
    </row>
    <row r="101" spans="1:17" x14ac:dyDescent="0.3">
      <c r="A101" s="36" t="s">
        <v>272</v>
      </c>
      <c r="B101" s="36">
        <v>91</v>
      </c>
      <c r="C101" s="69">
        <v>10567.504171380569</v>
      </c>
      <c r="D101" s="69">
        <v>9578.978000000001</v>
      </c>
      <c r="E101" s="69"/>
      <c r="F101" s="69">
        <f t="shared" si="13"/>
        <v>20146.482171380572</v>
      </c>
      <c r="G101" s="36"/>
      <c r="H101" s="36"/>
      <c r="I101" s="36"/>
      <c r="J101" s="36"/>
      <c r="K101" s="36"/>
      <c r="L101" s="36"/>
      <c r="M101" s="36"/>
      <c r="N101" s="36"/>
      <c r="O101" s="36"/>
      <c r="P101" s="36"/>
      <c r="Q101" s="36"/>
    </row>
    <row r="102" spans="1:17" x14ac:dyDescent="0.3">
      <c r="A102" s="36" t="s">
        <v>273</v>
      </c>
      <c r="B102" s="36">
        <v>92</v>
      </c>
      <c r="C102" s="69">
        <v>9786.461666666668</v>
      </c>
      <c r="D102" s="69">
        <v>9578.978000000001</v>
      </c>
      <c r="E102" s="69"/>
      <c r="F102" s="69">
        <f t="shared" si="13"/>
        <v>19365.439666666669</v>
      </c>
      <c r="G102" s="36"/>
      <c r="H102" s="36"/>
      <c r="I102" s="36"/>
      <c r="J102" s="36"/>
      <c r="K102" s="36"/>
      <c r="L102" s="36"/>
      <c r="M102" s="36"/>
      <c r="N102" s="36"/>
      <c r="O102" s="36"/>
      <c r="P102" s="36"/>
      <c r="Q102" s="36"/>
    </row>
    <row r="103" spans="1:17" x14ac:dyDescent="0.3">
      <c r="A103" s="36" t="s">
        <v>274</v>
      </c>
      <c r="B103" s="36">
        <v>93</v>
      </c>
      <c r="C103" s="69"/>
      <c r="D103" s="69">
        <v>3831.5912000000003</v>
      </c>
      <c r="E103" s="69"/>
      <c r="F103" s="69">
        <f t="shared" si="13"/>
        <v>3831.5912000000003</v>
      </c>
      <c r="G103" s="36"/>
      <c r="H103" s="36"/>
      <c r="I103" s="36"/>
      <c r="J103" s="36"/>
      <c r="K103" s="36"/>
      <c r="L103" s="36"/>
      <c r="M103" s="36"/>
      <c r="N103" s="36"/>
      <c r="O103" s="36"/>
      <c r="P103" s="36"/>
      <c r="Q103" s="36"/>
    </row>
    <row r="104" spans="1:17" x14ac:dyDescent="0.3">
      <c r="A104" s="36" t="s">
        <v>275</v>
      </c>
      <c r="B104" s="36">
        <v>94</v>
      </c>
      <c r="C104" s="69">
        <v>14663.287885785454</v>
      </c>
      <c r="D104" s="69">
        <v>13220.22309845</v>
      </c>
      <c r="E104" s="69"/>
      <c r="F104" s="69">
        <f t="shared" si="13"/>
        <v>27883.510984235454</v>
      </c>
      <c r="G104" s="36"/>
      <c r="H104" s="36"/>
      <c r="I104" s="36"/>
      <c r="J104" s="36"/>
      <c r="K104" s="36"/>
      <c r="L104" s="36"/>
      <c r="M104" s="36"/>
      <c r="N104" s="36"/>
      <c r="O104" s="36"/>
      <c r="P104" s="36"/>
      <c r="Q104" s="36"/>
    </row>
    <row r="105" spans="1:17" x14ac:dyDescent="0.3">
      <c r="A105" s="36" t="s">
        <v>276</v>
      </c>
      <c r="B105" s="36">
        <v>95</v>
      </c>
      <c r="C105" s="69">
        <v>3914.5846666666675</v>
      </c>
      <c r="D105" s="69">
        <v>3831.5912000000003</v>
      </c>
      <c r="E105" s="69"/>
      <c r="F105" s="69">
        <f t="shared" si="13"/>
        <v>7746.1758666666683</v>
      </c>
      <c r="G105" s="36"/>
      <c r="H105" s="36"/>
      <c r="I105" s="36"/>
      <c r="J105" s="36"/>
      <c r="K105" s="36"/>
      <c r="L105" s="36"/>
      <c r="M105" s="36"/>
      <c r="N105" s="36"/>
      <c r="O105" s="36"/>
      <c r="P105" s="36"/>
      <c r="Q105" s="36"/>
    </row>
    <row r="106" spans="1:17" x14ac:dyDescent="0.3">
      <c r="A106" s="36" t="s">
        <v>277</v>
      </c>
      <c r="B106" s="36">
        <v>96</v>
      </c>
      <c r="C106" s="69">
        <v>9786.461666666668</v>
      </c>
      <c r="D106" s="69">
        <v>9578.978000000001</v>
      </c>
      <c r="E106" s="69"/>
      <c r="F106" s="69">
        <f t="shared" si="13"/>
        <v>19365.439666666669</v>
      </c>
      <c r="G106" s="36"/>
      <c r="H106" s="36"/>
      <c r="I106" s="36"/>
      <c r="J106" s="36"/>
      <c r="K106" s="36"/>
      <c r="L106" s="36"/>
      <c r="M106" s="36"/>
      <c r="N106" s="36"/>
      <c r="O106" s="36"/>
      <c r="P106" s="36"/>
      <c r="Q106" s="36"/>
    </row>
    <row r="107" spans="1:17" x14ac:dyDescent="0.3">
      <c r="A107" s="36" t="s">
        <v>278</v>
      </c>
      <c r="B107" s="36">
        <v>97</v>
      </c>
      <c r="C107" s="69"/>
      <c r="D107" s="69">
        <v>9578.978000000001</v>
      </c>
      <c r="E107" s="69"/>
      <c r="F107" s="69">
        <f t="shared" si="13"/>
        <v>9578.978000000001</v>
      </c>
      <c r="G107" s="36"/>
      <c r="H107" s="36"/>
      <c r="I107" s="36"/>
      <c r="J107" s="36"/>
      <c r="K107" s="36"/>
      <c r="L107" s="36"/>
      <c r="M107" s="36"/>
      <c r="N107" s="36"/>
      <c r="O107" s="36"/>
      <c r="P107" s="36"/>
      <c r="Q107" s="36"/>
    </row>
    <row r="108" spans="1:17" x14ac:dyDescent="0.3">
      <c r="A108" s="36" t="s">
        <v>279</v>
      </c>
      <c r="B108" s="36">
        <v>98</v>
      </c>
      <c r="C108" s="69">
        <v>9786.461666666668</v>
      </c>
      <c r="D108" s="69">
        <v>9578.978000000001</v>
      </c>
      <c r="E108" s="69"/>
      <c r="F108" s="69">
        <f t="shared" si="13"/>
        <v>19365.439666666669</v>
      </c>
      <c r="G108" s="36"/>
      <c r="H108" s="36"/>
      <c r="I108" s="36"/>
      <c r="J108" s="36"/>
      <c r="K108" s="36"/>
      <c r="L108" s="36"/>
      <c r="M108" s="36"/>
      <c r="N108" s="36"/>
      <c r="O108" s="36"/>
      <c r="P108" s="36"/>
      <c r="Q108" s="36"/>
    </row>
    <row r="109" spans="1:17" x14ac:dyDescent="0.3">
      <c r="A109" s="36" t="s">
        <v>280</v>
      </c>
      <c r="B109" s="36">
        <v>99</v>
      </c>
      <c r="C109" s="69">
        <v>11385.386953541667</v>
      </c>
      <c r="D109" s="69">
        <v>10264.911714235242</v>
      </c>
      <c r="E109" s="69"/>
      <c r="F109" s="69">
        <f t="shared" si="13"/>
        <v>21650.298667776908</v>
      </c>
      <c r="G109" s="36"/>
      <c r="H109" s="36"/>
      <c r="I109" s="36"/>
      <c r="J109" s="36"/>
      <c r="K109" s="36"/>
      <c r="L109" s="36"/>
      <c r="M109" s="36"/>
      <c r="N109" s="36"/>
      <c r="O109" s="36"/>
      <c r="P109" s="36"/>
      <c r="Q109" s="36"/>
    </row>
    <row r="110" spans="1:17" x14ac:dyDescent="0.3">
      <c r="A110" s="36" t="s">
        <v>281</v>
      </c>
      <c r="B110" s="36">
        <v>100</v>
      </c>
      <c r="C110" s="69">
        <v>96493.288315471422</v>
      </c>
      <c r="D110" s="69">
        <v>86997.050659437329</v>
      </c>
      <c r="E110" s="69"/>
      <c r="F110" s="69">
        <f t="shared" si="13"/>
        <v>183490.33897490875</v>
      </c>
      <c r="G110" s="36"/>
      <c r="H110" s="36"/>
      <c r="I110" s="36"/>
      <c r="J110" s="36"/>
      <c r="K110" s="36"/>
      <c r="L110" s="36"/>
      <c r="M110" s="36"/>
      <c r="N110" s="36"/>
      <c r="O110" s="36"/>
      <c r="P110" s="36"/>
      <c r="Q110" s="36"/>
    </row>
    <row r="111" spans="1:17" x14ac:dyDescent="0.3">
      <c r="A111" s="36" t="s">
        <v>282</v>
      </c>
      <c r="B111" s="36">
        <v>101</v>
      </c>
      <c r="C111" s="69">
        <v>3914.5846666666675</v>
      </c>
      <c r="D111" s="69">
        <v>3831.5912000000003</v>
      </c>
      <c r="E111" s="69"/>
      <c r="F111" s="69">
        <f t="shared" si="13"/>
        <v>7746.1758666666683</v>
      </c>
      <c r="G111" s="36"/>
      <c r="H111" s="36"/>
      <c r="I111" s="36"/>
      <c r="J111" s="36"/>
      <c r="K111" s="36"/>
      <c r="L111" s="36"/>
      <c r="M111" s="36"/>
      <c r="N111" s="36"/>
      <c r="O111" s="36"/>
      <c r="P111" s="36"/>
      <c r="Q111" s="36"/>
    </row>
    <row r="112" spans="1:17" x14ac:dyDescent="0.3">
      <c r="A112" s="36" t="s">
        <v>283</v>
      </c>
      <c r="B112" s="36">
        <v>102</v>
      </c>
      <c r="C112" s="69"/>
      <c r="D112" s="69">
        <v>121122.11046538854</v>
      </c>
      <c r="E112" s="69"/>
      <c r="F112" s="69">
        <f t="shared" si="13"/>
        <v>121122.11046538854</v>
      </c>
      <c r="G112" s="36"/>
      <c r="H112" s="36"/>
      <c r="I112" s="36"/>
      <c r="J112" s="36"/>
      <c r="K112" s="36"/>
      <c r="L112" s="36"/>
      <c r="M112" s="36"/>
      <c r="N112" s="36"/>
      <c r="O112" s="36"/>
      <c r="P112" s="36"/>
      <c r="Q112" s="36"/>
    </row>
    <row r="113" spans="1:17" x14ac:dyDescent="0.3">
      <c r="A113" s="36" t="s">
        <v>284</v>
      </c>
      <c r="B113" s="36">
        <v>103</v>
      </c>
      <c r="C113" s="69">
        <v>3914.5846666666675</v>
      </c>
      <c r="D113" s="69">
        <v>3831.5912000000003</v>
      </c>
      <c r="E113" s="69"/>
      <c r="F113" s="69">
        <f t="shared" si="13"/>
        <v>7746.1758666666683</v>
      </c>
      <c r="G113" s="36"/>
      <c r="H113" s="36"/>
      <c r="I113" s="36"/>
      <c r="J113" s="36"/>
      <c r="K113" s="36"/>
      <c r="L113" s="36"/>
      <c r="M113" s="36"/>
      <c r="N113" s="36"/>
      <c r="O113" s="36"/>
      <c r="P113" s="36"/>
      <c r="Q113" s="36"/>
    </row>
    <row r="114" spans="1:17" x14ac:dyDescent="0.3">
      <c r="A114" s="36" t="s">
        <v>285</v>
      </c>
      <c r="B114" s="36">
        <v>104</v>
      </c>
      <c r="C114" s="69"/>
      <c r="D114" s="69">
        <v>3831.5912000000003</v>
      </c>
      <c r="E114" s="69"/>
      <c r="F114" s="69">
        <f t="shared" si="13"/>
        <v>3831.5912000000003</v>
      </c>
      <c r="G114" s="36"/>
      <c r="H114" s="36"/>
      <c r="I114" s="36"/>
      <c r="J114" s="36"/>
      <c r="K114" s="36"/>
      <c r="L114" s="36"/>
      <c r="M114" s="36"/>
      <c r="N114" s="36"/>
      <c r="O114" s="36"/>
      <c r="P114" s="36"/>
      <c r="Q114" s="36"/>
    </row>
    <row r="115" spans="1:17" x14ac:dyDescent="0.3">
      <c r="A115" s="36" t="s">
        <v>286</v>
      </c>
      <c r="B115" s="36">
        <v>105</v>
      </c>
      <c r="C115" s="69"/>
      <c r="D115" s="69">
        <v>3831.5912000000003</v>
      </c>
      <c r="E115" s="69"/>
      <c r="F115" s="69">
        <f t="shared" si="13"/>
        <v>3831.5912000000003</v>
      </c>
      <c r="G115" s="36"/>
      <c r="H115" s="36"/>
      <c r="I115" s="36"/>
      <c r="J115" s="36"/>
      <c r="K115" s="36"/>
      <c r="L115" s="36"/>
      <c r="M115" s="36"/>
      <c r="N115" s="36"/>
      <c r="O115" s="36"/>
      <c r="P115" s="36"/>
      <c r="Q115" s="36"/>
    </row>
    <row r="116" spans="1:17" x14ac:dyDescent="0.3">
      <c r="A116" s="36" t="s">
        <v>287</v>
      </c>
      <c r="B116" s="36">
        <v>106</v>
      </c>
      <c r="C116" s="69">
        <v>10702.225517507572</v>
      </c>
      <c r="D116" s="69">
        <v>9578.978000000001</v>
      </c>
      <c r="E116" s="69"/>
      <c r="F116" s="69">
        <f t="shared" si="13"/>
        <v>20281.203517507573</v>
      </c>
      <c r="G116" s="36"/>
      <c r="H116" s="36"/>
      <c r="I116" s="36"/>
      <c r="J116" s="36"/>
      <c r="K116" s="36"/>
      <c r="L116" s="36"/>
      <c r="M116" s="36"/>
      <c r="N116" s="36"/>
      <c r="O116" s="36"/>
      <c r="P116" s="36"/>
      <c r="Q116" s="36"/>
    </row>
    <row r="117" spans="1:17" x14ac:dyDescent="0.3">
      <c r="A117" s="36" t="s">
        <v>288</v>
      </c>
      <c r="B117" s="36">
        <v>107</v>
      </c>
      <c r="C117" s="69">
        <v>9786.461666666668</v>
      </c>
      <c r="D117" s="69">
        <v>9578.978000000001</v>
      </c>
      <c r="E117" s="69"/>
      <c r="F117" s="69">
        <f t="shared" si="13"/>
        <v>19365.439666666669</v>
      </c>
      <c r="G117" s="36"/>
      <c r="H117" s="36"/>
      <c r="I117" s="36"/>
      <c r="J117" s="36"/>
      <c r="K117" s="36"/>
      <c r="L117" s="36"/>
      <c r="M117" s="36"/>
      <c r="N117" s="36"/>
      <c r="O117" s="36"/>
      <c r="P117" s="36"/>
      <c r="Q117" s="36"/>
    </row>
    <row r="118" spans="1:17" x14ac:dyDescent="0.3">
      <c r="A118" s="36" t="s">
        <v>289</v>
      </c>
      <c r="B118" s="36">
        <v>108</v>
      </c>
      <c r="C118" s="69">
        <v>9786.461666666668</v>
      </c>
      <c r="D118" s="69">
        <v>9578.978000000001</v>
      </c>
      <c r="E118" s="69"/>
      <c r="F118" s="69">
        <f t="shared" si="13"/>
        <v>19365.439666666669</v>
      </c>
      <c r="G118" s="36"/>
      <c r="H118" s="36"/>
      <c r="I118" s="36"/>
      <c r="J118" s="36"/>
      <c r="K118" s="36"/>
      <c r="L118" s="36"/>
      <c r="M118" s="36"/>
      <c r="N118" s="36"/>
      <c r="O118" s="36"/>
      <c r="P118" s="36"/>
      <c r="Q118" s="36"/>
    </row>
    <row r="119" spans="1:17" x14ac:dyDescent="0.3">
      <c r="A119" s="36" t="s">
        <v>290</v>
      </c>
      <c r="B119" s="36">
        <v>109</v>
      </c>
      <c r="C119" s="69">
        <v>3914.5846666666675</v>
      </c>
      <c r="D119" s="69">
        <v>3831.5912000000003</v>
      </c>
      <c r="E119" s="69"/>
      <c r="F119" s="69">
        <f t="shared" si="13"/>
        <v>7746.1758666666683</v>
      </c>
      <c r="G119" s="36"/>
      <c r="H119" s="36"/>
      <c r="I119" s="36"/>
      <c r="J119" s="36"/>
      <c r="K119" s="36"/>
      <c r="L119" s="36"/>
      <c r="M119" s="36"/>
      <c r="N119" s="36"/>
      <c r="O119" s="36"/>
      <c r="P119" s="36"/>
      <c r="Q119" s="36"/>
    </row>
    <row r="120" spans="1:17" x14ac:dyDescent="0.3">
      <c r="A120" s="36" t="s">
        <v>383</v>
      </c>
      <c r="B120" s="36">
        <v>110</v>
      </c>
      <c r="C120" s="69">
        <v>14118.032697678056</v>
      </c>
      <c r="D120" s="69">
        <v>12728.628355953335</v>
      </c>
      <c r="E120" s="69"/>
      <c r="F120" s="69">
        <f t="shared" si="13"/>
        <v>26846.661053631389</v>
      </c>
      <c r="G120" s="36"/>
      <c r="H120" s="36"/>
      <c r="I120" s="36"/>
      <c r="J120" s="36"/>
      <c r="K120" s="36"/>
      <c r="L120" s="36"/>
      <c r="M120" s="36"/>
      <c r="N120" s="36"/>
      <c r="O120" s="36"/>
      <c r="P120" s="36"/>
      <c r="Q120" s="36"/>
    </row>
    <row r="121" spans="1:17" x14ac:dyDescent="0.3">
      <c r="A121" s="36" t="s">
        <v>384</v>
      </c>
      <c r="B121" s="36">
        <v>111</v>
      </c>
      <c r="C121" s="69">
        <v>3914.5846666666675</v>
      </c>
      <c r="D121" s="69">
        <v>3831.5912000000003</v>
      </c>
      <c r="E121" s="69"/>
      <c r="F121" s="69">
        <f t="shared" si="13"/>
        <v>7746.1758666666683</v>
      </c>
      <c r="G121" s="36"/>
      <c r="H121" s="36"/>
      <c r="I121" s="36"/>
      <c r="J121" s="36"/>
      <c r="K121" s="36"/>
      <c r="L121" s="36"/>
      <c r="M121" s="36"/>
      <c r="N121" s="36"/>
      <c r="O121" s="36"/>
      <c r="P121" s="36"/>
      <c r="Q121" s="36"/>
    </row>
    <row r="122" spans="1:17" x14ac:dyDescent="0.3">
      <c r="A122" s="36" t="s">
        <v>291</v>
      </c>
      <c r="B122" s="36">
        <v>112</v>
      </c>
      <c r="C122" s="69">
        <v>3914.5846666666675</v>
      </c>
      <c r="D122" s="69">
        <v>3831.5912000000003</v>
      </c>
      <c r="E122" s="69"/>
      <c r="F122" s="69">
        <f t="shared" si="13"/>
        <v>7746.1758666666683</v>
      </c>
      <c r="G122" s="36"/>
      <c r="H122" s="36"/>
      <c r="I122" s="36"/>
      <c r="J122" s="36"/>
      <c r="K122" s="36"/>
      <c r="L122" s="36"/>
      <c r="M122" s="36"/>
      <c r="N122" s="36"/>
      <c r="O122" s="36"/>
      <c r="P122" s="36"/>
      <c r="Q122" s="36"/>
    </row>
    <row r="123" spans="1:17" x14ac:dyDescent="0.3">
      <c r="A123" s="36" t="s">
        <v>292</v>
      </c>
      <c r="B123" s="36">
        <v>113</v>
      </c>
      <c r="C123" s="69">
        <v>3914.5846666666675</v>
      </c>
      <c r="D123" s="69">
        <v>3831.5912000000003</v>
      </c>
      <c r="E123" s="69"/>
      <c r="F123" s="69">
        <f t="shared" si="13"/>
        <v>7746.1758666666683</v>
      </c>
      <c r="G123" s="36"/>
      <c r="H123" s="36"/>
      <c r="I123" s="36"/>
      <c r="J123" s="36"/>
      <c r="K123" s="36"/>
      <c r="L123" s="36"/>
      <c r="M123" s="36"/>
      <c r="N123" s="36"/>
      <c r="O123" s="36"/>
      <c r="P123" s="36"/>
      <c r="Q123" s="36"/>
    </row>
    <row r="124" spans="1:17" x14ac:dyDescent="0.3">
      <c r="A124" s="70" t="s">
        <v>363</v>
      </c>
      <c r="B124" s="70"/>
      <c r="C124" s="64">
        <f>SUM(C88:C123)</f>
        <v>378320.41219828051</v>
      </c>
      <c r="D124" s="64">
        <f>SUM(D88:D123)</f>
        <v>502965.33029346465</v>
      </c>
      <c r="E124" s="64">
        <f>SUM(E88:E123)</f>
        <v>0</v>
      </c>
      <c r="F124" s="64">
        <f>SUM(F88:F123)</f>
        <v>881285.74249174504</v>
      </c>
      <c r="G124" s="36"/>
      <c r="H124" s="36"/>
      <c r="I124" s="36"/>
      <c r="J124" s="36"/>
      <c r="K124" s="36"/>
      <c r="L124" s="36"/>
      <c r="M124" s="36"/>
      <c r="N124" s="36"/>
      <c r="O124" s="36"/>
      <c r="P124" s="36"/>
      <c r="Q124" s="36"/>
    </row>
    <row r="125" spans="1:17" x14ac:dyDescent="0.3">
      <c r="A125" s="70"/>
      <c r="B125" s="70"/>
      <c r="C125" s="64"/>
      <c r="D125" s="36"/>
      <c r="E125" s="36"/>
      <c r="F125" s="36"/>
      <c r="G125" s="36"/>
      <c r="H125" s="36"/>
      <c r="I125" s="36"/>
      <c r="J125" s="36"/>
      <c r="K125" s="36"/>
      <c r="L125" s="36"/>
      <c r="M125" s="36"/>
      <c r="N125" s="36"/>
      <c r="O125" s="36"/>
      <c r="P125" s="36"/>
      <c r="Q125" s="36"/>
    </row>
    <row r="126" spans="1:17" x14ac:dyDescent="0.3">
      <c r="A126" s="36"/>
      <c r="B126" s="36"/>
      <c r="C126" s="36"/>
      <c r="D126" s="36"/>
      <c r="E126" s="36"/>
      <c r="F126" s="36"/>
      <c r="G126" s="36"/>
      <c r="H126" s="36"/>
      <c r="I126" s="36"/>
      <c r="J126" s="36"/>
      <c r="K126" s="36"/>
      <c r="L126" s="36"/>
      <c r="M126" s="36"/>
      <c r="N126" s="36"/>
      <c r="O126" s="36"/>
      <c r="P126" s="36"/>
      <c r="Q126" s="36"/>
    </row>
    <row r="127" spans="1:17" x14ac:dyDescent="0.3">
      <c r="A127" s="36" t="s">
        <v>385</v>
      </c>
      <c r="B127" s="36" t="s">
        <v>350</v>
      </c>
      <c r="C127" s="36" t="s">
        <v>386</v>
      </c>
      <c r="D127" s="36" t="s">
        <v>387</v>
      </c>
      <c r="E127" s="36" t="s">
        <v>388</v>
      </c>
      <c r="F127" s="104" t="s">
        <v>389</v>
      </c>
      <c r="G127" s="36"/>
      <c r="H127" s="36"/>
      <c r="I127" s="36"/>
      <c r="J127" s="36"/>
      <c r="K127" s="36"/>
      <c r="L127" s="36"/>
      <c r="M127" s="36"/>
      <c r="N127" s="36"/>
      <c r="O127" s="36"/>
      <c r="P127" s="36"/>
      <c r="Q127" s="36"/>
    </row>
    <row r="128" spans="1:17" x14ac:dyDescent="0.3">
      <c r="A128" s="36" t="s">
        <v>390</v>
      </c>
      <c r="B128" s="36">
        <v>114</v>
      </c>
      <c r="C128" s="69">
        <f>+'[1]Dist and JJ Totals'!B23</f>
        <v>5772983.206280496</v>
      </c>
      <c r="D128" s="105">
        <f>+'[1]Dist and JJ Totals'!C23</f>
        <v>5846280.7273508878</v>
      </c>
      <c r="E128" s="59"/>
      <c r="F128" s="69">
        <f>+Table718254[[#This Row],[Dist Payment]]+Table718254[[#This Row],[JJ Payment]]</f>
        <v>11619263.933631383</v>
      </c>
      <c r="G128" s="36"/>
      <c r="H128" s="36"/>
      <c r="I128" s="36"/>
      <c r="J128" s="36"/>
      <c r="K128" s="36"/>
      <c r="L128" s="36"/>
      <c r="M128" s="36"/>
      <c r="N128" s="36"/>
      <c r="O128" s="36"/>
      <c r="P128" s="36"/>
      <c r="Q128" s="36"/>
    </row>
    <row r="129" spans="1:17" x14ac:dyDescent="0.3">
      <c r="A129" s="36"/>
      <c r="B129" s="36"/>
      <c r="C129" s="69">
        <f>+'[1]Dist and JJ Totals'!B24</f>
        <v>0</v>
      </c>
      <c r="D129" s="105">
        <f>+'[1]Dist and JJ Totals'!C24</f>
        <v>0</v>
      </c>
      <c r="E129" s="36"/>
      <c r="F129" s="69">
        <f>+Table718254[[#This Row],[Dist Payment]]+Table718254[[#This Row],[JJ Payment]]</f>
        <v>0</v>
      </c>
      <c r="G129" s="36"/>
      <c r="H129" s="36"/>
      <c r="I129" s="36"/>
      <c r="J129" s="36"/>
      <c r="K129" s="36"/>
      <c r="L129" s="36"/>
      <c r="M129" s="36"/>
      <c r="N129" s="36"/>
      <c r="O129" s="36"/>
      <c r="P129" s="36"/>
      <c r="Q129" s="36"/>
    </row>
    <row r="130" spans="1:17" x14ac:dyDescent="0.3">
      <c r="A130" s="36"/>
      <c r="B130" s="36"/>
      <c r="C130" s="36"/>
      <c r="D130" s="36"/>
      <c r="E130" s="36"/>
      <c r="F130" s="69"/>
      <c r="G130" s="36"/>
      <c r="H130" s="36"/>
      <c r="I130" s="36"/>
      <c r="J130" s="36"/>
      <c r="K130" s="36"/>
      <c r="L130" s="36"/>
      <c r="M130" s="36"/>
      <c r="N130" s="36"/>
      <c r="O130" s="36"/>
      <c r="P130" s="36"/>
      <c r="Q130" s="36"/>
    </row>
    <row r="131" spans="1:17" ht="57.6" x14ac:dyDescent="0.3">
      <c r="A131" s="36" t="s">
        <v>391</v>
      </c>
      <c r="B131" s="36" t="s">
        <v>350</v>
      </c>
      <c r="C131" s="36" t="s">
        <v>392</v>
      </c>
      <c r="D131" s="69" t="s">
        <v>393</v>
      </c>
      <c r="E131" s="69" t="s">
        <v>394</v>
      </c>
      <c r="F131" s="106" t="s">
        <v>395</v>
      </c>
      <c r="G131" s="69"/>
      <c r="H131" s="69"/>
      <c r="I131" s="36"/>
      <c r="J131" s="36"/>
      <c r="K131" s="36"/>
      <c r="L131" s="36"/>
      <c r="M131" s="36"/>
      <c r="N131" s="36"/>
      <c r="O131" s="36"/>
      <c r="P131" s="36"/>
      <c r="Q131" s="36"/>
    </row>
    <row r="132" spans="1:17" x14ac:dyDescent="0.3">
      <c r="A132" s="36" t="s">
        <v>294</v>
      </c>
      <c r="B132" s="36">
        <v>115</v>
      </c>
      <c r="C132" s="36"/>
      <c r="D132" s="69">
        <v>9348591.0730233546</v>
      </c>
      <c r="E132" s="69">
        <v>2167116.1509940801</v>
      </c>
      <c r="F132" s="107">
        <v>11515707.224017434</v>
      </c>
      <c r="G132" s="36"/>
      <c r="H132" s="36"/>
      <c r="I132" s="36"/>
      <c r="J132" s="36"/>
      <c r="K132" s="36"/>
      <c r="L132" s="36"/>
      <c r="M132" s="36"/>
      <c r="N132" s="36"/>
      <c r="O132" s="36"/>
      <c r="P132" s="36"/>
      <c r="Q132" s="36"/>
    </row>
    <row r="133" spans="1:17" x14ac:dyDescent="0.3">
      <c r="A133" s="36" t="s">
        <v>396</v>
      </c>
      <c r="B133" s="36"/>
      <c r="C133" s="36"/>
      <c r="D133" s="36"/>
      <c r="E133" s="36"/>
      <c r="F133" s="106">
        <v>0</v>
      </c>
      <c r="G133" s="36"/>
      <c r="H133" s="36"/>
      <c r="I133" s="36"/>
      <c r="J133" s="36"/>
      <c r="K133" s="36"/>
      <c r="L133" s="36"/>
      <c r="M133" s="36"/>
      <c r="N133" s="36"/>
      <c r="O133" s="36"/>
      <c r="P133" s="36"/>
      <c r="Q133" s="36"/>
    </row>
    <row r="134" spans="1:17" x14ac:dyDescent="0.3">
      <c r="A134" s="36"/>
      <c r="B134" s="36"/>
      <c r="C134" s="36"/>
      <c r="D134" s="36"/>
      <c r="E134" s="36"/>
      <c r="F134" s="36"/>
      <c r="G134" s="36"/>
      <c r="H134" s="36"/>
      <c r="I134" s="36"/>
      <c r="J134" s="36"/>
      <c r="K134" s="36"/>
      <c r="L134" s="36"/>
      <c r="M134" s="36"/>
      <c r="N134" s="36"/>
      <c r="O134" s="36"/>
      <c r="P134" s="36"/>
      <c r="Q134" s="36"/>
    </row>
    <row r="135" spans="1:17" x14ac:dyDescent="0.3">
      <c r="A135" s="108" t="s">
        <v>397</v>
      </c>
      <c r="B135" s="70"/>
      <c r="C135" s="64">
        <f>F132</f>
        <v>11515707.224017434</v>
      </c>
      <c r="D135" s="36"/>
      <c r="E135" s="36"/>
      <c r="F135" s="36"/>
      <c r="G135" s="36"/>
      <c r="H135" s="36"/>
      <c r="I135" s="36"/>
      <c r="J135" s="36"/>
      <c r="K135" s="36"/>
      <c r="L135" s="36"/>
      <c r="M135" s="36"/>
      <c r="N135" s="36"/>
      <c r="O135" s="36"/>
      <c r="P135" s="36"/>
      <c r="Q135" s="36"/>
    </row>
    <row r="136" spans="1:17" x14ac:dyDescent="0.3">
      <c r="A136" s="108" t="s">
        <v>398</v>
      </c>
      <c r="B136" s="70"/>
      <c r="C136" s="64">
        <f>F128+F124+O84+O69</f>
        <v>77461759.438669398</v>
      </c>
      <c r="D136" s="36"/>
      <c r="E136" s="36"/>
      <c r="F136" s="36"/>
      <c r="G136" s="36"/>
      <c r="H136" s="36"/>
      <c r="I136" s="36"/>
      <c r="J136" s="36"/>
      <c r="K136" s="36"/>
      <c r="L136" s="36"/>
      <c r="M136" s="36"/>
      <c r="N136" s="36"/>
      <c r="O136" s="36"/>
      <c r="P136" s="36"/>
      <c r="Q136" s="36"/>
    </row>
    <row r="137" spans="1:17" x14ac:dyDescent="0.3">
      <c r="A137" s="108" t="s">
        <v>399</v>
      </c>
      <c r="B137" s="70"/>
      <c r="C137" s="64">
        <f>C135+C136</f>
        <v>88977466.662686825</v>
      </c>
      <c r="D137" s="36"/>
      <c r="E137" s="36"/>
      <c r="F137" s="36"/>
      <c r="G137" s="36"/>
      <c r="H137" s="36"/>
      <c r="I137" s="36"/>
      <c r="J137" s="36"/>
      <c r="K137" s="36"/>
      <c r="L137" s="36"/>
      <c r="M137" s="36"/>
      <c r="N137" s="36"/>
      <c r="O137" s="36"/>
      <c r="P137" s="36"/>
      <c r="Q137" s="36"/>
    </row>
    <row r="138" spans="1:17" x14ac:dyDescent="0.3">
      <c r="A138" s="36"/>
      <c r="B138" s="36"/>
      <c r="C138" s="36"/>
      <c r="D138" s="36"/>
      <c r="E138" s="36"/>
      <c r="F138" s="36"/>
      <c r="G138" s="36"/>
      <c r="H138" s="36"/>
      <c r="I138" s="36"/>
      <c r="J138" s="36"/>
      <c r="K138" s="36"/>
      <c r="L138" s="36"/>
      <c r="M138" s="36"/>
      <c r="N138" s="36"/>
      <c r="O138" s="36"/>
      <c r="P138" s="36"/>
      <c r="Q138" s="36"/>
    </row>
    <row r="139" spans="1:17" x14ac:dyDescent="0.3">
      <c r="A139" s="36"/>
      <c r="B139" s="36"/>
      <c r="C139" s="36"/>
      <c r="D139" s="36"/>
      <c r="E139" s="36"/>
      <c r="F139" s="36"/>
      <c r="G139" s="36"/>
      <c r="H139" s="36"/>
      <c r="I139" s="36"/>
      <c r="J139" s="36"/>
      <c r="K139" s="36"/>
      <c r="L139" s="36"/>
      <c r="M139" s="36"/>
      <c r="N139" s="36"/>
      <c r="O139" s="36"/>
      <c r="P139" s="36"/>
      <c r="Q139" s="36"/>
    </row>
    <row r="140" spans="1:17" x14ac:dyDescent="0.3">
      <c r="A140" s="36"/>
      <c r="B140" s="36"/>
      <c r="C140" s="36"/>
      <c r="D140" s="36"/>
      <c r="E140" s="36"/>
      <c r="F140" s="36"/>
      <c r="G140" s="36"/>
      <c r="H140" s="36"/>
      <c r="I140" s="36"/>
      <c r="J140" s="36"/>
      <c r="K140" s="36"/>
      <c r="L140" s="36"/>
      <c r="M140" s="36"/>
      <c r="N140" s="36"/>
      <c r="O140" s="36"/>
      <c r="P140" s="36"/>
      <c r="Q140" s="36"/>
    </row>
    <row r="141" spans="1:17" x14ac:dyDescent="0.3">
      <c r="A141" s="36"/>
      <c r="B141" s="36"/>
      <c r="C141" s="36"/>
      <c r="D141" s="36"/>
      <c r="E141" s="36"/>
      <c r="F141" s="36"/>
      <c r="G141" s="36"/>
      <c r="H141" s="36"/>
      <c r="I141" s="36"/>
      <c r="J141" s="36"/>
      <c r="K141" s="36"/>
      <c r="L141" s="36"/>
      <c r="M141" s="36"/>
      <c r="N141" s="36"/>
      <c r="O141" s="36"/>
      <c r="P141" s="36"/>
      <c r="Q141" s="36"/>
    </row>
    <row r="142" spans="1:17" x14ac:dyDescent="0.3">
      <c r="A142" s="36"/>
      <c r="B142" s="36"/>
      <c r="C142" s="36"/>
      <c r="D142" s="36"/>
      <c r="E142" s="36"/>
      <c r="F142" s="36"/>
      <c r="G142" s="36"/>
      <c r="H142" s="36"/>
      <c r="I142" s="36"/>
      <c r="J142" s="36"/>
      <c r="K142" s="36"/>
      <c r="L142" s="36"/>
      <c r="M142" s="36"/>
      <c r="N142" s="36"/>
      <c r="O142" s="36"/>
      <c r="P142" s="36"/>
      <c r="Q142" s="36"/>
    </row>
    <row r="144" spans="1:17" x14ac:dyDescent="0.3">
      <c r="C144" s="44"/>
    </row>
  </sheetData>
  <autoFilter ref="A73:O73" xr:uid="{2F521CBF-AB09-4562-A2EA-1699344780B0}"/>
  <pageMargins left="0.7" right="0.7" top="0.75" bottom="0.75" header="0.3" footer="0.3"/>
  <pageSetup scale="60"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63A1D-C082-42B6-A440-6D61CDAA0A0B}">
  <sheetPr>
    <tabColor rgb="FF92D050"/>
  </sheetPr>
  <dimension ref="A1:V144"/>
  <sheetViews>
    <sheetView zoomScale="90" zoomScaleNormal="90" workbookViewId="0">
      <selection activeCell="H86" sqref="H86"/>
    </sheetView>
  </sheetViews>
  <sheetFormatPr defaultRowHeight="14.4" x14ac:dyDescent="0.3"/>
  <cols>
    <col min="1" max="1" width="38.88671875" customWidth="1"/>
    <col min="2" max="2" width="0.109375" customWidth="1"/>
    <col min="3" max="3" width="23.6640625" customWidth="1"/>
    <col min="4" max="4" width="24" customWidth="1"/>
    <col min="5" max="5" width="19.109375" customWidth="1"/>
    <col min="6" max="6" width="17.88671875" customWidth="1"/>
    <col min="7" max="8" width="16.44140625" customWidth="1"/>
    <col min="9" max="9" width="21.44140625" customWidth="1"/>
    <col min="10" max="10" width="14.88671875" bestFit="1" customWidth="1"/>
    <col min="11" max="11" width="13.6640625" hidden="1" customWidth="1"/>
    <col min="12" max="12" width="11.5546875" hidden="1" customWidth="1"/>
    <col min="13" max="13" width="14.5546875" hidden="1" customWidth="1"/>
    <col min="14" max="14" width="21.44140625" hidden="1" customWidth="1"/>
    <col min="15" max="15" width="15.33203125" bestFit="1" customWidth="1"/>
    <col min="16" max="16" width="8.88671875" customWidth="1"/>
    <col min="22" max="22" width="13.5546875" bestFit="1" customWidth="1"/>
  </cols>
  <sheetData>
    <row r="1" spans="1:17" ht="28.8" x14ac:dyDescent="0.3">
      <c r="A1" s="93" t="s">
        <v>349</v>
      </c>
      <c r="B1" s="93" t="s">
        <v>350</v>
      </c>
      <c r="C1" s="94" t="s">
        <v>351</v>
      </c>
      <c r="D1" s="94" t="s">
        <v>400</v>
      </c>
      <c r="E1" s="95" t="s">
        <v>352</v>
      </c>
      <c r="F1" s="95" t="s">
        <v>353</v>
      </c>
      <c r="G1" s="95" t="s">
        <v>354</v>
      </c>
      <c r="H1" s="96" t="s">
        <v>355</v>
      </c>
      <c r="I1" s="95" t="s">
        <v>356</v>
      </c>
      <c r="J1" s="95" t="s">
        <v>357</v>
      </c>
      <c r="K1" s="97" t="s">
        <v>358</v>
      </c>
      <c r="L1" s="97" t="s">
        <v>359</v>
      </c>
      <c r="M1" s="97" t="s">
        <v>360</v>
      </c>
      <c r="N1" s="97" t="s">
        <v>361</v>
      </c>
      <c r="O1" s="93" t="s">
        <v>362</v>
      </c>
      <c r="P1" s="36"/>
      <c r="Q1" s="36"/>
    </row>
    <row r="2" spans="1:17" x14ac:dyDescent="0.3">
      <c r="A2" s="36" t="s">
        <v>26</v>
      </c>
      <c r="B2" s="36">
        <v>1</v>
      </c>
      <c r="C2" s="69">
        <v>185366.96914398481</v>
      </c>
      <c r="D2" s="69">
        <f>+C2*0.495</f>
        <v>91756.649726272473</v>
      </c>
      <c r="E2" s="69">
        <f>+C2-D2</f>
        <v>93610.319417712337</v>
      </c>
      <c r="F2" s="69">
        <v>0</v>
      </c>
      <c r="G2" s="69">
        <v>38315.912000000004</v>
      </c>
      <c r="H2" s="69"/>
      <c r="I2" s="69"/>
      <c r="J2" s="69">
        <f t="shared" ref="J2:J13" si="0">+F2+G2</f>
        <v>38315.912000000004</v>
      </c>
      <c r="K2" s="98"/>
      <c r="L2" s="98"/>
      <c r="M2" s="98"/>
      <c r="N2" s="98"/>
      <c r="O2" s="69">
        <f t="shared" ref="O2:O65" si="1">SUM(E2+J2)</f>
        <v>131926.23141771235</v>
      </c>
      <c r="P2" s="36"/>
      <c r="Q2" s="36"/>
    </row>
    <row r="3" spans="1:17" x14ac:dyDescent="0.3">
      <c r="A3" s="36" t="s">
        <v>27</v>
      </c>
      <c r="B3" s="36">
        <v>2</v>
      </c>
      <c r="C3" s="69">
        <v>6209793.8923684452</v>
      </c>
      <c r="D3" s="69">
        <f t="shared" ref="D3:D66" si="2">+C3*0.495</f>
        <v>3073847.9767223801</v>
      </c>
      <c r="E3" s="69">
        <f t="shared" ref="E3:E66" si="3">+C3-D3</f>
        <v>3135945.915646065</v>
      </c>
      <c r="F3" s="69">
        <v>0</v>
      </c>
      <c r="G3" s="69">
        <v>359099.04782826698</v>
      </c>
      <c r="H3" s="69"/>
      <c r="I3" s="69"/>
      <c r="J3" s="69">
        <f t="shared" si="0"/>
        <v>359099.04782826698</v>
      </c>
      <c r="K3" s="69"/>
      <c r="L3" s="69"/>
      <c r="M3" s="69"/>
      <c r="N3" s="99"/>
      <c r="O3" s="69">
        <f t="shared" si="1"/>
        <v>3495044.9634743319</v>
      </c>
      <c r="P3" s="36"/>
      <c r="Q3" s="36"/>
    </row>
    <row r="4" spans="1:17" x14ac:dyDescent="0.3">
      <c r="A4" s="36" t="s">
        <v>28</v>
      </c>
      <c r="B4" s="36">
        <v>3</v>
      </c>
      <c r="C4" s="69">
        <v>326547.65424871328</v>
      </c>
      <c r="D4" s="69">
        <f t="shared" si="2"/>
        <v>161641.08885311306</v>
      </c>
      <c r="E4" s="69">
        <f t="shared" si="3"/>
        <v>164906.56539560022</v>
      </c>
      <c r="F4" s="69">
        <v>0</v>
      </c>
      <c r="G4" s="69">
        <v>19157.956000000002</v>
      </c>
      <c r="H4" s="69"/>
      <c r="I4" s="69"/>
      <c r="J4" s="69">
        <f t="shared" si="0"/>
        <v>19157.956000000002</v>
      </c>
      <c r="K4" s="98"/>
      <c r="L4" s="98"/>
      <c r="M4" s="98"/>
      <c r="N4" s="98"/>
      <c r="O4" s="69">
        <f t="shared" si="1"/>
        <v>184064.52139560023</v>
      </c>
      <c r="P4" s="36"/>
      <c r="Q4" s="36"/>
    </row>
    <row r="5" spans="1:17" x14ac:dyDescent="0.3">
      <c r="A5" s="36" t="s">
        <v>29</v>
      </c>
      <c r="B5" s="36">
        <v>4</v>
      </c>
      <c r="C5" s="69">
        <v>686504.4368627416</v>
      </c>
      <c r="D5" s="69">
        <f t="shared" si="2"/>
        <v>339819.69624705712</v>
      </c>
      <c r="E5" s="69">
        <f t="shared" si="3"/>
        <v>346684.74061568448</v>
      </c>
      <c r="F5" s="69">
        <v>0</v>
      </c>
      <c r="G5" s="69">
        <v>48302.34206137633</v>
      </c>
      <c r="H5" s="69"/>
      <c r="I5" s="69"/>
      <c r="J5" s="69">
        <f t="shared" si="0"/>
        <v>48302.34206137633</v>
      </c>
      <c r="K5" s="69"/>
      <c r="L5" s="69"/>
      <c r="M5" s="69"/>
      <c r="N5" s="69"/>
      <c r="O5" s="69">
        <f t="shared" si="1"/>
        <v>394987.0826770608</v>
      </c>
      <c r="P5" s="36"/>
      <c r="Q5" s="36"/>
    </row>
    <row r="6" spans="1:17" x14ac:dyDescent="0.3">
      <c r="A6" s="36" t="s">
        <v>30</v>
      </c>
      <c r="B6" s="36">
        <v>5</v>
      </c>
      <c r="C6" s="69">
        <v>103460.67897729314</v>
      </c>
      <c r="D6" s="69">
        <f t="shared" si="2"/>
        <v>51213.0360937601</v>
      </c>
      <c r="E6" s="69">
        <f t="shared" si="3"/>
        <v>52247.642883533037</v>
      </c>
      <c r="F6" s="69">
        <v>0</v>
      </c>
      <c r="G6" s="69">
        <v>13661.567210142388</v>
      </c>
      <c r="H6" s="69"/>
      <c r="I6" s="69"/>
      <c r="J6" s="69">
        <f t="shared" si="0"/>
        <v>13661.567210142388</v>
      </c>
      <c r="K6" s="98"/>
      <c r="L6" s="98"/>
      <c r="M6" s="98"/>
      <c r="N6" s="98"/>
      <c r="O6" s="69">
        <f t="shared" si="1"/>
        <v>65909.210093675429</v>
      </c>
      <c r="P6" s="36"/>
      <c r="Q6" s="36"/>
    </row>
    <row r="7" spans="1:17" x14ac:dyDescent="0.3">
      <c r="A7" s="36" t="s">
        <v>31</v>
      </c>
      <c r="B7" s="36">
        <v>6</v>
      </c>
      <c r="C7" s="69">
        <v>1018979.5383515304</v>
      </c>
      <c r="D7" s="69">
        <f t="shared" si="2"/>
        <v>504394.87148400757</v>
      </c>
      <c r="E7" s="69">
        <f t="shared" si="3"/>
        <v>514584.66686752287</v>
      </c>
      <c r="F7" s="69"/>
      <c r="G7" s="69"/>
      <c r="H7" s="69"/>
      <c r="I7" s="69"/>
      <c r="J7" s="69">
        <f t="shared" si="0"/>
        <v>0</v>
      </c>
      <c r="K7" s="69"/>
      <c r="L7" s="98"/>
      <c r="M7" s="69"/>
      <c r="N7" s="69"/>
      <c r="O7" s="69">
        <f t="shared" si="1"/>
        <v>514584.66686752287</v>
      </c>
      <c r="P7" s="36"/>
      <c r="Q7" s="36"/>
    </row>
    <row r="8" spans="1:17" x14ac:dyDescent="0.3">
      <c r="A8" s="36" t="s">
        <v>32</v>
      </c>
      <c r="B8" s="36">
        <v>7</v>
      </c>
      <c r="C8" s="69">
        <v>434858.04165987222</v>
      </c>
      <c r="D8" s="69">
        <f t="shared" si="2"/>
        <v>215254.73062163676</v>
      </c>
      <c r="E8" s="69">
        <f t="shared" si="3"/>
        <v>219603.31103823546</v>
      </c>
      <c r="F8" s="69"/>
      <c r="G8" s="69"/>
      <c r="H8" s="69"/>
      <c r="I8" s="69"/>
      <c r="J8" s="69">
        <f t="shared" si="0"/>
        <v>0</v>
      </c>
      <c r="K8" s="98"/>
      <c r="L8" s="98"/>
      <c r="M8" s="98"/>
      <c r="N8" s="98"/>
      <c r="O8" s="69">
        <f t="shared" si="1"/>
        <v>219603.31103823546</v>
      </c>
      <c r="P8" s="36"/>
      <c r="Q8" s="36"/>
    </row>
    <row r="9" spans="1:17" x14ac:dyDescent="0.3">
      <c r="A9" s="36" t="s">
        <v>33</v>
      </c>
      <c r="B9" s="36">
        <v>8</v>
      </c>
      <c r="C9" s="69">
        <v>121242.94323480103</v>
      </c>
      <c r="D9" s="69">
        <f t="shared" si="2"/>
        <v>60015.256901226508</v>
      </c>
      <c r="E9" s="69">
        <f t="shared" si="3"/>
        <v>61227.686333574522</v>
      </c>
      <c r="F9" s="69">
        <v>0</v>
      </c>
      <c r="G9" s="69">
        <v>9578.98</v>
      </c>
      <c r="H9" s="69"/>
      <c r="I9" s="69"/>
      <c r="J9" s="69">
        <f t="shared" si="0"/>
        <v>9578.98</v>
      </c>
      <c r="K9" s="69"/>
      <c r="L9" s="69"/>
      <c r="M9" s="69"/>
      <c r="N9" s="69"/>
      <c r="O9" s="69">
        <f t="shared" si="1"/>
        <v>70806.666333574525</v>
      </c>
      <c r="P9" s="36"/>
      <c r="Q9" s="36"/>
    </row>
    <row r="10" spans="1:17" x14ac:dyDescent="0.3">
      <c r="A10" s="36" t="s">
        <v>34</v>
      </c>
      <c r="B10" s="36">
        <v>9</v>
      </c>
      <c r="C10" s="69">
        <v>3126990.0882038507</v>
      </c>
      <c r="D10" s="69">
        <f t="shared" si="2"/>
        <v>1547860.093660906</v>
      </c>
      <c r="E10" s="69">
        <f t="shared" si="3"/>
        <v>1579129.9945429447</v>
      </c>
      <c r="F10" s="69">
        <v>0</v>
      </c>
      <c r="G10" s="69">
        <v>185651.1</v>
      </c>
      <c r="H10" s="69"/>
      <c r="I10" s="69"/>
      <c r="J10" s="69">
        <f t="shared" si="0"/>
        <v>185651.1</v>
      </c>
      <c r="K10" s="98"/>
      <c r="L10" s="98"/>
      <c r="M10" s="98"/>
      <c r="N10" s="98"/>
      <c r="O10" s="69">
        <f t="shared" si="1"/>
        <v>1764781.0945429448</v>
      </c>
      <c r="P10" s="36"/>
      <c r="Q10" s="36"/>
    </row>
    <row r="11" spans="1:17" x14ac:dyDescent="0.3">
      <c r="A11" s="36" t="s">
        <v>35</v>
      </c>
      <c r="B11" s="36">
        <v>10</v>
      </c>
      <c r="C11" s="69">
        <v>737695.9069482832</v>
      </c>
      <c r="D11" s="69">
        <f t="shared" si="2"/>
        <v>365159.47393940017</v>
      </c>
      <c r="E11" s="69">
        <f>+C11-D11</f>
        <v>372536.43300888303</v>
      </c>
      <c r="F11" s="69"/>
      <c r="G11" s="36"/>
      <c r="H11" s="69"/>
      <c r="I11" s="69"/>
      <c r="J11" s="69">
        <f t="shared" si="0"/>
        <v>0</v>
      </c>
      <c r="K11" s="69"/>
      <c r="L11" s="69"/>
      <c r="M11" s="69"/>
      <c r="N11" s="69"/>
      <c r="O11" s="69">
        <f t="shared" si="1"/>
        <v>372536.43300888303</v>
      </c>
      <c r="P11" s="36"/>
      <c r="Q11" s="36"/>
    </row>
    <row r="12" spans="1:17" x14ac:dyDescent="0.3">
      <c r="A12" s="36" t="s">
        <v>36</v>
      </c>
      <c r="B12" s="36">
        <v>11</v>
      </c>
      <c r="C12" s="69">
        <v>855166.88055542833</v>
      </c>
      <c r="D12" s="69">
        <f t="shared" si="2"/>
        <v>423307.60587493703</v>
      </c>
      <c r="E12" s="69">
        <f t="shared" si="3"/>
        <v>431859.2746804913</v>
      </c>
      <c r="F12" s="69">
        <v>0</v>
      </c>
      <c r="G12" s="69">
        <v>38315.910000000003</v>
      </c>
      <c r="H12" s="69"/>
      <c r="I12" s="69"/>
      <c r="J12" s="69">
        <f t="shared" si="0"/>
        <v>38315.910000000003</v>
      </c>
      <c r="K12" s="98"/>
      <c r="L12" s="98"/>
      <c r="M12" s="98"/>
      <c r="N12" s="98"/>
      <c r="O12" s="69">
        <f t="shared" si="1"/>
        <v>470175.18468049134</v>
      </c>
      <c r="P12" s="36"/>
      <c r="Q12" s="36"/>
    </row>
    <row r="13" spans="1:17" x14ac:dyDescent="0.3">
      <c r="A13" s="36" t="s">
        <v>37</v>
      </c>
      <c r="B13" s="36">
        <v>12</v>
      </c>
      <c r="C13" s="69">
        <v>77462.718767322978</v>
      </c>
      <c r="D13" s="69">
        <f t="shared" si="2"/>
        <v>38344.045789824871</v>
      </c>
      <c r="E13" s="69">
        <f t="shared" si="3"/>
        <v>39118.672977498107</v>
      </c>
      <c r="F13" s="69"/>
      <c r="G13" s="36"/>
      <c r="H13" s="69"/>
      <c r="I13" s="69"/>
      <c r="J13" s="69">
        <f t="shared" si="0"/>
        <v>0</v>
      </c>
      <c r="K13" s="69"/>
      <c r="L13" s="69"/>
      <c r="M13" s="69"/>
      <c r="N13" s="69"/>
      <c r="O13" s="69">
        <f t="shared" si="1"/>
        <v>39118.672977498107</v>
      </c>
      <c r="P13" s="36"/>
      <c r="Q13" s="36"/>
    </row>
    <row r="14" spans="1:17" x14ac:dyDescent="0.3">
      <c r="A14" s="36" t="s">
        <v>38</v>
      </c>
      <c r="B14" s="36">
        <v>13</v>
      </c>
      <c r="C14" s="69">
        <v>347024.22679038619</v>
      </c>
      <c r="D14" s="69">
        <f t="shared" si="2"/>
        <v>171776.99226124116</v>
      </c>
      <c r="E14" s="69">
        <f t="shared" si="3"/>
        <v>175247.23452914503</v>
      </c>
      <c r="F14" s="69">
        <v>0</v>
      </c>
      <c r="G14" s="69">
        <v>19157.96</v>
      </c>
      <c r="H14" s="109">
        <v>0</v>
      </c>
      <c r="I14" s="69">
        <v>71842.335000000006</v>
      </c>
      <c r="J14" s="69">
        <f>+F14+G14+H14+I14</f>
        <v>91000.295000000013</v>
      </c>
      <c r="K14" s="98"/>
      <c r="L14" s="98"/>
      <c r="M14" s="98"/>
      <c r="N14" s="98"/>
      <c r="O14" s="69">
        <f t="shared" si="1"/>
        <v>266247.52952914505</v>
      </c>
      <c r="P14" s="36"/>
      <c r="Q14" s="36"/>
    </row>
    <row r="15" spans="1:17" x14ac:dyDescent="0.3">
      <c r="A15" s="36" t="s">
        <v>39</v>
      </c>
      <c r="B15" s="36">
        <v>14</v>
      </c>
      <c r="C15" s="69">
        <v>134714.40719290738</v>
      </c>
      <c r="D15" s="69">
        <f t="shared" si="2"/>
        <v>66683.631560489157</v>
      </c>
      <c r="E15" s="69">
        <f t="shared" si="3"/>
        <v>68030.775632418226</v>
      </c>
      <c r="F15" s="69"/>
      <c r="G15" s="36"/>
      <c r="H15" s="69"/>
      <c r="I15" s="69"/>
      <c r="J15" s="69">
        <f t="shared" ref="J15:J23" si="4">+F15+G15</f>
        <v>0</v>
      </c>
      <c r="K15" s="69"/>
      <c r="L15" s="69"/>
      <c r="M15" s="69"/>
      <c r="N15" s="69"/>
      <c r="O15" s="69">
        <f t="shared" si="1"/>
        <v>68030.775632418226</v>
      </c>
      <c r="P15" s="36"/>
      <c r="Q15" s="36"/>
    </row>
    <row r="16" spans="1:17" x14ac:dyDescent="0.3">
      <c r="A16" s="36" t="s">
        <v>40</v>
      </c>
      <c r="B16" s="36">
        <v>15</v>
      </c>
      <c r="C16" s="69">
        <v>1201652.1992113502</v>
      </c>
      <c r="D16" s="69">
        <f t="shared" si="2"/>
        <v>594817.83860961837</v>
      </c>
      <c r="E16" s="69">
        <f t="shared" si="3"/>
        <v>606834.36060173181</v>
      </c>
      <c r="F16" s="69">
        <v>0</v>
      </c>
      <c r="G16" s="69">
        <v>153454.80205716679</v>
      </c>
      <c r="H16" s="69"/>
      <c r="I16" s="69"/>
      <c r="J16" s="69">
        <f t="shared" si="4"/>
        <v>153454.80205716679</v>
      </c>
      <c r="K16" s="98"/>
      <c r="L16" s="98"/>
      <c r="M16" s="98"/>
      <c r="N16" s="98"/>
      <c r="O16" s="69">
        <f t="shared" si="1"/>
        <v>760289.16265889863</v>
      </c>
      <c r="P16" s="36"/>
      <c r="Q16" s="36"/>
    </row>
    <row r="17" spans="1:17" x14ac:dyDescent="0.3">
      <c r="A17" s="36" t="s">
        <v>41</v>
      </c>
      <c r="B17" s="36">
        <v>16</v>
      </c>
      <c r="C17" s="69">
        <v>79212.059345245434</v>
      </c>
      <c r="D17" s="69">
        <f t="shared" si="2"/>
        <v>39209.969375896493</v>
      </c>
      <c r="E17" s="69">
        <f t="shared" si="3"/>
        <v>40002.089969348941</v>
      </c>
      <c r="F17" s="69">
        <v>0</v>
      </c>
      <c r="G17" s="69">
        <v>10693.62138161113</v>
      </c>
      <c r="H17" s="69"/>
      <c r="I17" s="69"/>
      <c r="J17" s="69">
        <f t="shared" si="4"/>
        <v>10693.62138161113</v>
      </c>
      <c r="K17" s="69"/>
      <c r="L17" s="69"/>
      <c r="M17" s="69"/>
      <c r="N17" s="69"/>
      <c r="O17" s="69">
        <f t="shared" si="1"/>
        <v>50695.711350960075</v>
      </c>
      <c r="P17" s="36"/>
      <c r="Q17" s="36"/>
    </row>
    <row r="18" spans="1:17" x14ac:dyDescent="0.3">
      <c r="A18" s="36" t="s">
        <v>42</v>
      </c>
      <c r="B18" s="36">
        <v>17</v>
      </c>
      <c r="C18" s="69">
        <v>161118.42697465586</v>
      </c>
      <c r="D18" s="69">
        <f t="shared" si="2"/>
        <v>79753.621352454647</v>
      </c>
      <c r="E18" s="69">
        <f t="shared" si="3"/>
        <v>81364.805622201209</v>
      </c>
      <c r="F18" s="69">
        <v>0</v>
      </c>
      <c r="G18" s="69">
        <v>23133.093250593585</v>
      </c>
      <c r="H18" s="69"/>
      <c r="I18" s="69"/>
      <c r="J18" s="69">
        <f t="shared" si="4"/>
        <v>23133.093250593585</v>
      </c>
      <c r="K18" s="98"/>
      <c r="L18" s="98"/>
      <c r="M18" s="98"/>
      <c r="N18" s="98"/>
      <c r="O18" s="69">
        <f t="shared" si="1"/>
        <v>104497.89887279479</v>
      </c>
      <c r="P18" s="36"/>
      <c r="Q18" s="36"/>
    </row>
    <row r="19" spans="1:17" x14ac:dyDescent="0.3">
      <c r="A19" s="36" t="s">
        <v>43</v>
      </c>
      <c r="B19" s="36">
        <v>18</v>
      </c>
      <c r="C19" s="69">
        <v>77462.718767322978</v>
      </c>
      <c r="D19" s="69">
        <f t="shared" si="2"/>
        <v>38344.045789824871</v>
      </c>
      <c r="E19" s="69">
        <f t="shared" si="3"/>
        <v>39118.672977498107</v>
      </c>
      <c r="F19" s="69">
        <v>0</v>
      </c>
      <c r="G19" s="69">
        <v>10753.634992114517</v>
      </c>
      <c r="H19" s="69"/>
      <c r="I19" s="69"/>
      <c r="J19" s="69">
        <f t="shared" si="4"/>
        <v>10753.634992114517</v>
      </c>
      <c r="K19" s="69"/>
      <c r="L19" s="69"/>
      <c r="M19" s="69"/>
      <c r="N19" s="69"/>
      <c r="O19" s="69">
        <f t="shared" si="1"/>
        <v>49872.307969612622</v>
      </c>
      <c r="P19" s="36"/>
      <c r="Q19" s="36"/>
    </row>
    <row r="20" spans="1:17" x14ac:dyDescent="0.3">
      <c r="A20" s="36" t="s">
        <v>44</v>
      </c>
      <c r="B20" s="36">
        <v>19</v>
      </c>
      <c r="C20" s="69">
        <v>176745.29108246299</v>
      </c>
      <c r="D20" s="69">
        <f t="shared" si="2"/>
        <v>87488.919085819187</v>
      </c>
      <c r="E20" s="69">
        <f t="shared" si="3"/>
        <v>89256.371996643808</v>
      </c>
      <c r="F20" s="69">
        <v>0</v>
      </c>
      <c r="G20" s="69">
        <v>19157.956000000002</v>
      </c>
      <c r="H20" s="69"/>
      <c r="I20" s="69"/>
      <c r="J20" s="69">
        <f t="shared" si="4"/>
        <v>19157.956000000002</v>
      </c>
      <c r="K20" s="98"/>
      <c r="L20" s="98"/>
      <c r="M20" s="98"/>
      <c r="N20" s="98"/>
      <c r="O20" s="69">
        <f t="shared" si="1"/>
        <v>108414.32799664381</v>
      </c>
      <c r="P20" s="36"/>
      <c r="Q20" s="36"/>
    </row>
    <row r="21" spans="1:17" x14ac:dyDescent="0.3">
      <c r="A21" s="36" t="s">
        <v>45</v>
      </c>
      <c r="B21" s="36">
        <v>20</v>
      </c>
      <c r="C21" s="69">
        <v>361573.3520919836</v>
      </c>
      <c r="D21" s="69">
        <f t="shared" si="2"/>
        <v>178978.80928553187</v>
      </c>
      <c r="E21" s="69">
        <f t="shared" si="3"/>
        <v>182594.54280645173</v>
      </c>
      <c r="F21" s="69"/>
      <c r="G21" s="69">
        <v>74505.61</v>
      </c>
      <c r="H21" s="69"/>
      <c r="I21" s="69"/>
      <c r="J21" s="69">
        <f t="shared" si="4"/>
        <v>74505.61</v>
      </c>
      <c r="K21" s="69"/>
      <c r="L21" s="69"/>
      <c r="M21" s="69"/>
      <c r="N21" s="69"/>
      <c r="O21" s="69">
        <f t="shared" si="1"/>
        <v>257100.15280645172</v>
      </c>
      <c r="P21" s="36"/>
      <c r="Q21" s="36"/>
    </row>
    <row r="22" spans="1:17" x14ac:dyDescent="0.3">
      <c r="A22" s="36" t="s">
        <v>46</v>
      </c>
      <c r="B22" s="36">
        <v>21</v>
      </c>
      <c r="C22" s="69">
        <v>564722.66295619507</v>
      </c>
      <c r="D22" s="69">
        <f t="shared" si="2"/>
        <v>279537.71816331655</v>
      </c>
      <c r="E22" s="69">
        <f t="shared" si="3"/>
        <v>285184.94479287852</v>
      </c>
      <c r="F22" s="69">
        <v>0</v>
      </c>
      <c r="G22" s="69">
        <v>82239.033788426983</v>
      </c>
      <c r="H22" s="69"/>
      <c r="I22" s="69"/>
      <c r="J22" s="69">
        <f t="shared" si="4"/>
        <v>82239.033788426983</v>
      </c>
      <c r="K22" s="98"/>
      <c r="L22" s="98"/>
      <c r="M22" s="98"/>
      <c r="N22" s="98"/>
      <c r="O22" s="69">
        <f t="shared" si="1"/>
        <v>367423.97858130548</v>
      </c>
      <c r="P22" s="36"/>
      <c r="Q22" s="36"/>
    </row>
    <row r="23" spans="1:17" x14ac:dyDescent="0.3">
      <c r="A23" s="36" t="s">
        <v>47</v>
      </c>
      <c r="B23" s="36">
        <v>22</v>
      </c>
      <c r="C23" s="69">
        <v>868099.43637907051</v>
      </c>
      <c r="D23" s="69">
        <f t="shared" si="2"/>
        <v>429709.22100763989</v>
      </c>
      <c r="E23" s="69">
        <f t="shared" si="3"/>
        <v>438390.21537143062</v>
      </c>
      <c r="F23" s="69"/>
      <c r="G23" s="69">
        <v>165634.69352473743</v>
      </c>
      <c r="H23" s="69"/>
      <c r="I23" s="69"/>
      <c r="J23" s="69">
        <f t="shared" si="4"/>
        <v>165634.69352473743</v>
      </c>
      <c r="K23" s="69"/>
      <c r="L23" s="69"/>
      <c r="M23" s="69"/>
      <c r="N23" s="69"/>
      <c r="O23" s="69">
        <f t="shared" si="1"/>
        <v>604024.908896168</v>
      </c>
      <c r="P23" s="36"/>
      <c r="Q23" s="36"/>
    </row>
    <row r="24" spans="1:17" x14ac:dyDescent="0.3">
      <c r="A24" s="36" t="s">
        <v>48</v>
      </c>
      <c r="B24" s="36">
        <v>23</v>
      </c>
      <c r="C24" s="69">
        <v>3485330.3788026427</v>
      </c>
      <c r="D24" s="69">
        <f t="shared" si="2"/>
        <v>1725238.5375073082</v>
      </c>
      <c r="E24" s="69">
        <f t="shared" si="3"/>
        <v>1760091.8412953345</v>
      </c>
      <c r="F24" s="69">
        <v>0</v>
      </c>
      <c r="G24" s="36"/>
      <c r="H24" s="69">
        <v>0</v>
      </c>
      <c r="I24" s="69">
        <v>359211.67499999999</v>
      </c>
      <c r="J24" s="69">
        <f>+H24+I24+F24</f>
        <v>359211.67499999999</v>
      </c>
      <c r="K24" s="98"/>
      <c r="L24" s="98"/>
      <c r="M24" s="98"/>
      <c r="N24" s="98"/>
      <c r="O24" s="69">
        <f t="shared" si="1"/>
        <v>2119303.5162953343</v>
      </c>
      <c r="P24" s="36"/>
      <c r="Q24" s="36"/>
    </row>
    <row r="25" spans="1:17" x14ac:dyDescent="0.3">
      <c r="A25" s="36" t="s">
        <v>49</v>
      </c>
      <c r="B25" s="36">
        <v>24</v>
      </c>
      <c r="C25" s="69">
        <v>90528.045690932267</v>
      </c>
      <c r="D25" s="69">
        <f t="shared" si="2"/>
        <v>44811.38261701147</v>
      </c>
      <c r="E25" s="69">
        <f t="shared" si="3"/>
        <v>45716.663073920798</v>
      </c>
      <c r="F25" s="69"/>
      <c r="G25" s="36"/>
      <c r="H25" s="69"/>
      <c r="I25" s="69"/>
      <c r="J25" s="69">
        <f t="shared" ref="J25:J51" si="5">+F25+G25</f>
        <v>0</v>
      </c>
      <c r="K25" s="69"/>
      <c r="L25" s="69"/>
      <c r="M25" s="69"/>
      <c r="N25" s="69"/>
      <c r="O25" s="69">
        <f t="shared" si="1"/>
        <v>45716.663073920798</v>
      </c>
      <c r="P25" s="36"/>
      <c r="Q25" s="36"/>
    </row>
    <row r="26" spans="1:17" x14ac:dyDescent="0.3">
      <c r="A26" s="36" t="s">
        <v>50</v>
      </c>
      <c r="B26" s="36">
        <v>25</v>
      </c>
      <c r="C26" s="69">
        <v>1105196.7062803425</v>
      </c>
      <c r="D26" s="69">
        <f t="shared" si="2"/>
        <v>547072.36960876954</v>
      </c>
      <c r="E26" s="69">
        <f t="shared" si="3"/>
        <v>558124.33667157299</v>
      </c>
      <c r="F26" s="69">
        <v>0</v>
      </c>
      <c r="G26" s="69">
        <v>77781.084969933567</v>
      </c>
      <c r="H26" s="69"/>
      <c r="I26" s="69"/>
      <c r="J26" s="69">
        <f t="shared" si="5"/>
        <v>77781.084969933567</v>
      </c>
      <c r="K26" s="98"/>
      <c r="L26" s="98"/>
      <c r="M26" s="98"/>
      <c r="N26" s="98"/>
      <c r="O26" s="69">
        <f t="shared" si="1"/>
        <v>635905.4216415066</v>
      </c>
      <c r="P26" s="36"/>
      <c r="Q26" s="36"/>
    </row>
    <row r="27" spans="1:17" x14ac:dyDescent="0.3">
      <c r="A27" s="36" t="s">
        <v>51</v>
      </c>
      <c r="B27" s="36">
        <v>26</v>
      </c>
      <c r="C27" s="69">
        <v>726379.92060259648</v>
      </c>
      <c r="D27" s="69">
        <f t="shared" si="2"/>
        <v>359558.06069828523</v>
      </c>
      <c r="E27" s="69">
        <f t="shared" si="3"/>
        <v>366821.85990431125</v>
      </c>
      <c r="F27" s="69">
        <v>0</v>
      </c>
      <c r="G27" s="69">
        <v>38315.912000000004</v>
      </c>
      <c r="H27" s="69"/>
      <c r="I27" s="69"/>
      <c r="J27" s="69">
        <f t="shared" si="5"/>
        <v>38315.912000000004</v>
      </c>
      <c r="K27" s="69"/>
      <c r="L27" s="69"/>
      <c r="M27" s="69"/>
      <c r="N27" s="69"/>
      <c r="O27" s="69">
        <f t="shared" si="1"/>
        <v>405137.77190431126</v>
      </c>
      <c r="P27" s="36"/>
      <c r="Q27" s="36"/>
    </row>
    <row r="28" spans="1:17" x14ac:dyDescent="0.3">
      <c r="A28" s="36" t="s">
        <v>52</v>
      </c>
      <c r="B28" s="36">
        <v>27</v>
      </c>
      <c r="C28" s="69">
        <v>77462.718767322978</v>
      </c>
      <c r="D28" s="69">
        <f t="shared" si="2"/>
        <v>38344.045789824871</v>
      </c>
      <c r="E28" s="69">
        <f t="shared" si="3"/>
        <v>39118.672977498107</v>
      </c>
      <c r="F28" s="69"/>
      <c r="G28" s="36"/>
      <c r="H28" s="69"/>
      <c r="I28" s="69"/>
      <c r="J28" s="69">
        <f t="shared" si="5"/>
        <v>0</v>
      </c>
      <c r="K28" s="98"/>
      <c r="L28" s="98"/>
      <c r="M28" s="98"/>
      <c r="N28" s="98"/>
      <c r="O28" s="69">
        <f t="shared" si="1"/>
        <v>39118.672977498107</v>
      </c>
      <c r="P28" s="36"/>
      <c r="Q28" s="36"/>
    </row>
    <row r="29" spans="1:17" x14ac:dyDescent="0.3">
      <c r="A29" s="36" t="s">
        <v>53</v>
      </c>
      <c r="B29" s="36">
        <v>28</v>
      </c>
      <c r="C29" s="69">
        <v>276972.75364112685</v>
      </c>
      <c r="D29" s="69">
        <f t="shared" si="2"/>
        <v>137101.5130523578</v>
      </c>
      <c r="E29" s="69">
        <f t="shared" si="3"/>
        <v>139871.24058876905</v>
      </c>
      <c r="F29" s="69">
        <v>0</v>
      </c>
      <c r="G29" s="69">
        <v>44775.322071839815</v>
      </c>
      <c r="H29" s="69"/>
      <c r="I29" s="69"/>
      <c r="J29" s="69">
        <f t="shared" si="5"/>
        <v>44775.322071839815</v>
      </c>
      <c r="K29" s="69"/>
      <c r="L29" s="69"/>
      <c r="M29" s="69"/>
      <c r="N29" s="69"/>
      <c r="O29" s="69">
        <f t="shared" si="1"/>
        <v>184646.56266060888</v>
      </c>
      <c r="P29" s="36"/>
      <c r="Q29" s="36"/>
    </row>
    <row r="30" spans="1:17" x14ac:dyDescent="0.3">
      <c r="A30" s="36" t="s">
        <v>54</v>
      </c>
      <c r="B30" s="36">
        <v>29</v>
      </c>
      <c r="C30" s="69">
        <v>77462.718767322978</v>
      </c>
      <c r="D30" s="69">
        <f t="shared" si="2"/>
        <v>38344.045789824871</v>
      </c>
      <c r="E30" s="69">
        <f t="shared" si="3"/>
        <v>39118.672977498107</v>
      </c>
      <c r="F30" s="69"/>
      <c r="G30" s="36"/>
      <c r="H30" s="69"/>
      <c r="I30" s="69"/>
      <c r="J30" s="69">
        <f t="shared" si="5"/>
        <v>0</v>
      </c>
      <c r="K30" s="98"/>
      <c r="L30" s="98"/>
      <c r="M30" s="98"/>
      <c r="N30" s="98"/>
      <c r="O30" s="69">
        <f t="shared" si="1"/>
        <v>39118.672977498107</v>
      </c>
      <c r="P30" s="36"/>
      <c r="Q30" s="36"/>
    </row>
    <row r="31" spans="1:17" x14ac:dyDescent="0.3">
      <c r="A31" s="36" t="s">
        <v>55</v>
      </c>
      <c r="B31" s="36">
        <v>30</v>
      </c>
      <c r="C31" s="69">
        <v>110465.78756085968</v>
      </c>
      <c r="D31" s="69">
        <f t="shared" si="2"/>
        <v>54680.564842625543</v>
      </c>
      <c r="E31" s="69">
        <f t="shared" si="3"/>
        <v>55785.222718234138</v>
      </c>
      <c r="F31" s="69">
        <v>0</v>
      </c>
      <c r="G31" s="69">
        <v>10324.063885353416</v>
      </c>
      <c r="H31" s="69"/>
      <c r="I31" s="69"/>
      <c r="J31" s="69">
        <f t="shared" si="5"/>
        <v>10324.063885353416</v>
      </c>
      <c r="K31" s="69"/>
      <c r="L31" s="69"/>
      <c r="M31" s="69"/>
      <c r="N31" s="69"/>
      <c r="O31" s="69">
        <f t="shared" si="1"/>
        <v>66109.286603587549</v>
      </c>
      <c r="P31" s="36"/>
      <c r="Q31" s="36"/>
    </row>
    <row r="32" spans="1:17" x14ac:dyDescent="0.3">
      <c r="A32" s="36" t="s">
        <v>56</v>
      </c>
      <c r="B32" s="36">
        <v>31</v>
      </c>
      <c r="C32" s="69">
        <v>96455.492931007815</v>
      </c>
      <c r="D32" s="69">
        <f t="shared" si="2"/>
        <v>47745.469000848869</v>
      </c>
      <c r="E32" s="69">
        <f t="shared" si="3"/>
        <v>48710.023930158946</v>
      </c>
      <c r="F32" s="69">
        <v>0</v>
      </c>
      <c r="G32" s="69">
        <v>12660.861790982999</v>
      </c>
      <c r="H32" s="69"/>
      <c r="I32" s="69"/>
      <c r="J32" s="69">
        <f t="shared" si="5"/>
        <v>12660.861790982999</v>
      </c>
      <c r="K32" s="98"/>
      <c r="L32" s="98"/>
      <c r="M32" s="98"/>
      <c r="N32" s="98"/>
      <c r="O32" s="69">
        <f t="shared" si="1"/>
        <v>61370.885721141945</v>
      </c>
      <c r="P32" s="36"/>
      <c r="Q32" s="36"/>
    </row>
    <row r="33" spans="1:17" x14ac:dyDescent="0.3">
      <c r="A33" s="36" t="s">
        <v>57</v>
      </c>
      <c r="B33" s="36">
        <v>32</v>
      </c>
      <c r="C33" s="69">
        <v>368039.7074665234</v>
      </c>
      <c r="D33" s="69">
        <f t="shared" si="2"/>
        <v>182179.65519592908</v>
      </c>
      <c r="E33" s="69">
        <f t="shared" si="3"/>
        <v>185860.05227059431</v>
      </c>
      <c r="F33" s="69">
        <v>0</v>
      </c>
      <c r="G33" s="69">
        <v>23903.79435390027</v>
      </c>
      <c r="H33" s="69"/>
      <c r="I33" s="69"/>
      <c r="J33" s="69">
        <f t="shared" si="5"/>
        <v>23903.79435390027</v>
      </c>
      <c r="K33" s="69"/>
      <c r="L33" s="69"/>
      <c r="M33" s="69"/>
      <c r="N33" s="69"/>
      <c r="O33" s="69">
        <f t="shared" si="1"/>
        <v>209763.84662449459</v>
      </c>
      <c r="P33" s="36"/>
      <c r="Q33" s="36"/>
    </row>
    <row r="34" spans="1:17" x14ac:dyDescent="0.3">
      <c r="A34" s="36" t="s">
        <v>58</v>
      </c>
      <c r="B34" s="36">
        <v>33</v>
      </c>
      <c r="C34" s="69">
        <v>101844.03203661912</v>
      </c>
      <c r="D34" s="69">
        <f t="shared" si="2"/>
        <v>50412.795858126461</v>
      </c>
      <c r="E34" s="69">
        <f t="shared" si="3"/>
        <v>51431.236178492654</v>
      </c>
      <c r="F34" s="69"/>
      <c r="G34" s="36"/>
      <c r="H34" s="69"/>
      <c r="I34" s="69"/>
      <c r="J34" s="69">
        <f t="shared" si="5"/>
        <v>0</v>
      </c>
      <c r="K34" s="98"/>
      <c r="L34" s="98"/>
      <c r="M34" s="98"/>
      <c r="N34" s="98"/>
      <c r="O34" s="69">
        <f t="shared" si="1"/>
        <v>51431.236178492654</v>
      </c>
      <c r="P34" s="36"/>
      <c r="Q34" s="36"/>
    </row>
    <row r="35" spans="1:17" x14ac:dyDescent="0.3">
      <c r="A35" s="36" t="s">
        <v>59</v>
      </c>
      <c r="B35" s="36">
        <v>34</v>
      </c>
      <c r="C35" s="69">
        <v>77462.718767322978</v>
      </c>
      <c r="D35" s="69">
        <f t="shared" si="2"/>
        <v>38344.045789824871</v>
      </c>
      <c r="E35" s="69">
        <f t="shared" si="3"/>
        <v>39118.672977498107</v>
      </c>
      <c r="F35" s="69"/>
      <c r="G35" s="36"/>
      <c r="H35" s="69"/>
      <c r="I35" s="69"/>
      <c r="J35" s="69">
        <f t="shared" si="5"/>
        <v>0</v>
      </c>
      <c r="K35" s="69"/>
      <c r="L35" s="69"/>
      <c r="M35" s="69"/>
      <c r="N35" s="69"/>
      <c r="O35" s="69">
        <f t="shared" si="1"/>
        <v>39118.672977498107</v>
      </c>
      <c r="P35" s="36"/>
      <c r="Q35" s="36"/>
    </row>
    <row r="36" spans="1:17" x14ac:dyDescent="0.3">
      <c r="A36" s="36" t="s">
        <v>60</v>
      </c>
      <c r="B36" s="36">
        <v>35</v>
      </c>
      <c r="C36" s="69">
        <v>750628.54023464408</v>
      </c>
      <c r="D36" s="69">
        <f t="shared" si="2"/>
        <v>371561.12741614884</v>
      </c>
      <c r="E36" s="69">
        <f t="shared" si="3"/>
        <v>379067.41281849524</v>
      </c>
      <c r="F36" s="69">
        <v>0</v>
      </c>
      <c r="G36" s="69">
        <v>61993.772503539549</v>
      </c>
      <c r="H36" s="69"/>
      <c r="I36" s="69"/>
      <c r="J36" s="69">
        <f t="shared" si="5"/>
        <v>61993.772503539549</v>
      </c>
      <c r="K36" s="98"/>
      <c r="L36" s="98"/>
      <c r="M36" s="98"/>
      <c r="N36" s="98"/>
      <c r="O36" s="69">
        <f t="shared" si="1"/>
        <v>441061.18532203481</v>
      </c>
      <c r="P36" s="36"/>
      <c r="Q36" s="36"/>
    </row>
    <row r="37" spans="1:17" x14ac:dyDescent="0.3">
      <c r="A37" s="36" t="s">
        <v>61</v>
      </c>
      <c r="B37" s="36">
        <v>36</v>
      </c>
      <c r="C37" s="69">
        <v>1221051.110409532</v>
      </c>
      <c r="D37" s="69">
        <f t="shared" si="2"/>
        <v>604420.29965271836</v>
      </c>
      <c r="E37" s="69">
        <f t="shared" si="3"/>
        <v>616630.81075681362</v>
      </c>
      <c r="F37" s="69"/>
      <c r="G37" s="36"/>
      <c r="H37" s="69"/>
      <c r="I37" s="69"/>
      <c r="J37" s="69">
        <f t="shared" si="5"/>
        <v>0</v>
      </c>
      <c r="K37" s="69"/>
      <c r="L37" s="69"/>
      <c r="M37" s="69"/>
      <c r="N37" s="69"/>
      <c r="O37" s="69">
        <f t="shared" si="1"/>
        <v>616630.81075681362</v>
      </c>
      <c r="P37" s="36"/>
      <c r="Q37" s="36"/>
    </row>
    <row r="38" spans="1:17" x14ac:dyDescent="0.3">
      <c r="A38" s="36" t="s">
        <v>62</v>
      </c>
      <c r="B38" s="36">
        <v>37</v>
      </c>
      <c r="C38" s="69">
        <v>532930.10406883527</v>
      </c>
      <c r="D38" s="69">
        <f t="shared" si="2"/>
        <v>263800.40151407343</v>
      </c>
      <c r="E38" s="69">
        <f t="shared" si="3"/>
        <v>269129.70255476184</v>
      </c>
      <c r="F38" s="69">
        <v>0</v>
      </c>
      <c r="G38" s="69">
        <v>24714.695961850375</v>
      </c>
      <c r="H38" s="69"/>
      <c r="I38" s="69"/>
      <c r="J38" s="69">
        <f t="shared" si="5"/>
        <v>24714.695961850375</v>
      </c>
      <c r="K38" s="98"/>
      <c r="L38" s="98"/>
      <c r="M38" s="98"/>
      <c r="N38" s="98"/>
      <c r="O38" s="69">
        <f t="shared" si="1"/>
        <v>293844.39851661224</v>
      </c>
      <c r="P38" s="36"/>
      <c r="Q38" s="36"/>
    </row>
    <row r="39" spans="1:17" x14ac:dyDescent="0.3">
      <c r="A39" s="36" t="s">
        <v>63</v>
      </c>
      <c r="B39" s="36">
        <v>38</v>
      </c>
      <c r="C39" s="69">
        <v>324931.084770758</v>
      </c>
      <c r="D39" s="69">
        <f t="shared" si="2"/>
        <v>160840.88696152522</v>
      </c>
      <c r="E39" s="69">
        <f t="shared" si="3"/>
        <v>164090.19780923278</v>
      </c>
      <c r="F39" s="69"/>
      <c r="G39" s="36"/>
      <c r="H39" s="69"/>
      <c r="I39" s="69"/>
      <c r="J39" s="69">
        <f t="shared" si="5"/>
        <v>0</v>
      </c>
      <c r="K39" s="69"/>
      <c r="L39" s="69"/>
      <c r="M39" s="69"/>
      <c r="N39" s="69"/>
      <c r="O39" s="69">
        <f t="shared" si="1"/>
        <v>164090.19780923278</v>
      </c>
      <c r="P39" s="36"/>
      <c r="Q39" s="36"/>
    </row>
    <row r="40" spans="1:17" x14ac:dyDescent="0.3">
      <c r="A40" s="36" t="s">
        <v>64</v>
      </c>
      <c r="B40" s="36">
        <v>39</v>
      </c>
      <c r="C40" s="69">
        <v>1135372.7731524657</v>
      </c>
      <c r="D40" s="69">
        <f t="shared" si="2"/>
        <v>562009.52271047048</v>
      </c>
      <c r="E40" s="69">
        <f t="shared" si="3"/>
        <v>573363.25044199522</v>
      </c>
      <c r="F40" s="69">
        <v>0</v>
      </c>
      <c r="G40" s="69">
        <v>107552.71726946429</v>
      </c>
      <c r="H40" s="69"/>
      <c r="I40" s="69"/>
      <c r="J40" s="69">
        <f t="shared" si="5"/>
        <v>107552.71726946429</v>
      </c>
      <c r="K40" s="98"/>
      <c r="L40" s="98"/>
      <c r="M40" s="98"/>
      <c r="N40" s="98"/>
      <c r="O40" s="69">
        <f t="shared" si="1"/>
        <v>680915.9677114595</v>
      </c>
      <c r="P40" s="36"/>
      <c r="Q40" s="36"/>
    </row>
    <row r="41" spans="1:17" x14ac:dyDescent="0.3">
      <c r="A41" s="36" t="s">
        <v>65</v>
      </c>
      <c r="B41" s="36">
        <v>40</v>
      </c>
      <c r="C41" s="69">
        <v>1768530.3397799649</v>
      </c>
      <c r="D41" s="69">
        <f t="shared" si="2"/>
        <v>875422.51819108264</v>
      </c>
      <c r="E41" s="69">
        <f t="shared" si="3"/>
        <v>893107.82158888225</v>
      </c>
      <c r="F41" s="69">
        <v>0</v>
      </c>
      <c r="G41" s="69">
        <v>93493.165063352062</v>
      </c>
      <c r="H41" s="69"/>
      <c r="I41" s="69"/>
      <c r="J41" s="69">
        <f t="shared" si="5"/>
        <v>93493.165063352062</v>
      </c>
      <c r="K41" s="69"/>
      <c r="L41" s="69"/>
      <c r="M41" s="69"/>
      <c r="N41" s="69"/>
      <c r="O41" s="69">
        <f t="shared" si="1"/>
        <v>986600.98665223434</v>
      </c>
      <c r="P41" s="36"/>
      <c r="Q41" s="36"/>
    </row>
    <row r="42" spans="1:17" x14ac:dyDescent="0.3">
      <c r="A42" s="36" t="s">
        <v>66</v>
      </c>
      <c r="B42" s="36">
        <v>41</v>
      </c>
      <c r="C42" s="69">
        <v>345946.48798417643</v>
      </c>
      <c r="D42" s="69">
        <f t="shared" si="2"/>
        <v>171243.51155216733</v>
      </c>
      <c r="E42" s="69">
        <f t="shared" si="3"/>
        <v>174702.97643200911</v>
      </c>
      <c r="F42" s="69">
        <v>0</v>
      </c>
      <c r="G42" s="69">
        <v>38315.912000000004</v>
      </c>
      <c r="H42" s="69"/>
      <c r="I42" s="69"/>
      <c r="J42" s="69">
        <f t="shared" si="5"/>
        <v>38315.912000000004</v>
      </c>
      <c r="K42" s="98"/>
      <c r="L42" s="98"/>
      <c r="M42" s="98"/>
      <c r="N42" s="98"/>
      <c r="O42" s="69">
        <f t="shared" si="1"/>
        <v>213018.88843200912</v>
      </c>
      <c r="P42" s="36"/>
      <c r="Q42" s="36"/>
    </row>
    <row r="43" spans="1:17" x14ac:dyDescent="0.3">
      <c r="A43" s="36" t="s">
        <v>67</v>
      </c>
      <c r="B43" s="36">
        <v>42</v>
      </c>
      <c r="C43" s="69">
        <v>96994.323602753313</v>
      </c>
      <c r="D43" s="69">
        <f t="shared" si="2"/>
        <v>48012.190183362887</v>
      </c>
      <c r="E43" s="69">
        <f t="shared" si="3"/>
        <v>48982.133419390426</v>
      </c>
      <c r="F43" s="69"/>
      <c r="G43" s="36"/>
      <c r="H43" s="69"/>
      <c r="I43" s="69"/>
      <c r="J43" s="69">
        <f t="shared" si="5"/>
        <v>0</v>
      </c>
      <c r="K43" s="69"/>
      <c r="L43" s="69"/>
      <c r="M43" s="69"/>
      <c r="N43" s="69"/>
      <c r="O43" s="69">
        <f t="shared" si="1"/>
        <v>48982.133419390426</v>
      </c>
      <c r="P43" s="36"/>
      <c r="Q43" s="36"/>
    </row>
    <row r="44" spans="1:17" x14ac:dyDescent="0.3">
      <c r="A44" s="36" t="s">
        <v>68</v>
      </c>
      <c r="B44" s="36">
        <v>43</v>
      </c>
      <c r="C44" s="69">
        <v>501676.37585322099</v>
      </c>
      <c r="D44" s="69">
        <f t="shared" si="2"/>
        <v>248329.80604734438</v>
      </c>
      <c r="E44" s="69">
        <f t="shared" si="3"/>
        <v>253346.56980587661</v>
      </c>
      <c r="F44" s="69">
        <v>0</v>
      </c>
      <c r="G44" s="69">
        <v>38315.912000000004</v>
      </c>
      <c r="H44" s="69"/>
      <c r="I44" s="69"/>
      <c r="J44" s="69">
        <f t="shared" si="5"/>
        <v>38315.912000000004</v>
      </c>
      <c r="K44" s="98"/>
      <c r="L44" s="98"/>
      <c r="M44" s="98"/>
      <c r="N44" s="98"/>
      <c r="O44" s="69">
        <f t="shared" si="1"/>
        <v>291662.4818058766</v>
      </c>
      <c r="P44" s="36"/>
      <c r="Q44" s="36"/>
    </row>
    <row r="45" spans="1:17" x14ac:dyDescent="0.3">
      <c r="A45" s="36" t="s">
        <v>69</v>
      </c>
      <c r="B45" s="36">
        <v>44</v>
      </c>
      <c r="C45" s="69">
        <v>93222.3539750973</v>
      </c>
      <c r="D45" s="69">
        <f t="shared" si="2"/>
        <v>46145.06521767316</v>
      </c>
      <c r="E45" s="69">
        <f t="shared" si="3"/>
        <v>47077.288757424139</v>
      </c>
      <c r="F45" s="69"/>
      <c r="G45" s="36"/>
      <c r="H45" s="69"/>
      <c r="I45" s="69"/>
      <c r="J45" s="69">
        <f t="shared" si="5"/>
        <v>0</v>
      </c>
      <c r="K45" s="69"/>
      <c r="L45" s="69"/>
      <c r="M45" s="69"/>
      <c r="N45" s="69"/>
      <c r="O45" s="69">
        <f t="shared" si="1"/>
        <v>47077.288757424139</v>
      </c>
      <c r="P45" s="36"/>
      <c r="Q45" s="36"/>
    </row>
    <row r="46" spans="1:17" x14ac:dyDescent="0.3">
      <c r="A46" s="36" t="s">
        <v>70</v>
      </c>
      <c r="B46" s="36">
        <v>45</v>
      </c>
      <c r="C46" s="69">
        <v>445635.11987109476</v>
      </c>
      <c r="D46" s="69">
        <f t="shared" si="2"/>
        <v>220589.3843361919</v>
      </c>
      <c r="E46" s="69">
        <f t="shared" si="3"/>
        <v>225045.73553490287</v>
      </c>
      <c r="F46" s="69">
        <v>0</v>
      </c>
      <c r="G46" s="69">
        <v>48334.502465091071</v>
      </c>
      <c r="H46" s="69"/>
      <c r="I46" s="69"/>
      <c r="J46" s="69">
        <f t="shared" si="5"/>
        <v>48334.502465091071</v>
      </c>
      <c r="K46" s="98"/>
      <c r="L46" s="98"/>
      <c r="M46" s="98"/>
      <c r="N46" s="98"/>
      <c r="O46" s="69">
        <f t="shared" si="1"/>
        <v>273380.23799999396</v>
      </c>
      <c r="P46" s="36"/>
      <c r="Q46" s="36"/>
    </row>
    <row r="47" spans="1:17" x14ac:dyDescent="0.3">
      <c r="A47" s="36" t="s">
        <v>71</v>
      </c>
      <c r="B47" s="36">
        <v>46</v>
      </c>
      <c r="C47" s="69">
        <v>2719613.8051319369</v>
      </c>
      <c r="D47" s="69">
        <f t="shared" si="2"/>
        <v>1346208.8335403088</v>
      </c>
      <c r="E47" s="69">
        <f t="shared" si="3"/>
        <v>1373404.9715916282</v>
      </c>
      <c r="F47" s="69"/>
      <c r="G47" s="36"/>
      <c r="H47" s="69"/>
      <c r="I47" s="69"/>
      <c r="J47" s="69">
        <f t="shared" si="5"/>
        <v>0</v>
      </c>
      <c r="K47" s="69"/>
      <c r="L47" s="69"/>
      <c r="M47" s="69"/>
      <c r="N47" s="69"/>
      <c r="O47" s="69">
        <f t="shared" si="1"/>
        <v>1373404.9715916282</v>
      </c>
      <c r="P47" s="36"/>
      <c r="Q47" s="36"/>
    </row>
    <row r="48" spans="1:17" x14ac:dyDescent="0.3">
      <c r="A48" s="36" t="s">
        <v>72</v>
      </c>
      <c r="B48" s="36">
        <v>47</v>
      </c>
      <c r="C48" s="69">
        <v>77462.718767322978</v>
      </c>
      <c r="D48" s="69">
        <f t="shared" si="2"/>
        <v>38344.045789824871</v>
      </c>
      <c r="E48" s="69">
        <f t="shared" si="3"/>
        <v>39118.672977498107</v>
      </c>
      <c r="F48" s="69"/>
      <c r="G48" s="36"/>
      <c r="H48" s="69"/>
      <c r="I48" s="69"/>
      <c r="J48" s="69">
        <f t="shared" si="5"/>
        <v>0</v>
      </c>
      <c r="K48" s="98"/>
      <c r="L48" s="98"/>
      <c r="M48" s="98"/>
      <c r="N48" s="98"/>
      <c r="O48" s="69">
        <f t="shared" si="1"/>
        <v>39118.672977498107</v>
      </c>
      <c r="P48" s="36"/>
      <c r="Q48" s="36"/>
    </row>
    <row r="49" spans="1:17" x14ac:dyDescent="0.3">
      <c r="A49" s="36" t="s">
        <v>73</v>
      </c>
      <c r="B49" s="36">
        <v>48</v>
      </c>
      <c r="C49" s="69">
        <v>908513.75079067075</v>
      </c>
      <c r="D49" s="69">
        <f t="shared" si="2"/>
        <v>449714.30664138199</v>
      </c>
      <c r="E49" s="69">
        <f t="shared" si="3"/>
        <v>458799.44414928876</v>
      </c>
      <c r="F49" s="69"/>
      <c r="G49" s="69">
        <v>89862.772347589605</v>
      </c>
      <c r="H49" s="69"/>
      <c r="I49" s="69"/>
      <c r="J49" s="69">
        <f t="shared" si="5"/>
        <v>89862.772347589605</v>
      </c>
      <c r="K49" s="69"/>
      <c r="L49" s="69"/>
      <c r="M49" s="69"/>
      <c r="N49" s="69"/>
      <c r="O49" s="69">
        <f t="shared" si="1"/>
        <v>548662.2164968783</v>
      </c>
      <c r="P49" s="36"/>
      <c r="Q49" s="36"/>
    </row>
    <row r="50" spans="1:17" x14ac:dyDescent="0.3">
      <c r="A50" s="36" t="s">
        <v>74</v>
      </c>
      <c r="B50" s="36">
        <v>49</v>
      </c>
      <c r="C50" s="69">
        <v>311459.62081265164</v>
      </c>
      <c r="D50" s="69">
        <f t="shared" si="2"/>
        <v>154172.51230226256</v>
      </c>
      <c r="E50" s="69">
        <f t="shared" si="3"/>
        <v>157287.10851038908</v>
      </c>
      <c r="F50" s="69">
        <v>0</v>
      </c>
      <c r="G50" s="69">
        <v>26316.111778967137</v>
      </c>
      <c r="H50" s="69"/>
      <c r="I50" s="69"/>
      <c r="J50" s="69">
        <f t="shared" si="5"/>
        <v>26316.111778967137</v>
      </c>
      <c r="K50" s="98"/>
      <c r="L50" s="98"/>
      <c r="M50" s="98"/>
      <c r="N50" s="98"/>
      <c r="O50" s="69">
        <f t="shared" si="1"/>
        <v>183603.22028935622</v>
      </c>
      <c r="P50" s="36"/>
      <c r="Q50" s="36"/>
    </row>
    <row r="51" spans="1:17" x14ac:dyDescent="0.3">
      <c r="A51" s="36" t="s">
        <v>75</v>
      </c>
      <c r="B51" s="36">
        <v>50</v>
      </c>
      <c r="C51" s="69">
        <v>124476.08219071156</v>
      </c>
      <c r="D51" s="69">
        <f t="shared" si="2"/>
        <v>61615.660684402224</v>
      </c>
      <c r="E51" s="69">
        <f t="shared" si="3"/>
        <v>62860.421506309336</v>
      </c>
      <c r="F51" s="69"/>
      <c r="G51" s="36"/>
      <c r="H51" s="69"/>
      <c r="I51" s="69"/>
      <c r="J51" s="69">
        <f t="shared" si="5"/>
        <v>0</v>
      </c>
      <c r="K51" s="69"/>
      <c r="L51" s="69"/>
      <c r="M51" s="69"/>
      <c r="N51" s="69"/>
      <c r="O51" s="69">
        <f t="shared" si="1"/>
        <v>62860.421506309336</v>
      </c>
      <c r="P51" s="36"/>
      <c r="Q51" s="36"/>
    </row>
    <row r="52" spans="1:17" x14ac:dyDescent="0.3">
      <c r="A52" s="36" t="s">
        <v>76</v>
      </c>
      <c r="B52" s="36">
        <v>51</v>
      </c>
      <c r="C52" s="69">
        <v>12472395.824300386</v>
      </c>
      <c r="D52" s="69">
        <f t="shared" si="2"/>
        <v>6173835.9330286914</v>
      </c>
      <c r="E52" s="69">
        <f t="shared" si="3"/>
        <v>6298559.8912716946</v>
      </c>
      <c r="F52" s="69">
        <v>0</v>
      </c>
      <c r="G52" s="69">
        <v>460524.63389715098</v>
      </c>
      <c r="H52" s="110">
        <v>0</v>
      </c>
      <c r="I52" s="69">
        <v>1005792.69</v>
      </c>
      <c r="J52" s="69">
        <f>+F52+G52+H52+I52</f>
        <v>1466317.3238971508</v>
      </c>
      <c r="K52" s="98"/>
      <c r="L52" s="98"/>
      <c r="M52" s="98"/>
      <c r="N52" s="98"/>
      <c r="O52" s="69">
        <f t="shared" si="1"/>
        <v>7764877.2151688449</v>
      </c>
      <c r="P52" s="36"/>
      <c r="Q52" s="36"/>
    </row>
    <row r="53" spans="1:17" x14ac:dyDescent="0.3">
      <c r="A53" s="36" t="s">
        <v>77</v>
      </c>
      <c r="B53" s="36">
        <v>52</v>
      </c>
      <c r="C53" s="69">
        <v>152496.67145041531</v>
      </c>
      <c r="D53" s="69">
        <f t="shared" si="2"/>
        <v>75485.85236795558</v>
      </c>
      <c r="E53" s="69">
        <f t="shared" si="3"/>
        <v>77010.819082459726</v>
      </c>
      <c r="F53" s="69">
        <v>0</v>
      </c>
      <c r="G53" s="69">
        <v>19157.956000000002</v>
      </c>
      <c r="H53" s="69"/>
      <c r="I53" s="69"/>
      <c r="J53" s="69">
        <f t="shared" ref="J53:J68" si="6">+F53+G53</f>
        <v>19157.956000000002</v>
      </c>
      <c r="K53" s="69"/>
      <c r="L53" s="69"/>
      <c r="M53" s="69"/>
      <c r="N53" s="69"/>
      <c r="O53" s="69">
        <f t="shared" si="1"/>
        <v>96168.775082459731</v>
      </c>
      <c r="P53" s="36"/>
      <c r="Q53" s="36"/>
    </row>
    <row r="54" spans="1:17" x14ac:dyDescent="0.3">
      <c r="A54" s="36" t="s">
        <v>78</v>
      </c>
      <c r="B54" s="36">
        <v>53</v>
      </c>
      <c r="C54" s="69">
        <v>77462.718767322978</v>
      </c>
      <c r="D54" s="69">
        <f t="shared" si="2"/>
        <v>38344.045789824871</v>
      </c>
      <c r="E54" s="69">
        <f t="shared" si="3"/>
        <v>39118.672977498107</v>
      </c>
      <c r="F54" s="69"/>
      <c r="G54" s="36"/>
      <c r="H54" s="69"/>
      <c r="I54" s="69"/>
      <c r="J54" s="69">
        <f t="shared" si="6"/>
        <v>0</v>
      </c>
      <c r="K54" s="98"/>
      <c r="L54" s="98"/>
      <c r="M54" s="98"/>
      <c r="N54" s="98"/>
      <c r="O54" s="69">
        <f t="shared" si="1"/>
        <v>39118.672977498107</v>
      </c>
      <c r="P54" s="36"/>
      <c r="Q54" s="36"/>
    </row>
    <row r="55" spans="1:17" x14ac:dyDescent="0.3">
      <c r="A55" s="36" t="s">
        <v>79</v>
      </c>
      <c r="B55" s="36">
        <v>54</v>
      </c>
      <c r="C55" s="69">
        <v>531313.53459088004</v>
      </c>
      <c r="D55" s="69">
        <f t="shared" si="2"/>
        <v>263000.19962248561</v>
      </c>
      <c r="E55" s="69">
        <f t="shared" si="3"/>
        <v>268313.33496839443</v>
      </c>
      <c r="F55" s="69">
        <v>0</v>
      </c>
      <c r="G55" s="69">
        <v>41076.014205260071</v>
      </c>
      <c r="H55" s="69"/>
      <c r="I55" s="69"/>
      <c r="J55" s="69">
        <f t="shared" si="6"/>
        <v>41076.014205260071</v>
      </c>
      <c r="K55" s="69"/>
      <c r="L55" s="69"/>
      <c r="M55" s="69"/>
      <c r="N55" s="69"/>
      <c r="O55" s="69">
        <f t="shared" si="1"/>
        <v>309389.34917365451</v>
      </c>
      <c r="P55" s="36"/>
      <c r="Q55" s="36"/>
    </row>
    <row r="56" spans="1:17" x14ac:dyDescent="0.3">
      <c r="A56" s="36" t="s">
        <v>80</v>
      </c>
      <c r="B56" s="36">
        <v>55</v>
      </c>
      <c r="C56" s="69">
        <v>77462.718767322978</v>
      </c>
      <c r="D56" s="69">
        <f t="shared" si="2"/>
        <v>38344.045789824871</v>
      </c>
      <c r="E56" s="69">
        <f t="shared" si="3"/>
        <v>39118.672977498107</v>
      </c>
      <c r="F56" s="69"/>
      <c r="G56" s="36"/>
      <c r="H56" s="69"/>
      <c r="I56" s="69"/>
      <c r="J56" s="69">
        <f t="shared" si="6"/>
        <v>0</v>
      </c>
      <c r="K56" s="98"/>
      <c r="L56" s="98"/>
      <c r="M56" s="98"/>
      <c r="N56" s="98"/>
      <c r="O56" s="69">
        <f t="shared" si="1"/>
        <v>39118.672977498107</v>
      </c>
      <c r="P56" s="36"/>
      <c r="Q56" s="36"/>
    </row>
    <row r="57" spans="1:17" x14ac:dyDescent="0.3">
      <c r="A57" s="36" t="s">
        <v>81</v>
      </c>
      <c r="B57" s="36">
        <v>56</v>
      </c>
      <c r="C57" s="69">
        <v>229014.42251149568</v>
      </c>
      <c r="D57" s="69">
        <f t="shared" si="2"/>
        <v>113362.13914319036</v>
      </c>
      <c r="E57" s="69">
        <f t="shared" si="3"/>
        <v>115652.28336830532</v>
      </c>
      <c r="F57" s="69"/>
      <c r="G57" s="36"/>
      <c r="H57" s="69"/>
      <c r="I57" s="69"/>
      <c r="J57" s="69">
        <f t="shared" si="6"/>
        <v>0</v>
      </c>
      <c r="K57" s="69"/>
      <c r="L57" s="69"/>
      <c r="M57" s="69"/>
      <c r="N57" s="69"/>
      <c r="O57" s="69">
        <f t="shared" si="1"/>
        <v>115652.28336830532</v>
      </c>
      <c r="P57" s="36"/>
      <c r="Q57" s="36"/>
    </row>
    <row r="58" spans="1:17" x14ac:dyDescent="0.3">
      <c r="A58" s="36" t="s">
        <v>82</v>
      </c>
      <c r="B58" s="36">
        <v>57</v>
      </c>
      <c r="C58" s="69">
        <v>77462.718767322978</v>
      </c>
      <c r="D58" s="69">
        <f t="shared" si="2"/>
        <v>38344.045789824871</v>
      </c>
      <c r="E58" s="69">
        <f t="shared" si="3"/>
        <v>39118.672977498107</v>
      </c>
      <c r="F58" s="69"/>
      <c r="G58" s="36"/>
      <c r="H58" s="69"/>
      <c r="I58" s="69"/>
      <c r="J58" s="69">
        <f t="shared" si="6"/>
        <v>0</v>
      </c>
      <c r="K58" s="98"/>
      <c r="L58" s="98"/>
      <c r="M58" s="98"/>
      <c r="N58" s="98"/>
      <c r="O58" s="69">
        <f t="shared" si="1"/>
        <v>39118.672977498107</v>
      </c>
      <c r="P58" s="36"/>
      <c r="Q58" s="36"/>
    </row>
    <row r="59" spans="1:17" x14ac:dyDescent="0.3">
      <c r="A59" s="36" t="s">
        <v>83</v>
      </c>
      <c r="B59" s="36">
        <v>58</v>
      </c>
      <c r="C59" s="69">
        <v>89450.384347441272</v>
      </c>
      <c r="D59" s="69">
        <f t="shared" si="2"/>
        <v>44277.940251983426</v>
      </c>
      <c r="E59" s="69">
        <f t="shared" si="3"/>
        <v>45172.444095457846</v>
      </c>
      <c r="F59" s="69"/>
      <c r="G59" s="36"/>
      <c r="H59" s="69"/>
      <c r="I59" s="69"/>
      <c r="J59" s="69">
        <f t="shared" si="6"/>
        <v>0</v>
      </c>
      <c r="K59" s="69"/>
      <c r="L59" s="69"/>
      <c r="M59" s="69"/>
      <c r="N59" s="69"/>
      <c r="O59" s="69">
        <f t="shared" si="1"/>
        <v>45172.444095457846</v>
      </c>
      <c r="P59" s="36"/>
      <c r="Q59" s="36"/>
    </row>
    <row r="60" spans="1:17" x14ac:dyDescent="0.3">
      <c r="A60" s="36" t="s">
        <v>84</v>
      </c>
      <c r="B60" s="36">
        <v>59</v>
      </c>
      <c r="C60" s="69">
        <v>80289.798151455194</v>
      </c>
      <c r="D60" s="69">
        <f t="shared" si="2"/>
        <v>39743.450084970318</v>
      </c>
      <c r="E60" s="69">
        <f t="shared" si="3"/>
        <v>40546.348066484876</v>
      </c>
      <c r="F60" s="69">
        <v>0</v>
      </c>
      <c r="G60" s="69">
        <v>11785.926522065163</v>
      </c>
      <c r="H60" s="69"/>
      <c r="I60" s="69"/>
      <c r="J60" s="69">
        <f t="shared" si="6"/>
        <v>11785.926522065163</v>
      </c>
      <c r="K60" s="98"/>
      <c r="L60" s="98"/>
      <c r="M60" s="98"/>
      <c r="N60" s="98"/>
      <c r="O60" s="69">
        <f t="shared" si="1"/>
        <v>52332.274588550041</v>
      </c>
      <c r="P60" s="36"/>
      <c r="Q60" s="36"/>
    </row>
    <row r="61" spans="1:17" x14ac:dyDescent="0.3">
      <c r="A61" s="36" t="s">
        <v>85</v>
      </c>
      <c r="B61" s="36">
        <v>60</v>
      </c>
      <c r="C61" s="69">
        <v>77462.718767322978</v>
      </c>
      <c r="D61" s="69">
        <f t="shared" si="2"/>
        <v>38344.045789824871</v>
      </c>
      <c r="E61" s="69">
        <f t="shared" si="3"/>
        <v>39118.672977498107</v>
      </c>
      <c r="F61" s="69"/>
      <c r="G61" s="69"/>
      <c r="H61" s="69"/>
      <c r="I61" s="69"/>
      <c r="J61" s="69">
        <f t="shared" si="6"/>
        <v>0</v>
      </c>
      <c r="K61" s="69"/>
      <c r="L61" s="69"/>
      <c r="M61" s="69"/>
      <c r="N61" s="69"/>
      <c r="O61" s="69">
        <f t="shared" si="1"/>
        <v>39118.672977498107</v>
      </c>
      <c r="P61" s="36"/>
      <c r="Q61" s="36"/>
    </row>
    <row r="62" spans="1:17" x14ac:dyDescent="0.3">
      <c r="A62" s="36" t="s">
        <v>86</v>
      </c>
      <c r="B62" s="36">
        <v>61</v>
      </c>
      <c r="C62" s="69">
        <v>181056.09138186453</v>
      </c>
      <c r="D62" s="69">
        <f t="shared" si="2"/>
        <v>89622.76523402294</v>
      </c>
      <c r="E62" s="69">
        <f t="shared" si="3"/>
        <v>91433.326147841595</v>
      </c>
      <c r="F62" s="69"/>
      <c r="G62" s="69"/>
      <c r="H62" s="69"/>
      <c r="I62" s="69"/>
      <c r="J62" s="69">
        <f t="shared" si="6"/>
        <v>0</v>
      </c>
      <c r="K62" s="98"/>
      <c r="L62" s="98"/>
      <c r="M62" s="98"/>
      <c r="N62" s="98"/>
      <c r="O62" s="69">
        <f t="shared" si="1"/>
        <v>91433.326147841595</v>
      </c>
      <c r="P62" s="36"/>
      <c r="Q62" s="36"/>
    </row>
    <row r="63" spans="1:17" x14ac:dyDescent="0.3">
      <c r="A63" s="36" t="s">
        <v>87</v>
      </c>
      <c r="B63" s="36">
        <v>62</v>
      </c>
      <c r="C63" s="69">
        <v>77462.718767322978</v>
      </c>
      <c r="D63" s="69">
        <f t="shared" si="2"/>
        <v>38344.045789824871</v>
      </c>
      <c r="E63" s="69">
        <f t="shared" si="3"/>
        <v>39118.672977498107</v>
      </c>
      <c r="F63" s="69"/>
      <c r="G63" s="69"/>
      <c r="H63" s="69"/>
      <c r="I63" s="69"/>
      <c r="J63" s="69">
        <f t="shared" si="6"/>
        <v>0</v>
      </c>
      <c r="K63" s="69"/>
      <c r="L63" s="69"/>
      <c r="M63" s="69"/>
      <c r="N63" s="69"/>
      <c r="O63" s="69">
        <f t="shared" si="1"/>
        <v>39118.672977498107</v>
      </c>
      <c r="P63" s="36"/>
      <c r="Q63" s="36"/>
    </row>
    <row r="64" spans="1:17" x14ac:dyDescent="0.3">
      <c r="A64" s="36" t="s">
        <v>88</v>
      </c>
      <c r="B64" s="36">
        <v>63</v>
      </c>
      <c r="C64" s="69">
        <v>887498.34757725231</v>
      </c>
      <c r="D64" s="69">
        <f t="shared" si="2"/>
        <v>439311.68205073988</v>
      </c>
      <c r="E64" s="69">
        <f t="shared" si="3"/>
        <v>448186.66552651243</v>
      </c>
      <c r="F64" s="69">
        <v>0</v>
      </c>
      <c r="G64" s="69">
        <v>60113.82</v>
      </c>
      <c r="H64" s="69"/>
      <c r="I64" s="69"/>
      <c r="J64" s="69">
        <f t="shared" si="6"/>
        <v>60113.82</v>
      </c>
      <c r="K64" s="98"/>
      <c r="L64" s="98"/>
      <c r="M64" s="98"/>
      <c r="N64" s="98"/>
      <c r="O64" s="69">
        <f t="shared" si="1"/>
        <v>508300.48552651244</v>
      </c>
      <c r="P64" s="36"/>
      <c r="Q64" s="36"/>
    </row>
    <row r="65" spans="1:17" x14ac:dyDescent="0.3">
      <c r="A65" s="36" t="s">
        <v>89</v>
      </c>
      <c r="B65" s="36">
        <v>64</v>
      </c>
      <c r="C65" s="69">
        <v>169740.10503617767</v>
      </c>
      <c r="D65" s="69">
        <f t="shared" si="2"/>
        <v>84021.351992907948</v>
      </c>
      <c r="E65" s="69">
        <f t="shared" si="3"/>
        <v>85718.753043269724</v>
      </c>
      <c r="F65" s="69"/>
      <c r="G65" s="69"/>
      <c r="H65" s="69"/>
      <c r="I65" s="69"/>
      <c r="J65" s="69">
        <f t="shared" si="6"/>
        <v>0</v>
      </c>
      <c r="K65" s="69"/>
      <c r="L65" s="69"/>
      <c r="M65" s="69"/>
      <c r="N65" s="69"/>
      <c r="O65" s="69">
        <f t="shared" si="1"/>
        <v>85718.753043269724</v>
      </c>
      <c r="P65" s="36"/>
      <c r="Q65" s="36"/>
    </row>
    <row r="66" spans="1:17" x14ac:dyDescent="0.3">
      <c r="A66" s="36" t="s">
        <v>90</v>
      </c>
      <c r="B66" s="36">
        <v>65</v>
      </c>
      <c r="C66" s="69">
        <v>1738893.1810423059</v>
      </c>
      <c r="D66" s="69">
        <f t="shared" si="2"/>
        <v>860752.12461594143</v>
      </c>
      <c r="E66" s="69">
        <f t="shared" si="3"/>
        <v>878141.05642636446</v>
      </c>
      <c r="F66" s="69">
        <v>0</v>
      </c>
      <c r="G66" s="69">
        <v>101840.23</v>
      </c>
      <c r="H66" s="69"/>
      <c r="I66" s="69"/>
      <c r="J66" s="69">
        <f t="shared" si="6"/>
        <v>101840.23</v>
      </c>
      <c r="K66" s="98"/>
      <c r="L66" s="98"/>
      <c r="M66" s="98"/>
      <c r="N66" s="98"/>
      <c r="O66" s="69">
        <f t="shared" ref="O66:O68" si="7">SUM(E66+J66)</f>
        <v>979981.28642636444</v>
      </c>
      <c r="P66" s="36"/>
      <c r="Q66" s="36"/>
    </row>
    <row r="67" spans="1:17" x14ac:dyDescent="0.3">
      <c r="A67" s="36" t="s">
        <v>91</v>
      </c>
      <c r="B67" s="36">
        <v>66</v>
      </c>
      <c r="C67" s="69">
        <v>109926.95688911418</v>
      </c>
      <c r="D67" s="69">
        <f t="shared" ref="D67:D68" si="8">+C67*0.495</f>
        <v>54413.843660111517</v>
      </c>
      <c r="E67" s="69">
        <f t="shared" ref="E67:E68" si="9">+C67-D67</f>
        <v>55513.113229002665</v>
      </c>
      <c r="F67" s="69">
        <v>0</v>
      </c>
      <c r="G67" s="69">
        <v>9578.98</v>
      </c>
      <c r="H67" s="69"/>
      <c r="I67" s="69"/>
      <c r="J67" s="69">
        <f t="shared" si="6"/>
        <v>9578.98</v>
      </c>
      <c r="K67" s="69"/>
      <c r="L67" s="69"/>
      <c r="M67" s="69"/>
      <c r="N67" s="69"/>
      <c r="O67" s="69">
        <f t="shared" si="7"/>
        <v>65092.093229002669</v>
      </c>
      <c r="P67" s="36"/>
      <c r="Q67" s="36"/>
    </row>
    <row r="68" spans="1:17" x14ac:dyDescent="0.3">
      <c r="A68" s="36" t="s">
        <v>92</v>
      </c>
      <c r="B68" s="36">
        <v>67</v>
      </c>
      <c r="C68" s="69">
        <v>1385402.6763400985</v>
      </c>
      <c r="D68" s="69">
        <f t="shared" si="8"/>
        <v>685774.32478834875</v>
      </c>
      <c r="E68" s="69">
        <f t="shared" si="9"/>
        <v>699628.35155174974</v>
      </c>
      <c r="F68" s="69">
        <v>0</v>
      </c>
      <c r="G68" s="69">
        <v>131064.56</v>
      </c>
      <c r="H68" s="36"/>
      <c r="I68" s="69"/>
      <c r="J68" s="69">
        <f t="shared" si="6"/>
        <v>131064.56</v>
      </c>
      <c r="K68" s="98"/>
      <c r="L68" s="98"/>
      <c r="M68" s="98"/>
      <c r="N68" s="98"/>
      <c r="O68" s="69">
        <f t="shared" si="7"/>
        <v>830692.9115517498</v>
      </c>
      <c r="P68" s="36"/>
      <c r="Q68" s="36"/>
    </row>
    <row r="69" spans="1:17" x14ac:dyDescent="0.3">
      <c r="A69" s="70" t="s">
        <v>363</v>
      </c>
      <c r="B69" s="70"/>
      <c r="C69" s="64">
        <f>SUM(C2:C68)</f>
        <v>54223231.690279804</v>
      </c>
      <c r="D69" s="64">
        <f>SUM(D2:D68)</f>
        <v>26840499.686688513</v>
      </c>
      <c r="E69" s="64">
        <f>SUM(E2:E68)</f>
        <v>27382732.003591318</v>
      </c>
      <c r="F69" s="64">
        <f>SUM(F2:F68)</f>
        <v>0</v>
      </c>
      <c r="G69" s="69">
        <f>SUM(G2:G68)</f>
        <v>2842615.9411807763</v>
      </c>
      <c r="H69" s="69">
        <f>SUM(H2:H67)</f>
        <v>0</v>
      </c>
      <c r="I69" s="64">
        <f t="shared" ref="I69:O69" si="10">SUM(I2:I68)</f>
        <v>1436846.7</v>
      </c>
      <c r="J69" s="64">
        <f t="shared" si="10"/>
        <v>4279462.6411807761</v>
      </c>
      <c r="K69" s="64">
        <f t="shared" si="10"/>
        <v>0</v>
      </c>
      <c r="L69" s="64">
        <f t="shared" si="10"/>
        <v>0</v>
      </c>
      <c r="M69" s="64">
        <f t="shared" si="10"/>
        <v>0</v>
      </c>
      <c r="N69" s="64">
        <f t="shared" si="10"/>
        <v>0</v>
      </c>
      <c r="O69" s="64">
        <f t="shared" si="10"/>
        <v>31662194.64477209</v>
      </c>
      <c r="P69" s="36"/>
      <c r="Q69" s="36"/>
    </row>
    <row r="70" spans="1:17" x14ac:dyDescent="0.3">
      <c r="A70" s="70"/>
      <c r="B70" s="70"/>
      <c r="C70" s="64"/>
      <c r="D70" s="64"/>
      <c r="E70" s="64"/>
      <c r="F70" s="64"/>
      <c r="G70" s="64"/>
      <c r="H70" s="64"/>
      <c r="I70" s="64"/>
      <c r="J70" s="64"/>
      <c r="K70" s="64"/>
      <c r="L70" s="64"/>
      <c r="M70" s="64"/>
      <c r="N70" s="64"/>
      <c r="O70" s="64"/>
      <c r="P70" s="36"/>
      <c r="Q70" s="36"/>
    </row>
    <row r="71" spans="1:17" x14ac:dyDescent="0.3">
      <c r="A71" s="70"/>
      <c r="B71" s="70"/>
      <c r="C71" s="64"/>
      <c r="D71" s="64"/>
      <c r="E71" s="64"/>
      <c r="F71" s="64"/>
      <c r="G71" s="64"/>
      <c r="H71" s="64"/>
      <c r="I71" s="64"/>
      <c r="J71" s="64"/>
      <c r="K71" s="64"/>
      <c r="L71" s="64"/>
      <c r="M71" s="64"/>
      <c r="N71" s="64"/>
      <c r="O71" s="64"/>
      <c r="P71" s="36"/>
      <c r="Q71" s="36"/>
    </row>
    <row r="72" spans="1:17" x14ac:dyDescent="0.3">
      <c r="A72" s="36"/>
      <c r="B72" s="36"/>
      <c r="C72" s="36"/>
      <c r="D72" s="36"/>
      <c r="E72" s="36"/>
      <c r="F72" s="36"/>
      <c r="G72" s="36"/>
      <c r="H72" s="36"/>
      <c r="I72" s="36"/>
      <c r="J72" s="36"/>
      <c r="K72" s="36"/>
      <c r="L72" s="36"/>
      <c r="M72" s="36"/>
      <c r="N72" s="36"/>
      <c r="O72" s="36"/>
      <c r="P72" s="36"/>
      <c r="Q72" s="36"/>
    </row>
    <row r="73" spans="1:17" ht="28.8" x14ac:dyDescent="0.3">
      <c r="A73" s="93" t="s">
        <v>364</v>
      </c>
      <c r="B73" s="93" t="s">
        <v>350</v>
      </c>
      <c r="C73" s="93" t="s">
        <v>353</v>
      </c>
      <c r="D73" s="93" t="s">
        <v>354</v>
      </c>
      <c r="E73" s="93"/>
      <c r="F73" s="95" t="s">
        <v>365</v>
      </c>
      <c r="G73" s="93"/>
      <c r="H73" s="93"/>
      <c r="I73" s="93" t="s">
        <v>359</v>
      </c>
      <c r="J73" s="93"/>
      <c r="K73" s="93"/>
      <c r="L73" s="93" t="s">
        <v>366</v>
      </c>
      <c r="M73" s="36"/>
      <c r="N73" s="93" t="s">
        <v>367</v>
      </c>
      <c r="O73" s="93" t="s">
        <v>366</v>
      </c>
      <c r="P73" s="36"/>
      <c r="Q73" s="36"/>
    </row>
    <row r="74" spans="1:17" x14ac:dyDescent="0.3">
      <c r="A74" s="36" t="s">
        <v>263</v>
      </c>
      <c r="B74" s="36">
        <v>68</v>
      </c>
      <c r="C74" s="69">
        <v>0</v>
      </c>
      <c r="D74" s="69">
        <v>161349.80047802409</v>
      </c>
      <c r="E74" s="69"/>
      <c r="F74" s="69">
        <f t="shared" ref="F74:F83" si="11">+C74+D74</f>
        <v>161349.80047802409</v>
      </c>
      <c r="G74" s="69"/>
      <c r="H74" s="69"/>
      <c r="I74" s="69"/>
      <c r="J74" s="69"/>
      <c r="K74" s="69"/>
      <c r="L74" s="69"/>
      <c r="M74" s="103">
        <f t="shared" ref="M74:M83" si="12">SUM(F74+I74+J74+L74)</f>
        <v>161349.80047802409</v>
      </c>
      <c r="N74" s="36"/>
      <c r="O74" s="69">
        <f t="shared" ref="O74:O83" si="13">F74</f>
        <v>161349.80047802409</v>
      </c>
      <c r="P74" s="36"/>
      <c r="Q74" s="36"/>
    </row>
    <row r="75" spans="1:17" x14ac:dyDescent="0.3">
      <c r="A75" s="36" t="s">
        <v>264</v>
      </c>
      <c r="B75" s="36">
        <v>69</v>
      </c>
      <c r="C75" s="69">
        <v>0</v>
      </c>
      <c r="D75" s="69">
        <v>143953.49601993797</v>
      </c>
      <c r="E75" s="69"/>
      <c r="F75" s="69">
        <f t="shared" si="11"/>
        <v>143953.49601993797</v>
      </c>
      <c r="G75" s="69"/>
      <c r="H75" s="69"/>
      <c r="I75" s="69"/>
      <c r="J75" s="69"/>
      <c r="K75" s="69"/>
      <c r="L75" s="69"/>
      <c r="M75" s="103">
        <f t="shared" si="12"/>
        <v>143953.49601993797</v>
      </c>
      <c r="N75" s="36"/>
      <c r="O75" s="69">
        <f t="shared" si="13"/>
        <v>143953.49601993797</v>
      </c>
      <c r="P75" s="36"/>
      <c r="Q75" s="36"/>
    </row>
    <row r="76" spans="1:17" x14ac:dyDescent="0.3">
      <c r="A76" s="36" t="s">
        <v>265</v>
      </c>
      <c r="B76" s="36">
        <v>70</v>
      </c>
      <c r="C76" s="69">
        <v>0</v>
      </c>
      <c r="D76" s="69">
        <v>93474.5654044275</v>
      </c>
      <c r="E76" s="69"/>
      <c r="F76" s="69">
        <f t="shared" si="11"/>
        <v>93474.5654044275</v>
      </c>
      <c r="G76" s="69"/>
      <c r="H76" s="69"/>
      <c r="I76" s="69"/>
      <c r="J76" s="69"/>
      <c r="K76" s="69"/>
      <c r="L76" s="69"/>
      <c r="M76" s="103">
        <f t="shared" si="12"/>
        <v>93474.5654044275</v>
      </c>
      <c r="N76" s="36"/>
      <c r="O76" s="69">
        <f t="shared" si="13"/>
        <v>93474.5654044275</v>
      </c>
      <c r="P76" s="36"/>
      <c r="Q76" s="36"/>
    </row>
    <row r="77" spans="1:17" x14ac:dyDescent="0.3">
      <c r="A77" s="36" t="s">
        <v>266</v>
      </c>
      <c r="B77" s="36">
        <v>71</v>
      </c>
      <c r="C77" s="69">
        <v>0</v>
      </c>
      <c r="D77" s="69">
        <v>88509.825620053161</v>
      </c>
      <c r="E77" s="69"/>
      <c r="F77" s="69">
        <f t="shared" si="11"/>
        <v>88509.825620053161</v>
      </c>
      <c r="G77" s="69"/>
      <c r="H77" s="69"/>
      <c r="I77" s="69"/>
      <c r="J77" s="69"/>
      <c r="K77" s="69"/>
      <c r="L77" s="69"/>
      <c r="M77" s="103">
        <f t="shared" si="12"/>
        <v>88509.825620053161</v>
      </c>
      <c r="N77" s="36"/>
      <c r="O77" s="69">
        <f t="shared" si="13"/>
        <v>88509.825620053161</v>
      </c>
      <c r="P77" s="36"/>
      <c r="Q77" s="36"/>
    </row>
    <row r="78" spans="1:17" x14ac:dyDescent="0.3">
      <c r="A78" s="36" t="s">
        <v>368</v>
      </c>
      <c r="B78" s="36">
        <v>72</v>
      </c>
      <c r="C78" s="69">
        <v>0</v>
      </c>
      <c r="D78" s="69">
        <v>67599.7212140435</v>
      </c>
      <c r="E78" s="69"/>
      <c r="F78" s="69">
        <f t="shared" si="11"/>
        <v>67599.7212140435</v>
      </c>
      <c r="G78" s="69"/>
      <c r="H78" s="69"/>
      <c r="I78" s="102"/>
      <c r="J78" s="69"/>
      <c r="K78" s="69"/>
      <c r="L78" s="69"/>
      <c r="M78" s="103">
        <f t="shared" si="12"/>
        <v>67599.7212140435</v>
      </c>
      <c r="N78" s="36"/>
      <c r="O78" s="69">
        <f t="shared" si="13"/>
        <v>67599.7212140435</v>
      </c>
      <c r="P78" s="36"/>
      <c r="Q78" s="36"/>
    </row>
    <row r="79" spans="1:17" x14ac:dyDescent="0.3">
      <c r="A79" s="36" t="s">
        <v>267</v>
      </c>
      <c r="B79" s="36">
        <v>73</v>
      </c>
      <c r="C79" s="69">
        <v>0</v>
      </c>
      <c r="D79" s="69">
        <v>133368.17367681835</v>
      </c>
      <c r="E79" s="69"/>
      <c r="F79" s="69">
        <f t="shared" si="11"/>
        <v>133368.17367681835</v>
      </c>
      <c r="G79" s="69"/>
      <c r="H79" s="69"/>
      <c r="I79" s="69"/>
      <c r="J79" s="69"/>
      <c r="K79" s="69"/>
      <c r="L79" s="69"/>
      <c r="M79" s="103">
        <f t="shared" si="12"/>
        <v>133368.17367681835</v>
      </c>
      <c r="N79" s="36"/>
      <c r="O79" s="69">
        <f t="shared" si="13"/>
        <v>133368.17367681835</v>
      </c>
      <c r="P79" s="36"/>
      <c r="Q79" s="36"/>
    </row>
    <row r="80" spans="1:17" x14ac:dyDescent="0.3">
      <c r="A80" s="36" t="s">
        <v>268</v>
      </c>
      <c r="B80" s="36">
        <v>74</v>
      </c>
      <c r="C80" s="69">
        <v>0</v>
      </c>
      <c r="D80" s="69">
        <v>78100.193274329737</v>
      </c>
      <c r="E80" s="69"/>
      <c r="F80" s="69">
        <f t="shared" si="11"/>
        <v>78100.193274329737</v>
      </c>
      <c r="G80" s="69"/>
      <c r="H80" s="69"/>
      <c r="I80" s="69"/>
      <c r="J80" s="69"/>
      <c r="K80" s="69"/>
      <c r="L80" s="69"/>
      <c r="M80" s="103">
        <f t="shared" si="12"/>
        <v>78100.193274329737</v>
      </c>
      <c r="N80" s="36"/>
      <c r="O80" s="69">
        <f t="shared" si="13"/>
        <v>78100.193274329737</v>
      </c>
      <c r="P80" s="36"/>
      <c r="Q80" s="36"/>
    </row>
    <row r="81" spans="1:22" x14ac:dyDescent="0.3">
      <c r="A81" s="36" t="s">
        <v>269</v>
      </c>
      <c r="B81" s="36">
        <v>75</v>
      </c>
      <c r="C81" s="69">
        <v>0</v>
      </c>
      <c r="D81" s="69">
        <v>71474.384423664291</v>
      </c>
      <c r="E81" s="69"/>
      <c r="F81" s="69">
        <f t="shared" si="11"/>
        <v>71474.384423664291</v>
      </c>
      <c r="G81" s="69"/>
      <c r="H81" s="69"/>
      <c r="I81" s="69"/>
      <c r="J81" s="69"/>
      <c r="K81" s="69"/>
      <c r="L81" s="69"/>
      <c r="M81" s="103">
        <f t="shared" si="12"/>
        <v>71474.384423664291</v>
      </c>
      <c r="N81" s="36"/>
      <c r="O81" s="69">
        <f t="shared" si="13"/>
        <v>71474.384423664291</v>
      </c>
      <c r="P81" s="36"/>
      <c r="Q81" s="36"/>
    </row>
    <row r="82" spans="1:22" x14ac:dyDescent="0.3">
      <c r="A82" s="36" t="s">
        <v>270</v>
      </c>
      <c r="B82" s="36">
        <v>76</v>
      </c>
      <c r="C82" s="69">
        <v>0</v>
      </c>
      <c r="D82" s="69">
        <v>107023.65821498603</v>
      </c>
      <c r="E82" s="69"/>
      <c r="F82" s="69">
        <f t="shared" si="11"/>
        <v>107023.65821498603</v>
      </c>
      <c r="G82" s="69"/>
      <c r="H82" s="69"/>
      <c r="I82" s="69"/>
      <c r="J82" s="69"/>
      <c r="K82" s="69"/>
      <c r="L82" s="69"/>
      <c r="M82" s="103">
        <f t="shared" si="12"/>
        <v>107023.65821498603</v>
      </c>
      <c r="N82" s="36"/>
      <c r="O82" s="69">
        <f t="shared" si="13"/>
        <v>107023.65821498603</v>
      </c>
      <c r="P82" s="36"/>
      <c r="Q82" s="36"/>
    </row>
    <row r="83" spans="1:22" x14ac:dyDescent="0.3">
      <c r="A83" s="36" t="s">
        <v>271</v>
      </c>
      <c r="B83" s="36">
        <v>77</v>
      </c>
      <c r="C83" s="69">
        <v>0</v>
      </c>
      <c r="D83" s="69">
        <v>20105.024957714129</v>
      </c>
      <c r="E83" s="69"/>
      <c r="F83" s="69">
        <f t="shared" si="11"/>
        <v>20105.024957714129</v>
      </c>
      <c r="G83" s="69"/>
      <c r="H83" s="69"/>
      <c r="I83" s="69"/>
      <c r="J83" s="69"/>
      <c r="K83" s="69"/>
      <c r="L83" s="69"/>
      <c r="M83" s="103">
        <f t="shared" si="12"/>
        <v>20105.024957714129</v>
      </c>
      <c r="N83" s="36"/>
      <c r="O83" s="69">
        <f t="shared" si="13"/>
        <v>20105.024957714129</v>
      </c>
      <c r="P83" s="36"/>
      <c r="Q83" s="36"/>
    </row>
    <row r="84" spans="1:22" x14ac:dyDescent="0.3">
      <c r="A84" s="70" t="s">
        <v>363</v>
      </c>
      <c r="B84" s="70"/>
      <c r="C84" s="64">
        <f>SUM(C74:C83)</f>
        <v>0</v>
      </c>
      <c r="D84" s="64">
        <f>SUM(D74:D83)</f>
        <v>964958.84328399878</v>
      </c>
      <c r="E84" s="64">
        <f>SUM(E74:E83)</f>
        <v>0</v>
      </c>
      <c r="F84" s="64">
        <f>SUM(F74:F83)</f>
        <v>964958.84328399878</v>
      </c>
      <c r="G84" s="64"/>
      <c r="H84" s="64"/>
      <c r="I84" s="64">
        <f t="shared" ref="I84:O84" si="14">SUM(I74:I83)</f>
        <v>0</v>
      </c>
      <c r="J84" s="64">
        <f t="shared" si="14"/>
        <v>0</v>
      </c>
      <c r="K84" s="64">
        <f t="shared" si="14"/>
        <v>0</v>
      </c>
      <c r="L84" s="64">
        <f t="shared" si="14"/>
        <v>0</v>
      </c>
      <c r="M84" s="64">
        <f t="shared" si="14"/>
        <v>964958.84328399878</v>
      </c>
      <c r="N84" s="64">
        <f t="shared" si="14"/>
        <v>0</v>
      </c>
      <c r="O84" s="64">
        <f t="shared" si="14"/>
        <v>964958.84328399878</v>
      </c>
      <c r="P84" s="36"/>
      <c r="Q84" s="36"/>
    </row>
    <row r="85" spans="1:22" x14ac:dyDescent="0.3">
      <c r="A85" s="36"/>
      <c r="B85" s="36"/>
      <c r="C85" s="69"/>
      <c r="D85" s="69"/>
      <c r="E85" s="69"/>
      <c r="F85" s="69"/>
      <c r="G85" s="69"/>
      <c r="H85" s="69"/>
      <c r="I85" s="69"/>
      <c r="J85" s="69"/>
      <c r="K85" s="103"/>
      <c r="L85" s="36"/>
      <c r="M85" s="36"/>
      <c r="N85" s="36"/>
      <c r="O85" s="36"/>
      <c r="P85" s="36"/>
      <c r="Q85" s="36"/>
    </row>
    <row r="86" spans="1:22" x14ac:dyDescent="0.3">
      <c r="A86" s="36"/>
      <c r="B86" s="36"/>
      <c r="C86" s="36"/>
      <c r="D86" s="36"/>
      <c r="E86" s="36"/>
      <c r="F86" s="36"/>
      <c r="G86" s="36"/>
      <c r="H86" s="36"/>
      <c r="I86" s="36"/>
      <c r="J86" s="36"/>
      <c r="K86" s="36"/>
      <c r="L86" s="36"/>
      <c r="M86" s="36"/>
      <c r="N86" s="36"/>
      <c r="O86" s="36"/>
      <c r="P86" s="36"/>
      <c r="Q86" s="36"/>
      <c r="V86" s="44"/>
    </row>
    <row r="87" spans="1:22" x14ac:dyDescent="0.3">
      <c r="A87" s="93" t="s">
        <v>369</v>
      </c>
      <c r="B87" s="93" t="s">
        <v>350</v>
      </c>
      <c r="C87" s="93" t="s">
        <v>353</v>
      </c>
      <c r="D87" s="93" t="s">
        <v>354</v>
      </c>
      <c r="E87" s="93"/>
      <c r="F87" s="93" t="s">
        <v>362</v>
      </c>
      <c r="G87" s="36"/>
      <c r="H87" s="36"/>
      <c r="I87" s="36"/>
      <c r="J87" s="36"/>
      <c r="K87" s="36"/>
      <c r="L87" s="36"/>
      <c r="M87" s="36"/>
      <c r="N87" s="36"/>
      <c r="O87" s="36"/>
      <c r="P87" s="36"/>
      <c r="Q87" s="36"/>
    </row>
    <row r="88" spans="1:22" x14ac:dyDescent="0.3">
      <c r="A88" s="36" t="s">
        <v>370</v>
      </c>
      <c r="B88" s="36">
        <v>78</v>
      </c>
      <c r="C88" s="69"/>
      <c r="D88" s="69">
        <v>3831.5912000000003</v>
      </c>
      <c r="E88" s="69"/>
      <c r="F88" s="69">
        <f t="shared" ref="F88:F123" si="15">+C88+D88</f>
        <v>3831.5912000000003</v>
      </c>
      <c r="G88" s="36"/>
      <c r="H88" s="36"/>
      <c r="I88" s="36"/>
      <c r="J88" s="36"/>
      <c r="K88" s="36"/>
      <c r="L88" s="36"/>
      <c r="M88" s="36"/>
      <c r="N88" s="36"/>
      <c r="O88" s="36"/>
      <c r="P88" s="36"/>
      <c r="Q88" s="36"/>
    </row>
    <row r="89" spans="1:22" x14ac:dyDescent="0.3">
      <c r="A89" s="36" t="s">
        <v>371</v>
      </c>
      <c r="B89" s="36">
        <v>79</v>
      </c>
      <c r="C89" s="69">
        <v>0</v>
      </c>
      <c r="D89" s="69">
        <v>38315.912000000004</v>
      </c>
      <c r="E89" s="69"/>
      <c r="F89" s="69">
        <f t="shared" si="15"/>
        <v>38315.912000000004</v>
      </c>
      <c r="G89" s="36"/>
      <c r="H89" s="36"/>
      <c r="I89" s="36"/>
      <c r="J89" s="36"/>
      <c r="K89" s="36"/>
      <c r="L89" s="36"/>
      <c r="M89" s="36"/>
      <c r="N89" s="36"/>
      <c r="O89" s="36"/>
      <c r="P89" s="36"/>
      <c r="Q89" s="36"/>
    </row>
    <row r="90" spans="1:22" x14ac:dyDescent="0.3">
      <c r="A90" s="36" t="s">
        <v>372</v>
      </c>
      <c r="B90" s="36">
        <v>80</v>
      </c>
      <c r="C90" s="69">
        <v>0</v>
      </c>
      <c r="D90" s="69">
        <v>19157.956000000002</v>
      </c>
      <c r="E90" s="69"/>
      <c r="F90" s="69">
        <f t="shared" si="15"/>
        <v>19157.956000000002</v>
      </c>
      <c r="G90" s="36"/>
      <c r="H90" s="36"/>
      <c r="I90" s="69"/>
      <c r="J90" s="36"/>
      <c r="K90" s="36"/>
      <c r="L90" s="36"/>
      <c r="M90" s="36"/>
      <c r="N90" s="36"/>
      <c r="O90" s="36"/>
      <c r="P90" s="36"/>
      <c r="Q90" s="36"/>
    </row>
    <row r="91" spans="1:22" x14ac:dyDescent="0.3">
      <c r="A91" s="36" t="s">
        <v>373</v>
      </c>
      <c r="B91" s="36">
        <v>81</v>
      </c>
      <c r="C91" s="69">
        <v>0</v>
      </c>
      <c r="D91" s="69">
        <v>19157.956000000002</v>
      </c>
      <c r="E91" s="69"/>
      <c r="F91" s="69">
        <f t="shared" si="15"/>
        <v>19157.956000000002</v>
      </c>
      <c r="G91" s="36"/>
      <c r="H91" s="36"/>
      <c r="I91" s="36"/>
      <c r="J91" s="36"/>
      <c r="K91" s="36"/>
      <c r="L91" s="36"/>
      <c r="M91" s="36"/>
      <c r="N91" s="36"/>
      <c r="O91" s="36"/>
      <c r="P91" s="36"/>
      <c r="Q91" s="36"/>
    </row>
    <row r="92" spans="1:22" x14ac:dyDescent="0.3">
      <c r="A92" s="36" t="s">
        <v>374</v>
      </c>
      <c r="B92" s="36">
        <v>82</v>
      </c>
      <c r="C92" s="69">
        <v>0</v>
      </c>
      <c r="D92" s="69">
        <v>3831.5912000000003</v>
      </c>
      <c r="E92" s="69"/>
      <c r="F92" s="69">
        <f t="shared" si="15"/>
        <v>3831.5912000000003</v>
      </c>
      <c r="G92" s="36"/>
      <c r="H92" s="36"/>
      <c r="I92" s="36"/>
      <c r="J92" s="36"/>
      <c r="K92" s="36"/>
      <c r="L92" s="36"/>
      <c r="M92" s="36"/>
      <c r="N92" s="36"/>
      <c r="O92" s="36"/>
      <c r="P92" s="36"/>
      <c r="Q92" s="36"/>
    </row>
    <row r="93" spans="1:22" x14ac:dyDescent="0.3">
      <c r="A93" s="36" t="s">
        <v>375</v>
      </c>
      <c r="B93" s="36">
        <v>83</v>
      </c>
      <c r="C93" s="69">
        <v>0</v>
      </c>
      <c r="D93" s="69">
        <v>9578.978000000001</v>
      </c>
      <c r="E93" s="69"/>
      <c r="F93" s="69">
        <f t="shared" si="15"/>
        <v>9578.978000000001</v>
      </c>
      <c r="G93" s="36"/>
      <c r="H93" s="36"/>
      <c r="I93" s="36"/>
      <c r="J93" s="36"/>
      <c r="K93" s="36"/>
      <c r="L93" s="36"/>
      <c r="M93" s="36"/>
      <c r="N93" s="36"/>
      <c r="O93" s="36"/>
      <c r="P93" s="36"/>
      <c r="Q93" s="36"/>
    </row>
    <row r="94" spans="1:22" x14ac:dyDescent="0.3">
      <c r="A94" s="36" t="s">
        <v>376</v>
      </c>
      <c r="B94" s="36">
        <v>84</v>
      </c>
      <c r="C94" s="69">
        <v>0</v>
      </c>
      <c r="D94" s="69">
        <v>3831.5912000000003</v>
      </c>
      <c r="E94" s="69"/>
      <c r="F94" s="69">
        <f t="shared" si="15"/>
        <v>3831.5912000000003</v>
      </c>
      <c r="G94" s="36"/>
      <c r="H94" s="36"/>
      <c r="I94" s="36"/>
      <c r="J94" s="36"/>
      <c r="K94" s="36"/>
      <c r="L94" s="36"/>
      <c r="M94" s="36"/>
      <c r="N94" s="36"/>
      <c r="O94" s="36"/>
      <c r="P94" s="36"/>
      <c r="Q94" s="36"/>
    </row>
    <row r="95" spans="1:22" x14ac:dyDescent="0.3">
      <c r="A95" s="36" t="s">
        <v>377</v>
      </c>
      <c r="B95" s="36">
        <v>85</v>
      </c>
      <c r="C95" s="69">
        <v>0</v>
      </c>
      <c r="D95" s="69">
        <v>3831.5912000000003</v>
      </c>
      <c r="E95" s="69"/>
      <c r="F95" s="69">
        <f t="shared" si="15"/>
        <v>3831.5912000000003</v>
      </c>
      <c r="G95" s="36"/>
      <c r="H95" s="36"/>
      <c r="I95" s="36"/>
      <c r="J95" s="36"/>
      <c r="K95" s="36"/>
      <c r="L95" s="36"/>
      <c r="M95" s="36"/>
      <c r="N95" s="36"/>
      <c r="O95" s="36"/>
      <c r="P95" s="36"/>
      <c r="Q95" s="36"/>
    </row>
    <row r="96" spans="1:22" x14ac:dyDescent="0.3">
      <c r="A96" s="36" t="s">
        <v>378</v>
      </c>
      <c r="B96" s="36">
        <v>86</v>
      </c>
      <c r="C96" s="69">
        <v>0</v>
      </c>
      <c r="D96" s="69">
        <v>9578.978000000001</v>
      </c>
      <c r="E96" s="69"/>
      <c r="F96" s="69">
        <f t="shared" si="15"/>
        <v>9578.978000000001</v>
      </c>
      <c r="G96" s="36"/>
      <c r="H96" s="36"/>
      <c r="I96" s="36"/>
      <c r="J96" s="36"/>
      <c r="K96" s="36"/>
      <c r="L96" s="36"/>
      <c r="M96" s="36"/>
      <c r="N96" s="36"/>
      <c r="O96" s="36"/>
      <c r="P96" s="36"/>
      <c r="Q96" s="36"/>
    </row>
    <row r="97" spans="1:17" x14ac:dyDescent="0.3">
      <c r="A97" s="36" t="s">
        <v>379</v>
      </c>
      <c r="B97" s="36">
        <v>87</v>
      </c>
      <c r="C97" s="69">
        <v>0</v>
      </c>
      <c r="D97" s="69">
        <v>3831.5912000000003</v>
      </c>
      <c r="E97" s="69"/>
      <c r="F97" s="69">
        <f t="shared" si="15"/>
        <v>3831.5912000000003</v>
      </c>
      <c r="G97" s="36"/>
      <c r="H97" s="36"/>
      <c r="I97" s="36"/>
      <c r="J97" s="36"/>
      <c r="K97" s="36"/>
      <c r="L97" s="36"/>
      <c r="M97" s="36"/>
      <c r="N97" s="36"/>
      <c r="O97" s="36"/>
      <c r="P97" s="36"/>
      <c r="Q97" s="36"/>
    </row>
    <row r="98" spans="1:17" x14ac:dyDescent="0.3">
      <c r="A98" s="36" t="s">
        <v>380</v>
      </c>
      <c r="B98" s="36">
        <v>88</v>
      </c>
      <c r="C98" s="69">
        <v>0</v>
      </c>
      <c r="D98" s="69">
        <v>9578.978000000001</v>
      </c>
      <c r="E98" s="69"/>
      <c r="F98" s="69">
        <f t="shared" si="15"/>
        <v>9578.978000000001</v>
      </c>
      <c r="G98" s="36"/>
      <c r="H98" s="36"/>
      <c r="I98" s="36"/>
      <c r="J98" s="36"/>
      <c r="K98" s="36"/>
      <c r="L98" s="36"/>
      <c r="M98" s="36"/>
      <c r="N98" s="36"/>
      <c r="O98" s="36"/>
      <c r="P98" s="36"/>
      <c r="Q98" s="36"/>
    </row>
    <row r="99" spans="1:17" x14ac:dyDescent="0.3">
      <c r="A99" s="36" t="s">
        <v>381</v>
      </c>
      <c r="B99" s="36">
        <v>89</v>
      </c>
      <c r="C99" s="69">
        <v>0</v>
      </c>
      <c r="D99" s="69">
        <v>9578.978000000001</v>
      </c>
      <c r="E99" s="69"/>
      <c r="F99" s="69">
        <f t="shared" si="15"/>
        <v>9578.978000000001</v>
      </c>
      <c r="G99" s="36"/>
      <c r="H99" s="36"/>
      <c r="I99" s="36"/>
      <c r="J99" s="36"/>
      <c r="K99" s="36"/>
      <c r="L99" s="36"/>
      <c r="M99" s="36"/>
      <c r="N99" s="36"/>
      <c r="O99" s="36"/>
      <c r="P99" s="36"/>
      <c r="Q99" s="36"/>
    </row>
    <row r="100" spans="1:17" x14ac:dyDescent="0.3">
      <c r="A100" s="36" t="s">
        <v>382</v>
      </c>
      <c r="B100" s="36">
        <v>90</v>
      </c>
      <c r="C100" s="69">
        <v>0</v>
      </c>
      <c r="D100" s="69">
        <v>9578.978000000001</v>
      </c>
      <c r="E100" s="69"/>
      <c r="F100" s="69">
        <f t="shared" si="15"/>
        <v>9578.978000000001</v>
      </c>
      <c r="G100" s="36"/>
      <c r="H100" s="36"/>
      <c r="I100" s="36"/>
      <c r="J100" s="36"/>
      <c r="K100" s="36"/>
      <c r="L100" s="36"/>
      <c r="M100" s="36"/>
      <c r="N100" s="36"/>
      <c r="O100" s="36"/>
      <c r="P100" s="36"/>
      <c r="Q100" s="36"/>
    </row>
    <row r="101" spans="1:17" x14ac:dyDescent="0.3">
      <c r="A101" s="36" t="s">
        <v>272</v>
      </c>
      <c r="B101" s="36">
        <v>91</v>
      </c>
      <c r="C101" s="69">
        <v>0</v>
      </c>
      <c r="D101" s="69">
        <v>9578.978000000001</v>
      </c>
      <c r="E101" s="69"/>
      <c r="F101" s="69">
        <f t="shared" si="15"/>
        <v>9578.978000000001</v>
      </c>
      <c r="G101" s="36"/>
      <c r="H101" s="36"/>
      <c r="I101" s="36"/>
      <c r="J101" s="36"/>
      <c r="K101" s="36"/>
      <c r="L101" s="36"/>
      <c r="M101" s="36"/>
      <c r="N101" s="36"/>
      <c r="O101" s="36"/>
      <c r="P101" s="36"/>
      <c r="Q101" s="36"/>
    </row>
    <row r="102" spans="1:17" x14ac:dyDescent="0.3">
      <c r="A102" s="36" t="s">
        <v>273</v>
      </c>
      <c r="B102" s="36">
        <v>92</v>
      </c>
      <c r="C102" s="69">
        <v>0</v>
      </c>
      <c r="D102" s="69">
        <v>9578.978000000001</v>
      </c>
      <c r="E102" s="69"/>
      <c r="F102" s="69">
        <f t="shared" si="15"/>
        <v>9578.978000000001</v>
      </c>
      <c r="G102" s="36"/>
      <c r="H102" s="36"/>
      <c r="I102" s="36"/>
      <c r="J102" s="36"/>
      <c r="K102" s="36"/>
      <c r="L102" s="36"/>
      <c r="M102" s="36"/>
      <c r="N102" s="36"/>
      <c r="O102" s="36"/>
      <c r="P102" s="36"/>
      <c r="Q102" s="36"/>
    </row>
    <row r="103" spans="1:17" x14ac:dyDescent="0.3">
      <c r="A103" s="36" t="s">
        <v>274</v>
      </c>
      <c r="B103" s="36">
        <v>93</v>
      </c>
      <c r="C103" s="69"/>
      <c r="D103" s="69">
        <v>3831.5912000000003</v>
      </c>
      <c r="E103" s="69"/>
      <c r="F103" s="69">
        <f t="shared" si="15"/>
        <v>3831.5912000000003</v>
      </c>
      <c r="G103" s="36"/>
      <c r="H103" s="36"/>
      <c r="I103" s="36"/>
      <c r="J103" s="36"/>
      <c r="K103" s="36"/>
      <c r="L103" s="36"/>
      <c r="M103" s="36"/>
      <c r="N103" s="36"/>
      <c r="O103" s="36"/>
      <c r="P103" s="36"/>
      <c r="Q103" s="36"/>
    </row>
    <row r="104" spans="1:17" x14ac:dyDescent="0.3">
      <c r="A104" s="36" t="s">
        <v>275</v>
      </c>
      <c r="B104" s="36">
        <v>94</v>
      </c>
      <c r="C104" s="69">
        <v>0</v>
      </c>
      <c r="D104" s="69">
        <v>13220.22309845</v>
      </c>
      <c r="E104" s="69"/>
      <c r="F104" s="69">
        <f t="shared" si="15"/>
        <v>13220.22309845</v>
      </c>
      <c r="G104" s="36"/>
      <c r="H104" s="36"/>
      <c r="I104" s="36"/>
      <c r="J104" s="36"/>
      <c r="K104" s="36"/>
      <c r="L104" s="36"/>
      <c r="M104" s="36"/>
      <c r="N104" s="36"/>
      <c r="O104" s="36"/>
      <c r="P104" s="36"/>
      <c r="Q104" s="36"/>
    </row>
    <row r="105" spans="1:17" x14ac:dyDescent="0.3">
      <c r="A105" s="36" t="s">
        <v>276</v>
      </c>
      <c r="B105" s="36">
        <v>95</v>
      </c>
      <c r="C105" s="69">
        <v>0</v>
      </c>
      <c r="D105" s="69">
        <v>3831.5912000000003</v>
      </c>
      <c r="E105" s="69"/>
      <c r="F105" s="69">
        <f t="shared" si="15"/>
        <v>3831.5912000000003</v>
      </c>
      <c r="G105" s="36"/>
      <c r="H105" s="36"/>
      <c r="I105" s="36"/>
      <c r="J105" s="36"/>
      <c r="K105" s="36"/>
      <c r="L105" s="36"/>
      <c r="M105" s="36"/>
      <c r="N105" s="36"/>
      <c r="O105" s="36"/>
      <c r="P105" s="36"/>
      <c r="Q105" s="36"/>
    </row>
    <row r="106" spans="1:17" x14ac:dyDescent="0.3">
      <c r="A106" s="36" t="s">
        <v>277</v>
      </c>
      <c r="B106" s="36">
        <v>96</v>
      </c>
      <c r="C106" s="69">
        <v>0</v>
      </c>
      <c r="D106" s="69">
        <v>9578.978000000001</v>
      </c>
      <c r="E106" s="69"/>
      <c r="F106" s="69">
        <f t="shared" si="15"/>
        <v>9578.978000000001</v>
      </c>
      <c r="G106" s="36"/>
      <c r="H106" s="36"/>
      <c r="I106" s="36"/>
      <c r="J106" s="36"/>
      <c r="K106" s="36"/>
      <c r="L106" s="36"/>
      <c r="M106" s="36"/>
      <c r="N106" s="36"/>
      <c r="O106" s="36"/>
      <c r="P106" s="36"/>
      <c r="Q106" s="36"/>
    </row>
    <row r="107" spans="1:17" x14ac:dyDescent="0.3">
      <c r="A107" s="36" t="s">
        <v>278</v>
      </c>
      <c r="B107" s="36">
        <v>97</v>
      </c>
      <c r="C107" s="69"/>
      <c r="D107" s="69">
        <v>9578.978000000001</v>
      </c>
      <c r="E107" s="69"/>
      <c r="F107" s="69">
        <f t="shared" si="15"/>
        <v>9578.978000000001</v>
      </c>
      <c r="G107" s="36"/>
      <c r="H107" s="36"/>
      <c r="I107" s="36"/>
      <c r="J107" s="36"/>
      <c r="K107" s="36"/>
      <c r="L107" s="36"/>
      <c r="M107" s="36"/>
      <c r="N107" s="36"/>
      <c r="O107" s="36"/>
      <c r="P107" s="36"/>
      <c r="Q107" s="36"/>
    </row>
    <row r="108" spans="1:17" x14ac:dyDescent="0.3">
      <c r="A108" s="36" t="s">
        <v>279</v>
      </c>
      <c r="B108" s="36">
        <v>98</v>
      </c>
      <c r="C108" s="69">
        <v>0</v>
      </c>
      <c r="D108" s="69">
        <v>9578.978000000001</v>
      </c>
      <c r="E108" s="69"/>
      <c r="F108" s="69">
        <f t="shared" si="15"/>
        <v>9578.978000000001</v>
      </c>
      <c r="G108" s="36"/>
      <c r="H108" s="36"/>
      <c r="I108" s="36"/>
      <c r="J108" s="36"/>
      <c r="K108" s="36"/>
      <c r="L108" s="36"/>
      <c r="M108" s="36"/>
      <c r="N108" s="36"/>
      <c r="O108" s="36"/>
      <c r="P108" s="36"/>
      <c r="Q108" s="36"/>
    </row>
    <row r="109" spans="1:17" x14ac:dyDescent="0.3">
      <c r="A109" s="36" t="s">
        <v>280</v>
      </c>
      <c r="B109" s="36">
        <v>99</v>
      </c>
      <c r="C109" s="69">
        <v>0</v>
      </c>
      <c r="D109" s="69">
        <v>10264.911714235242</v>
      </c>
      <c r="E109" s="69"/>
      <c r="F109" s="69">
        <f t="shared" si="15"/>
        <v>10264.911714235242</v>
      </c>
      <c r="G109" s="36"/>
      <c r="H109" s="36"/>
      <c r="I109" s="36"/>
      <c r="J109" s="36"/>
      <c r="K109" s="36"/>
      <c r="L109" s="36"/>
      <c r="M109" s="36"/>
      <c r="N109" s="36"/>
      <c r="O109" s="36"/>
      <c r="P109" s="36"/>
      <c r="Q109" s="36"/>
    </row>
    <row r="110" spans="1:17" x14ac:dyDescent="0.3">
      <c r="A110" s="36" t="s">
        <v>281</v>
      </c>
      <c r="B110" s="36">
        <v>100</v>
      </c>
      <c r="C110" s="69">
        <v>0</v>
      </c>
      <c r="D110" s="69">
        <v>86997.050659437329</v>
      </c>
      <c r="E110" s="69"/>
      <c r="F110" s="69">
        <f t="shared" si="15"/>
        <v>86997.050659437329</v>
      </c>
      <c r="G110" s="36"/>
      <c r="H110" s="36"/>
      <c r="I110" s="36"/>
      <c r="J110" s="36"/>
      <c r="K110" s="36"/>
      <c r="L110" s="36"/>
      <c r="M110" s="36"/>
      <c r="N110" s="36"/>
      <c r="O110" s="36"/>
      <c r="P110" s="36"/>
      <c r="Q110" s="36"/>
    </row>
    <row r="111" spans="1:17" x14ac:dyDescent="0.3">
      <c r="A111" s="36" t="s">
        <v>282</v>
      </c>
      <c r="B111" s="36">
        <v>101</v>
      </c>
      <c r="C111" s="69">
        <v>0</v>
      </c>
      <c r="D111" s="69">
        <v>3831.5912000000003</v>
      </c>
      <c r="E111" s="69"/>
      <c r="F111" s="69">
        <f t="shared" si="15"/>
        <v>3831.5912000000003</v>
      </c>
      <c r="G111" s="36"/>
      <c r="H111" s="36"/>
      <c r="I111" s="36"/>
      <c r="J111" s="36"/>
      <c r="K111" s="36"/>
      <c r="L111" s="36"/>
      <c r="M111" s="36"/>
      <c r="N111" s="36"/>
      <c r="O111" s="36"/>
      <c r="P111" s="36"/>
      <c r="Q111" s="36"/>
    </row>
    <row r="112" spans="1:17" x14ac:dyDescent="0.3">
      <c r="A112" s="36" t="s">
        <v>283</v>
      </c>
      <c r="B112" s="36">
        <v>102</v>
      </c>
      <c r="C112" s="69"/>
      <c r="D112" s="69">
        <v>121122.11046538854</v>
      </c>
      <c r="E112" s="69"/>
      <c r="F112" s="69">
        <f t="shared" si="15"/>
        <v>121122.11046538854</v>
      </c>
      <c r="G112" s="36"/>
      <c r="H112" s="36"/>
      <c r="I112" s="36"/>
      <c r="J112" s="36"/>
      <c r="K112" s="36"/>
      <c r="L112" s="36"/>
      <c r="M112" s="36"/>
      <c r="N112" s="36"/>
      <c r="O112" s="36"/>
      <c r="P112" s="36"/>
      <c r="Q112" s="36"/>
    </row>
    <row r="113" spans="1:17" x14ac:dyDescent="0.3">
      <c r="A113" s="36" t="s">
        <v>284</v>
      </c>
      <c r="B113" s="36">
        <v>103</v>
      </c>
      <c r="C113" s="69">
        <v>0</v>
      </c>
      <c r="D113" s="69">
        <v>3831.5912000000003</v>
      </c>
      <c r="E113" s="69"/>
      <c r="F113" s="69">
        <f t="shared" si="15"/>
        <v>3831.5912000000003</v>
      </c>
      <c r="G113" s="36"/>
      <c r="H113" s="36"/>
      <c r="I113" s="36"/>
      <c r="J113" s="36"/>
      <c r="K113" s="36"/>
      <c r="L113" s="36"/>
      <c r="M113" s="36"/>
      <c r="N113" s="36"/>
      <c r="O113" s="36"/>
      <c r="P113" s="36"/>
      <c r="Q113" s="36"/>
    </row>
    <row r="114" spans="1:17" x14ac:dyDescent="0.3">
      <c r="A114" s="36" t="s">
        <v>285</v>
      </c>
      <c r="B114" s="36">
        <v>104</v>
      </c>
      <c r="C114" s="69"/>
      <c r="D114" s="69">
        <v>3831.5912000000003</v>
      </c>
      <c r="E114" s="69"/>
      <c r="F114" s="69">
        <f t="shared" si="15"/>
        <v>3831.5912000000003</v>
      </c>
      <c r="G114" s="36"/>
      <c r="H114" s="36"/>
      <c r="I114" s="36"/>
      <c r="J114" s="36"/>
      <c r="K114" s="36"/>
      <c r="L114" s="36"/>
      <c r="M114" s="36"/>
      <c r="N114" s="36"/>
      <c r="O114" s="36"/>
      <c r="P114" s="36"/>
      <c r="Q114" s="36"/>
    </row>
    <row r="115" spans="1:17" x14ac:dyDescent="0.3">
      <c r="A115" s="36" t="s">
        <v>286</v>
      </c>
      <c r="B115" s="36">
        <v>105</v>
      </c>
      <c r="C115" s="69"/>
      <c r="D115" s="69">
        <v>3831.5912000000003</v>
      </c>
      <c r="E115" s="69"/>
      <c r="F115" s="69">
        <f t="shared" si="15"/>
        <v>3831.5912000000003</v>
      </c>
      <c r="G115" s="36"/>
      <c r="H115" s="36"/>
      <c r="I115" s="36"/>
      <c r="J115" s="36"/>
      <c r="K115" s="36"/>
      <c r="L115" s="36"/>
      <c r="M115" s="36"/>
      <c r="N115" s="36"/>
      <c r="O115" s="36"/>
      <c r="P115" s="36"/>
      <c r="Q115" s="36"/>
    </row>
    <row r="116" spans="1:17" x14ac:dyDescent="0.3">
      <c r="A116" s="36" t="s">
        <v>287</v>
      </c>
      <c r="B116" s="36">
        <v>106</v>
      </c>
      <c r="C116" s="69">
        <v>0</v>
      </c>
      <c r="D116" s="69">
        <v>9578.978000000001</v>
      </c>
      <c r="E116" s="69"/>
      <c r="F116" s="69">
        <f t="shared" si="15"/>
        <v>9578.978000000001</v>
      </c>
      <c r="G116" s="36"/>
      <c r="H116" s="36"/>
      <c r="I116" s="36"/>
      <c r="J116" s="36"/>
      <c r="K116" s="36"/>
      <c r="L116" s="36"/>
      <c r="M116" s="36"/>
      <c r="N116" s="36"/>
      <c r="O116" s="36"/>
      <c r="P116" s="36"/>
      <c r="Q116" s="36"/>
    </row>
    <row r="117" spans="1:17" x14ac:dyDescent="0.3">
      <c r="A117" s="36" t="s">
        <v>288</v>
      </c>
      <c r="B117" s="36">
        <v>107</v>
      </c>
      <c r="C117" s="69">
        <v>0</v>
      </c>
      <c r="D117" s="69">
        <v>9578.978000000001</v>
      </c>
      <c r="E117" s="69"/>
      <c r="F117" s="69">
        <f t="shared" si="15"/>
        <v>9578.978000000001</v>
      </c>
      <c r="G117" s="36"/>
      <c r="H117" s="36"/>
      <c r="I117" s="36"/>
      <c r="J117" s="36"/>
      <c r="K117" s="36"/>
      <c r="L117" s="36"/>
      <c r="M117" s="36"/>
      <c r="N117" s="36"/>
      <c r="O117" s="36"/>
      <c r="P117" s="36"/>
      <c r="Q117" s="36"/>
    </row>
    <row r="118" spans="1:17" x14ac:dyDescent="0.3">
      <c r="A118" s="36" t="s">
        <v>289</v>
      </c>
      <c r="B118" s="36">
        <v>108</v>
      </c>
      <c r="C118" s="69">
        <v>0</v>
      </c>
      <c r="D118" s="69">
        <v>9578.978000000001</v>
      </c>
      <c r="E118" s="69"/>
      <c r="F118" s="69">
        <f t="shared" si="15"/>
        <v>9578.978000000001</v>
      </c>
      <c r="G118" s="36"/>
      <c r="H118" s="36"/>
      <c r="I118" s="36"/>
      <c r="J118" s="36"/>
      <c r="K118" s="36"/>
      <c r="L118" s="36"/>
      <c r="M118" s="36"/>
      <c r="N118" s="36"/>
      <c r="O118" s="36"/>
      <c r="P118" s="36"/>
      <c r="Q118" s="36"/>
    </row>
    <row r="119" spans="1:17" x14ac:dyDescent="0.3">
      <c r="A119" s="36" t="s">
        <v>290</v>
      </c>
      <c r="B119" s="36">
        <v>109</v>
      </c>
      <c r="C119" s="69">
        <v>0</v>
      </c>
      <c r="D119" s="69">
        <v>3831.5912000000003</v>
      </c>
      <c r="E119" s="69"/>
      <c r="F119" s="69">
        <f t="shared" si="15"/>
        <v>3831.5912000000003</v>
      </c>
      <c r="G119" s="36"/>
      <c r="H119" s="36"/>
      <c r="I119" s="36"/>
      <c r="J119" s="36"/>
      <c r="K119" s="36"/>
      <c r="L119" s="36"/>
      <c r="M119" s="36"/>
      <c r="N119" s="36"/>
      <c r="O119" s="36"/>
      <c r="P119" s="36"/>
      <c r="Q119" s="36"/>
    </row>
    <row r="120" spans="1:17" x14ac:dyDescent="0.3">
      <c r="A120" s="36" t="s">
        <v>383</v>
      </c>
      <c r="B120" s="36">
        <v>110</v>
      </c>
      <c r="C120" s="69">
        <v>0</v>
      </c>
      <c r="D120" s="69">
        <v>12728.628355953335</v>
      </c>
      <c r="E120" s="69"/>
      <c r="F120" s="69">
        <f t="shared" si="15"/>
        <v>12728.628355953335</v>
      </c>
      <c r="G120" s="36"/>
      <c r="H120" s="36"/>
      <c r="I120" s="36"/>
      <c r="J120" s="36"/>
      <c r="K120" s="36"/>
      <c r="L120" s="36"/>
      <c r="M120" s="36"/>
      <c r="N120" s="36"/>
      <c r="O120" s="36"/>
      <c r="P120" s="36"/>
      <c r="Q120" s="36"/>
    </row>
    <row r="121" spans="1:17" x14ac:dyDescent="0.3">
      <c r="A121" s="36" t="s">
        <v>384</v>
      </c>
      <c r="B121" s="36">
        <v>111</v>
      </c>
      <c r="C121" s="69">
        <v>0</v>
      </c>
      <c r="D121" s="69">
        <v>3831.5912000000003</v>
      </c>
      <c r="E121" s="69"/>
      <c r="F121" s="69">
        <f t="shared" si="15"/>
        <v>3831.5912000000003</v>
      </c>
      <c r="G121" s="36"/>
      <c r="H121" s="36"/>
      <c r="I121" s="36"/>
      <c r="J121" s="36"/>
      <c r="K121" s="36"/>
      <c r="L121" s="36"/>
      <c r="M121" s="36"/>
      <c r="N121" s="36"/>
      <c r="O121" s="36"/>
      <c r="P121" s="36"/>
      <c r="Q121" s="36"/>
    </row>
    <row r="122" spans="1:17" x14ac:dyDescent="0.3">
      <c r="A122" s="36" t="s">
        <v>291</v>
      </c>
      <c r="B122" s="36">
        <v>112</v>
      </c>
      <c r="C122" s="69">
        <v>0</v>
      </c>
      <c r="D122" s="69">
        <v>3831.5912000000003</v>
      </c>
      <c r="E122" s="69"/>
      <c r="F122" s="69">
        <f t="shared" si="15"/>
        <v>3831.5912000000003</v>
      </c>
      <c r="G122" s="36"/>
      <c r="H122" s="36"/>
      <c r="I122" s="36"/>
      <c r="J122" s="36"/>
      <c r="K122" s="36"/>
      <c r="L122" s="36"/>
      <c r="M122" s="36"/>
      <c r="N122" s="36"/>
      <c r="O122" s="36"/>
      <c r="P122" s="36"/>
      <c r="Q122" s="36"/>
    </row>
    <row r="123" spans="1:17" x14ac:dyDescent="0.3">
      <c r="A123" s="36" t="s">
        <v>292</v>
      </c>
      <c r="B123" s="36">
        <v>113</v>
      </c>
      <c r="C123" s="69">
        <v>0</v>
      </c>
      <c r="D123" s="69">
        <v>3831.5912000000003</v>
      </c>
      <c r="E123" s="69"/>
      <c r="F123" s="69">
        <f t="shared" si="15"/>
        <v>3831.5912000000003</v>
      </c>
      <c r="G123" s="36"/>
      <c r="H123" s="36"/>
      <c r="I123" s="36"/>
      <c r="J123" s="36"/>
      <c r="K123" s="36"/>
      <c r="L123" s="36"/>
      <c r="M123" s="36"/>
      <c r="N123" s="36"/>
      <c r="O123" s="36"/>
      <c r="P123" s="36"/>
      <c r="Q123" s="36"/>
    </row>
    <row r="124" spans="1:17" x14ac:dyDescent="0.3">
      <c r="A124" s="70" t="s">
        <v>363</v>
      </c>
      <c r="B124" s="70"/>
      <c r="C124" s="64">
        <f>SUM(C88:C123)</f>
        <v>0</v>
      </c>
      <c r="D124" s="64">
        <f>SUM(D88:D123)</f>
        <v>502965.33029346465</v>
      </c>
      <c r="E124" s="64">
        <f>SUM(E88:E123)</f>
        <v>0</v>
      </c>
      <c r="F124" s="64">
        <f>SUM(F88:F123)</f>
        <v>502965.33029346465</v>
      </c>
      <c r="G124" s="36"/>
      <c r="H124" s="36"/>
      <c r="I124" s="36"/>
      <c r="J124" s="36"/>
      <c r="K124" s="36"/>
      <c r="L124" s="36"/>
      <c r="M124" s="36"/>
      <c r="N124" s="36"/>
      <c r="O124" s="36"/>
      <c r="P124" s="36"/>
      <c r="Q124" s="36"/>
    </row>
    <row r="125" spans="1:17" x14ac:dyDescent="0.3">
      <c r="A125" s="70"/>
      <c r="B125" s="70"/>
      <c r="C125" s="64"/>
      <c r="D125" s="36"/>
      <c r="E125" s="36"/>
      <c r="F125" s="36"/>
      <c r="G125" s="36"/>
      <c r="H125" s="36"/>
      <c r="I125" s="36"/>
      <c r="J125" s="36"/>
      <c r="K125" s="36"/>
      <c r="L125" s="36"/>
      <c r="M125" s="36"/>
      <c r="N125" s="36"/>
      <c r="O125" s="36"/>
      <c r="P125" s="36"/>
      <c r="Q125" s="36"/>
    </row>
    <row r="126" spans="1:17" x14ac:dyDescent="0.3">
      <c r="A126" s="36"/>
      <c r="B126" s="36"/>
      <c r="C126" s="36"/>
      <c r="D126" s="36"/>
      <c r="E126" s="36"/>
      <c r="F126" s="36"/>
      <c r="G126" s="36"/>
      <c r="H126" s="36"/>
      <c r="I126" s="36"/>
      <c r="J126" s="36"/>
      <c r="K126" s="36"/>
      <c r="L126" s="36"/>
      <c r="M126" s="36"/>
      <c r="N126" s="36"/>
      <c r="O126" s="36"/>
      <c r="P126" s="36"/>
      <c r="Q126" s="36"/>
    </row>
    <row r="127" spans="1:17" x14ac:dyDescent="0.3">
      <c r="A127" s="36" t="s">
        <v>385</v>
      </c>
      <c r="B127" s="36" t="s">
        <v>350</v>
      </c>
      <c r="C127" s="36" t="s">
        <v>386</v>
      </c>
      <c r="D127" s="36" t="s">
        <v>387</v>
      </c>
      <c r="E127" s="36" t="s">
        <v>388</v>
      </c>
      <c r="F127" s="104" t="s">
        <v>389</v>
      </c>
      <c r="G127" s="36"/>
      <c r="H127" s="36"/>
      <c r="I127" s="69"/>
      <c r="J127" s="36"/>
      <c r="K127" s="36"/>
      <c r="L127" s="36"/>
      <c r="M127" s="36"/>
      <c r="N127" s="36"/>
      <c r="O127" s="36"/>
      <c r="P127" s="36"/>
      <c r="Q127" s="36"/>
    </row>
    <row r="128" spans="1:17" x14ac:dyDescent="0.3">
      <c r="A128" s="36" t="s">
        <v>390</v>
      </c>
      <c r="B128" s="36">
        <v>114</v>
      </c>
      <c r="C128" s="69">
        <v>0</v>
      </c>
      <c r="D128" s="105">
        <v>5846280.7300000004</v>
      </c>
      <c r="E128" s="59"/>
      <c r="F128" s="69">
        <f>+Table71825416[[#This Row],[Dist Payment]]+Table71825416[[#This Row],[JJ Payment]]</f>
        <v>5846280.7300000004</v>
      </c>
      <c r="G128" s="36"/>
      <c r="H128" s="69"/>
      <c r="I128" s="69"/>
      <c r="J128" s="36"/>
      <c r="K128" s="36"/>
      <c r="L128" s="36"/>
      <c r="M128" s="36"/>
      <c r="N128" s="36"/>
      <c r="O128" s="36"/>
      <c r="P128" s="36"/>
      <c r="Q128" s="36"/>
    </row>
    <row r="129" spans="1:17" x14ac:dyDescent="0.3">
      <c r="A129" s="36"/>
      <c r="B129" s="36"/>
      <c r="C129" s="69">
        <f>+'[2]Dist and JJ Totals'!B24</f>
        <v>0</v>
      </c>
      <c r="D129" s="105">
        <f>+'[2]Dist and JJ Totals'!C24</f>
        <v>0</v>
      </c>
      <c r="E129" s="36"/>
      <c r="F129" s="69">
        <f>+Table71825416[[#This Row],[Dist Payment]]+Table71825416[[#This Row],[JJ Payment]]</f>
        <v>0</v>
      </c>
      <c r="G129" s="36"/>
      <c r="H129" s="36"/>
      <c r="I129" s="36"/>
      <c r="J129" s="36"/>
      <c r="K129" s="36"/>
      <c r="L129" s="36"/>
      <c r="M129" s="36"/>
      <c r="N129" s="36"/>
      <c r="O129" s="36"/>
      <c r="P129" s="36"/>
      <c r="Q129" s="36"/>
    </row>
    <row r="130" spans="1:17" x14ac:dyDescent="0.3">
      <c r="A130" s="36"/>
      <c r="B130" s="36"/>
      <c r="C130" s="36"/>
      <c r="D130" s="36"/>
      <c r="E130" s="36"/>
      <c r="F130" s="69"/>
      <c r="G130" s="36"/>
      <c r="H130" s="36"/>
      <c r="I130" s="69"/>
      <c r="J130" s="36"/>
      <c r="K130" s="36"/>
      <c r="L130" s="36"/>
      <c r="M130" s="36"/>
      <c r="N130" s="36"/>
      <c r="O130" s="36"/>
      <c r="P130" s="36"/>
      <c r="Q130" s="36"/>
    </row>
    <row r="131" spans="1:17" ht="57.6" x14ac:dyDescent="0.3">
      <c r="A131" s="36" t="s">
        <v>391</v>
      </c>
      <c r="B131" s="36" t="s">
        <v>350</v>
      </c>
      <c r="C131" s="36" t="s">
        <v>392</v>
      </c>
      <c r="D131" s="69" t="s">
        <v>393</v>
      </c>
      <c r="E131" s="69" t="s">
        <v>394</v>
      </c>
      <c r="F131" s="106" t="s">
        <v>395</v>
      </c>
      <c r="G131" s="69"/>
      <c r="H131" s="69"/>
      <c r="I131" s="36"/>
      <c r="J131" s="36"/>
      <c r="K131" s="36"/>
      <c r="L131" s="36"/>
      <c r="M131" s="36"/>
      <c r="N131" s="36"/>
      <c r="O131" s="36"/>
      <c r="P131" s="36"/>
      <c r="Q131" s="36"/>
    </row>
    <row r="132" spans="1:17" x14ac:dyDescent="0.3">
      <c r="A132" s="36" t="s">
        <v>294</v>
      </c>
      <c r="B132" s="36">
        <v>115</v>
      </c>
      <c r="C132" s="36"/>
      <c r="D132" s="69">
        <v>0</v>
      </c>
      <c r="E132" s="69">
        <v>2167116.1509940801</v>
      </c>
      <c r="F132" s="107">
        <f>+Table81926518[[#This Row],[Attorney/Admin Costs]]+Table81926518[[#This Row],[Dist Atty Fees]]+Table81926518[[#This Row],[JJ Atty Fees]]</f>
        <v>2167116.1509940801</v>
      </c>
      <c r="G132" s="36"/>
      <c r="H132" s="36"/>
      <c r="I132" s="36"/>
      <c r="J132" s="36"/>
      <c r="K132" s="36"/>
      <c r="L132" s="36"/>
      <c r="M132" s="36"/>
      <c r="N132" s="36"/>
      <c r="O132" s="36"/>
      <c r="P132" s="36"/>
      <c r="Q132" s="36"/>
    </row>
    <row r="133" spans="1:17" x14ac:dyDescent="0.3">
      <c r="A133" s="36" t="s">
        <v>396</v>
      </c>
      <c r="B133" s="36"/>
      <c r="C133" s="36"/>
      <c r="D133" s="36"/>
      <c r="E133" s="36"/>
      <c r="F133" s="106">
        <v>0</v>
      </c>
      <c r="G133" s="36"/>
      <c r="H133" s="69"/>
      <c r="I133" s="36"/>
      <c r="J133" s="36"/>
      <c r="K133" s="36"/>
      <c r="L133" s="36"/>
      <c r="M133" s="36"/>
      <c r="N133" s="36"/>
      <c r="O133" s="36"/>
      <c r="P133" s="36"/>
      <c r="Q133" s="36"/>
    </row>
    <row r="134" spans="1:17" x14ac:dyDescent="0.3">
      <c r="A134" s="36"/>
      <c r="B134" s="36"/>
      <c r="C134" s="36"/>
      <c r="D134" s="36"/>
      <c r="E134" s="36"/>
      <c r="F134" s="36"/>
      <c r="G134" s="36"/>
      <c r="H134" s="36"/>
      <c r="I134" s="36"/>
      <c r="J134" s="36"/>
      <c r="K134" s="36"/>
      <c r="L134" s="36"/>
      <c r="M134" s="36"/>
      <c r="N134" s="36"/>
      <c r="O134" s="36"/>
      <c r="P134" s="36"/>
      <c r="Q134" s="36"/>
    </row>
    <row r="135" spans="1:17" x14ac:dyDescent="0.3">
      <c r="A135" s="108" t="s">
        <v>397</v>
      </c>
      <c r="B135" s="70"/>
      <c r="C135" s="64">
        <f>F132</f>
        <v>2167116.1509940801</v>
      </c>
      <c r="D135" s="36"/>
      <c r="E135" s="36"/>
      <c r="F135" s="36"/>
      <c r="G135" s="36"/>
      <c r="H135" s="36"/>
      <c r="I135" s="36"/>
      <c r="J135" s="36"/>
      <c r="K135" s="36"/>
      <c r="L135" s="36"/>
      <c r="M135" s="36"/>
      <c r="N135" s="36"/>
      <c r="O135" s="36"/>
      <c r="P135" s="36"/>
      <c r="Q135" s="36"/>
    </row>
    <row r="136" spans="1:17" x14ac:dyDescent="0.3">
      <c r="A136" s="108" t="s">
        <v>398</v>
      </c>
      <c r="B136" s="70"/>
      <c r="C136" s="64">
        <f>F128+F124+O84+O69</f>
        <v>38976399.548349552</v>
      </c>
      <c r="D136" s="36"/>
      <c r="E136" s="36"/>
      <c r="F136" s="36"/>
      <c r="G136" s="36"/>
      <c r="H136" s="177"/>
      <c r="I136" s="36"/>
      <c r="J136" s="36"/>
      <c r="K136" s="36"/>
      <c r="L136" s="36"/>
      <c r="M136" s="36"/>
      <c r="N136" s="36"/>
      <c r="O136" s="36"/>
      <c r="P136" s="36"/>
      <c r="Q136" s="36"/>
    </row>
    <row r="137" spans="1:17" x14ac:dyDescent="0.3">
      <c r="A137" s="108" t="s">
        <v>399</v>
      </c>
      <c r="B137" s="70"/>
      <c r="C137" s="64">
        <f>C135+C136</f>
        <v>41143515.699343629</v>
      </c>
      <c r="D137" s="37"/>
      <c r="E137" s="69"/>
      <c r="F137" s="36"/>
      <c r="G137" s="36"/>
      <c r="H137" s="36"/>
      <c r="I137" s="36"/>
      <c r="J137" s="36"/>
      <c r="K137" s="36"/>
      <c r="L137" s="36"/>
      <c r="M137" s="36"/>
      <c r="N137" s="36"/>
      <c r="O137" s="36"/>
      <c r="P137" s="36"/>
      <c r="Q137" s="36"/>
    </row>
    <row r="138" spans="1:17" x14ac:dyDescent="0.3">
      <c r="A138" s="36"/>
      <c r="B138" s="36"/>
      <c r="C138" s="59"/>
      <c r="D138" s="36"/>
      <c r="E138" s="36"/>
      <c r="F138" s="36"/>
      <c r="G138" s="36"/>
      <c r="H138" s="36"/>
      <c r="I138" s="36"/>
      <c r="J138" s="36"/>
      <c r="K138" s="36"/>
      <c r="L138" s="36"/>
      <c r="M138" s="36"/>
      <c r="N138" s="36"/>
      <c r="O138" s="36"/>
      <c r="P138" s="36"/>
      <c r="Q138" s="36"/>
    </row>
    <row r="139" spans="1:17" x14ac:dyDescent="0.3">
      <c r="A139" s="36"/>
      <c r="B139" s="36"/>
      <c r="C139" s="59"/>
      <c r="D139" s="36"/>
      <c r="E139" s="36"/>
      <c r="F139" s="36"/>
      <c r="G139" s="36"/>
      <c r="H139" s="36"/>
      <c r="I139" s="36"/>
      <c r="J139" s="36"/>
      <c r="K139" s="36"/>
      <c r="L139" s="36"/>
      <c r="M139" s="36"/>
      <c r="N139" s="36"/>
      <c r="O139" s="36"/>
      <c r="P139" s="36"/>
      <c r="Q139" s="36"/>
    </row>
    <row r="140" spans="1:17" x14ac:dyDescent="0.3">
      <c r="A140" s="36"/>
      <c r="B140" s="36"/>
      <c r="C140" s="69"/>
      <c r="D140" s="36"/>
      <c r="E140" s="36"/>
      <c r="F140" s="36"/>
      <c r="G140" s="36"/>
      <c r="H140" s="36"/>
      <c r="I140" s="36"/>
      <c r="J140" s="36"/>
      <c r="K140" s="36"/>
      <c r="L140" s="36"/>
      <c r="M140" s="36"/>
      <c r="N140" s="36"/>
      <c r="O140" s="36"/>
      <c r="P140" s="36"/>
      <c r="Q140" s="36"/>
    </row>
    <row r="141" spans="1:17" x14ac:dyDescent="0.3">
      <c r="A141" s="36"/>
      <c r="B141" s="36"/>
      <c r="C141" s="36"/>
      <c r="D141" s="36"/>
      <c r="E141" s="36"/>
      <c r="F141" s="36"/>
      <c r="G141" s="36"/>
      <c r="H141" s="36"/>
      <c r="I141" s="36"/>
      <c r="J141" s="36"/>
      <c r="K141" s="36"/>
      <c r="L141" s="36"/>
      <c r="M141" s="36"/>
      <c r="N141" s="36"/>
      <c r="O141" s="36"/>
      <c r="P141" s="36"/>
      <c r="Q141" s="36"/>
    </row>
    <row r="142" spans="1:17" x14ac:dyDescent="0.3">
      <c r="A142" s="36"/>
      <c r="B142" s="36"/>
      <c r="C142" s="36"/>
      <c r="D142" s="36"/>
      <c r="E142" s="36"/>
      <c r="F142" s="36"/>
      <c r="G142" s="36"/>
      <c r="H142" s="36"/>
      <c r="I142" s="36"/>
      <c r="J142" s="36"/>
      <c r="K142" s="36"/>
      <c r="L142" s="36"/>
      <c r="M142" s="36"/>
      <c r="N142" s="36"/>
      <c r="O142" s="36"/>
      <c r="P142" s="36"/>
      <c r="Q142" s="36"/>
    </row>
    <row r="144" spans="1:17" x14ac:dyDescent="0.3">
      <c r="C144" s="44"/>
    </row>
  </sheetData>
  <autoFilter ref="A73:O73" xr:uid="{2F521CBF-AB09-4562-A2EA-1699344780B0}"/>
  <pageMargins left="0.7" right="0.7" top="0.75" bottom="0.75" header="0.3" footer="0.3"/>
  <pageSetup scale="55" orientation="landscape"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6E2A0-4E7A-4E3B-A25F-B06A1C13D220}">
  <sheetPr>
    <tabColor rgb="FF92D050"/>
  </sheetPr>
  <dimension ref="A2:R133"/>
  <sheetViews>
    <sheetView workbookViewId="0">
      <selection activeCell="J19" sqref="J19"/>
    </sheetView>
  </sheetViews>
  <sheetFormatPr defaultRowHeight="14.4" x14ac:dyDescent="0.3"/>
  <cols>
    <col min="3" max="3" width="16.33203125" customWidth="1"/>
    <col min="4" max="4" width="18.33203125" customWidth="1"/>
    <col min="5" max="5" width="8.88671875" customWidth="1"/>
    <col min="6" max="6" width="20.6640625" customWidth="1"/>
    <col min="8" max="9" width="15.33203125" customWidth="1"/>
    <col min="10" max="10" width="13.5546875" customWidth="1"/>
    <col min="11" max="11" width="15.44140625" customWidth="1"/>
    <col min="12" max="12" width="20" customWidth="1"/>
    <col min="14" max="14" width="11.109375" bestFit="1" customWidth="1"/>
  </cols>
  <sheetData>
    <row r="2" spans="1:12" x14ac:dyDescent="0.3">
      <c r="A2" s="15" t="s">
        <v>401</v>
      </c>
      <c r="B2" s="15"/>
      <c r="F2" s="7"/>
    </row>
    <row r="3" spans="1:12" x14ac:dyDescent="0.3">
      <c r="A3" s="111"/>
      <c r="B3" s="111"/>
      <c r="C3" s="111"/>
      <c r="D3" s="111"/>
      <c r="E3" s="111"/>
      <c r="F3" s="111"/>
      <c r="G3" s="111"/>
      <c r="H3" s="112" t="s">
        <v>402</v>
      </c>
      <c r="I3" s="111"/>
      <c r="J3" s="112" t="s">
        <v>403</v>
      </c>
      <c r="K3" s="111"/>
      <c r="L3" s="112" t="s">
        <v>6</v>
      </c>
    </row>
    <row r="4" spans="1:12" x14ac:dyDescent="0.3">
      <c r="A4" s="111"/>
      <c r="B4" s="111"/>
      <c r="C4" s="111"/>
      <c r="D4" s="111"/>
      <c r="E4" s="111"/>
      <c r="F4" s="113" t="s">
        <v>351</v>
      </c>
      <c r="G4" s="111"/>
      <c r="H4" s="113" t="s">
        <v>404</v>
      </c>
      <c r="I4" s="114" t="s">
        <v>351</v>
      </c>
      <c r="J4" s="113" t="s">
        <v>214</v>
      </c>
      <c r="K4" s="113" t="s">
        <v>351</v>
      </c>
      <c r="L4" s="113" t="s">
        <v>405</v>
      </c>
    </row>
    <row r="5" spans="1:12" x14ac:dyDescent="0.3">
      <c r="A5" s="115" t="s">
        <v>349</v>
      </c>
      <c r="B5" s="111"/>
      <c r="C5" s="113" t="s">
        <v>351</v>
      </c>
      <c r="D5" s="113" t="s">
        <v>406</v>
      </c>
      <c r="E5" s="111"/>
      <c r="F5" s="116">
        <v>0.78</v>
      </c>
      <c r="G5" s="111"/>
      <c r="H5" s="117">
        <v>0.78</v>
      </c>
      <c r="I5" s="111"/>
      <c r="J5" s="117">
        <v>0.78</v>
      </c>
      <c r="K5" s="111"/>
      <c r="L5" s="111"/>
    </row>
    <row r="6" spans="1:12" x14ac:dyDescent="0.3">
      <c r="A6" s="111" t="s">
        <v>26</v>
      </c>
      <c r="B6" s="111"/>
      <c r="C6" s="118">
        <v>185366.96914398481</v>
      </c>
      <c r="D6" s="118">
        <v>91756.649726272473</v>
      </c>
      <c r="E6" s="111"/>
      <c r="F6" s="119">
        <f>D6*$D$133</f>
        <v>71617.976971260694</v>
      </c>
      <c r="G6" s="111"/>
      <c r="H6" s="120">
        <v>39145.846666666672</v>
      </c>
      <c r="I6" s="118">
        <f>H6*$D$133</f>
        <v>30554.148974023654</v>
      </c>
      <c r="J6" s="111"/>
      <c r="K6" s="111"/>
      <c r="L6" s="119">
        <f>F6+I6+K6</f>
        <v>102172.12594528435</v>
      </c>
    </row>
    <row r="7" spans="1:12" x14ac:dyDescent="0.3">
      <c r="A7" s="111" t="s">
        <v>27</v>
      </c>
      <c r="B7" s="111"/>
      <c r="C7" s="118">
        <v>6209793.8923684452</v>
      </c>
      <c r="D7" s="118">
        <v>3073847.9767223801</v>
      </c>
      <c r="E7" s="111"/>
      <c r="F7" s="119">
        <f t="shared" ref="F7:F70" si="0">D7*$D$133</f>
        <v>2399202.3931430303</v>
      </c>
      <c r="G7" s="111"/>
      <c r="H7" s="121">
        <v>398296.81228561688</v>
      </c>
      <c r="I7" s="118">
        <f t="shared" ref="I7:I70" si="1">H7*$D$133</f>
        <v>310878.96098096413</v>
      </c>
      <c r="J7" s="111"/>
      <c r="K7" s="111"/>
      <c r="L7" s="119">
        <f t="shared" ref="L7:L70" si="2">F7+I7+K7</f>
        <v>2710081.3541239947</v>
      </c>
    </row>
    <row r="8" spans="1:12" x14ac:dyDescent="0.3">
      <c r="A8" s="111" t="s">
        <v>28</v>
      </c>
      <c r="B8" s="111"/>
      <c r="C8" s="118">
        <v>326547.65424871328</v>
      </c>
      <c r="D8" s="118">
        <v>161641.08885311306</v>
      </c>
      <c r="E8" s="111"/>
      <c r="F8" s="119">
        <f t="shared" si="0"/>
        <v>126164.2378359103</v>
      </c>
      <c r="G8" s="111"/>
      <c r="H8" s="120">
        <v>20879.579218425773</v>
      </c>
      <c r="I8" s="118">
        <f t="shared" si="1"/>
        <v>16296.946631069828</v>
      </c>
      <c r="J8" s="111"/>
      <c r="K8" s="111"/>
      <c r="L8" s="119">
        <f t="shared" si="2"/>
        <v>142461.18446698014</v>
      </c>
    </row>
    <row r="9" spans="1:12" x14ac:dyDescent="0.3">
      <c r="A9" s="111" t="s">
        <v>29</v>
      </c>
      <c r="B9" s="111"/>
      <c r="C9" s="118">
        <v>686504.4368627416</v>
      </c>
      <c r="D9" s="118">
        <v>339819.69624705712</v>
      </c>
      <c r="E9" s="111"/>
      <c r="F9" s="119">
        <f t="shared" si="0"/>
        <v>265236.35347198305</v>
      </c>
      <c r="G9" s="111"/>
      <c r="H9" s="121">
        <v>53574.825623531717</v>
      </c>
      <c r="I9" s="118">
        <f t="shared" si="1"/>
        <v>41816.267694948161</v>
      </c>
      <c r="J9" s="118"/>
      <c r="K9" s="111"/>
      <c r="L9" s="119">
        <f t="shared" si="2"/>
        <v>307052.62116693123</v>
      </c>
    </row>
    <row r="10" spans="1:12" x14ac:dyDescent="0.3">
      <c r="A10" s="111" t="s">
        <v>30</v>
      </c>
      <c r="B10" s="111"/>
      <c r="C10" s="118">
        <v>103460.67897729314</v>
      </c>
      <c r="D10" s="118">
        <v>51213.0360937601</v>
      </c>
      <c r="E10" s="111"/>
      <c r="F10" s="119">
        <f t="shared" si="0"/>
        <v>39972.841756242415</v>
      </c>
      <c r="G10" s="111"/>
      <c r="H10" s="120">
        <v>15152.807292398233</v>
      </c>
      <c r="I10" s="118">
        <f t="shared" si="1"/>
        <v>11827.081818640127</v>
      </c>
      <c r="J10" s="118"/>
      <c r="K10" s="111"/>
      <c r="L10" s="119">
        <f t="shared" si="2"/>
        <v>51799.923574882545</v>
      </c>
    </row>
    <row r="11" spans="1:12" x14ac:dyDescent="0.3">
      <c r="A11" s="111" t="s">
        <v>31</v>
      </c>
      <c r="B11" s="111"/>
      <c r="C11" s="118">
        <v>1018979.5383515304</v>
      </c>
      <c r="D11" s="118">
        <v>504394.87148400757</v>
      </c>
      <c r="E11" s="111"/>
      <c r="F11" s="119">
        <f t="shared" si="0"/>
        <v>393690.70686568914</v>
      </c>
      <c r="G11" s="111"/>
      <c r="H11" s="121"/>
      <c r="I11" s="118">
        <f t="shared" si="1"/>
        <v>0</v>
      </c>
      <c r="J11" s="118"/>
      <c r="K11" s="111"/>
      <c r="L11" s="119">
        <f t="shared" si="2"/>
        <v>393690.70686568914</v>
      </c>
    </row>
    <row r="12" spans="1:12" x14ac:dyDescent="0.3">
      <c r="A12" s="111" t="s">
        <v>32</v>
      </c>
      <c r="B12" s="111"/>
      <c r="C12" s="118">
        <v>434858.04165987222</v>
      </c>
      <c r="D12" s="118">
        <v>215254.73062163676</v>
      </c>
      <c r="E12" s="111"/>
      <c r="F12" s="119">
        <f t="shared" si="0"/>
        <v>168010.80234080568</v>
      </c>
      <c r="G12" s="111"/>
      <c r="H12" s="120"/>
      <c r="I12" s="118">
        <f t="shared" si="1"/>
        <v>0</v>
      </c>
      <c r="J12" s="118"/>
      <c r="K12" s="111"/>
      <c r="L12" s="119">
        <f t="shared" si="2"/>
        <v>168010.80234080568</v>
      </c>
    </row>
    <row r="13" spans="1:12" x14ac:dyDescent="0.3">
      <c r="A13" s="111" t="s">
        <v>33</v>
      </c>
      <c r="B13" s="111"/>
      <c r="C13" s="118">
        <v>121242.94323480103</v>
      </c>
      <c r="D13" s="118">
        <v>60015.256901226508</v>
      </c>
      <c r="E13" s="111"/>
      <c r="F13" s="119">
        <f t="shared" si="0"/>
        <v>46843.158501303136</v>
      </c>
      <c r="G13" s="111"/>
      <c r="H13" s="121">
        <v>19572.919999999998</v>
      </c>
      <c r="I13" s="118">
        <f t="shared" si="1"/>
        <v>15277.071885275704</v>
      </c>
      <c r="J13" s="118"/>
      <c r="K13" s="111"/>
      <c r="L13" s="119">
        <f t="shared" si="2"/>
        <v>62120.230386578842</v>
      </c>
    </row>
    <row r="14" spans="1:12" x14ac:dyDescent="0.3">
      <c r="A14" s="111" t="s">
        <v>34</v>
      </c>
      <c r="B14" s="111"/>
      <c r="C14" s="118">
        <v>3126990.0882038507</v>
      </c>
      <c r="D14" s="118">
        <v>1547860.093660906</v>
      </c>
      <c r="E14" s="111"/>
      <c r="F14" s="119">
        <f t="shared" si="0"/>
        <v>1208137.0546248206</v>
      </c>
      <c r="G14" s="111"/>
      <c r="H14" s="120">
        <v>205916</v>
      </c>
      <c r="I14" s="118">
        <f t="shared" si="1"/>
        <v>160721.72850695919</v>
      </c>
      <c r="J14" s="118"/>
      <c r="K14" s="111"/>
      <c r="L14" s="119">
        <f t="shared" si="2"/>
        <v>1368858.7831317799</v>
      </c>
    </row>
    <row r="15" spans="1:12" x14ac:dyDescent="0.3">
      <c r="A15" s="111" t="s">
        <v>35</v>
      </c>
      <c r="B15" s="111"/>
      <c r="C15" s="118">
        <v>737695.9069482832</v>
      </c>
      <c r="D15" s="118">
        <v>365159.47393940017</v>
      </c>
      <c r="E15" s="111"/>
      <c r="F15" s="119">
        <f t="shared" si="0"/>
        <v>285014.57794553274</v>
      </c>
      <c r="G15" s="111"/>
      <c r="H15" s="121"/>
      <c r="I15" s="118">
        <f t="shared" si="1"/>
        <v>0</v>
      </c>
      <c r="J15" s="118"/>
      <c r="K15" s="111"/>
      <c r="L15" s="119">
        <f t="shared" si="2"/>
        <v>285014.57794553274</v>
      </c>
    </row>
    <row r="16" spans="1:12" x14ac:dyDescent="0.3">
      <c r="A16" s="111" t="s">
        <v>36</v>
      </c>
      <c r="B16" s="111"/>
      <c r="C16" s="118">
        <v>855166.88055542833</v>
      </c>
      <c r="D16" s="118">
        <v>423307.60587493703</v>
      </c>
      <c r="E16" s="111"/>
      <c r="F16" s="119">
        <f t="shared" si="0"/>
        <v>330400.40650732588</v>
      </c>
      <c r="G16" s="111"/>
      <c r="H16" s="120">
        <v>42509.52</v>
      </c>
      <c r="I16" s="118">
        <f t="shared" si="1"/>
        <v>33179.566096860624</v>
      </c>
      <c r="J16" s="118"/>
      <c r="K16" s="111"/>
      <c r="L16" s="119">
        <f t="shared" si="2"/>
        <v>363579.97260418651</v>
      </c>
    </row>
    <row r="17" spans="1:12" x14ac:dyDescent="0.3">
      <c r="A17" s="111" t="s">
        <v>37</v>
      </c>
      <c r="B17" s="111"/>
      <c r="C17" s="118">
        <v>77462.718767322978</v>
      </c>
      <c r="D17" s="118">
        <v>38344.045789824871</v>
      </c>
      <c r="E17" s="111"/>
      <c r="F17" s="119">
        <f t="shared" si="0"/>
        <v>29928.3266831652</v>
      </c>
      <c r="G17" s="111"/>
      <c r="H17" s="121"/>
      <c r="I17" s="118">
        <f t="shared" si="1"/>
        <v>0</v>
      </c>
      <c r="J17" s="118"/>
      <c r="K17" s="111"/>
      <c r="L17" s="119">
        <f t="shared" si="2"/>
        <v>29928.3266831652</v>
      </c>
    </row>
    <row r="18" spans="1:12" x14ac:dyDescent="0.3">
      <c r="A18" s="111" t="s">
        <v>38</v>
      </c>
      <c r="B18" s="111"/>
      <c r="C18" s="118">
        <v>347024.22679038619</v>
      </c>
      <c r="D18" s="118">
        <v>171776.99226124116</v>
      </c>
      <c r="E18" s="111"/>
      <c r="F18" s="119">
        <f t="shared" si="0"/>
        <v>134075.52163966489</v>
      </c>
      <c r="G18" s="111"/>
      <c r="H18" s="120">
        <v>20621.919999999998</v>
      </c>
      <c r="I18" s="118">
        <f t="shared" si="1"/>
        <v>16095.838242449503</v>
      </c>
      <c r="J18" s="118">
        <v>73398.460000000006</v>
      </c>
      <c r="K18" s="118">
        <f>J18*$D$133</f>
        <v>57289.027374992256</v>
      </c>
      <c r="L18" s="119">
        <f t="shared" si="2"/>
        <v>207460.38725710666</v>
      </c>
    </row>
    <row r="19" spans="1:12" x14ac:dyDescent="0.3">
      <c r="A19" s="111" t="s">
        <v>39</v>
      </c>
      <c r="B19" s="111"/>
      <c r="C19" s="118">
        <v>134714.40719290738</v>
      </c>
      <c r="D19" s="118">
        <v>66683.631560489157</v>
      </c>
      <c r="E19" s="111"/>
      <c r="F19" s="119">
        <f t="shared" si="0"/>
        <v>52047.963866445709</v>
      </c>
      <c r="G19" s="111"/>
      <c r="H19" s="121"/>
      <c r="I19" s="118">
        <f t="shared" si="1"/>
        <v>0</v>
      </c>
      <c r="J19" s="118"/>
      <c r="K19" s="111"/>
      <c r="L19" s="119">
        <f t="shared" si="2"/>
        <v>52047.963866445709</v>
      </c>
    </row>
    <row r="20" spans="1:12" x14ac:dyDescent="0.3">
      <c r="A20" s="111" t="s">
        <v>40</v>
      </c>
      <c r="B20" s="111"/>
      <c r="C20" s="118">
        <v>1201652.1992113502</v>
      </c>
      <c r="D20" s="118">
        <v>594817.83860961837</v>
      </c>
      <c r="E20" s="111"/>
      <c r="F20" s="119">
        <f t="shared" si="0"/>
        <v>464267.716778256</v>
      </c>
      <c r="G20" s="111"/>
      <c r="H20" s="120">
        <v>170205.29</v>
      </c>
      <c r="I20" s="118">
        <f t="shared" si="1"/>
        <v>132848.77527646351</v>
      </c>
      <c r="J20" s="118"/>
      <c r="K20" s="111"/>
      <c r="L20" s="119">
        <f t="shared" si="2"/>
        <v>597116.49205471948</v>
      </c>
    </row>
    <row r="21" spans="1:12" x14ac:dyDescent="0.3">
      <c r="A21" s="111" t="s">
        <v>41</v>
      </c>
      <c r="B21" s="111"/>
      <c r="C21" s="118">
        <v>79212.059345245434</v>
      </c>
      <c r="D21" s="118">
        <v>39209.969375896493</v>
      </c>
      <c r="E21" s="111"/>
      <c r="F21" s="119">
        <f t="shared" si="0"/>
        <v>30604.198084651125</v>
      </c>
      <c r="G21" s="111"/>
      <c r="H21" s="121">
        <v>11860.89</v>
      </c>
      <c r="I21" s="118">
        <f t="shared" si="1"/>
        <v>9257.6717808762169</v>
      </c>
      <c r="J21" s="118"/>
      <c r="K21" s="111"/>
      <c r="L21" s="119">
        <f t="shared" si="2"/>
        <v>39861.86986552734</v>
      </c>
    </row>
    <row r="22" spans="1:12" x14ac:dyDescent="0.3">
      <c r="A22" s="111" t="s">
        <v>42</v>
      </c>
      <c r="B22" s="111"/>
      <c r="C22" s="118">
        <v>161118.42697465586</v>
      </c>
      <c r="D22" s="118">
        <v>79753.621352454647</v>
      </c>
      <c r="E22" s="111"/>
      <c r="F22" s="119">
        <f t="shared" si="0"/>
        <v>62249.36322799608</v>
      </c>
      <c r="G22" s="111"/>
      <c r="H22" s="120">
        <v>25658.21</v>
      </c>
      <c r="I22" s="118">
        <f t="shared" si="1"/>
        <v>20026.767524595201</v>
      </c>
      <c r="J22" s="118"/>
      <c r="K22" s="111"/>
      <c r="L22" s="119">
        <f t="shared" si="2"/>
        <v>82276.130752591285</v>
      </c>
    </row>
    <row r="23" spans="1:12" x14ac:dyDescent="0.3">
      <c r="A23" s="111" t="s">
        <v>43</v>
      </c>
      <c r="B23" s="111"/>
      <c r="C23" s="118">
        <v>77462.718767322978</v>
      </c>
      <c r="D23" s="118">
        <v>38344.045789824871</v>
      </c>
      <c r="E23" s="111"/>
      <c r="F23" s="119">
        <f t="shared" si="0"/>
        <v>29928.3266831652</v>
      </c>
      <c r="G23" s="111"/>
      <c r="H23" s="121">
        <v>11927.46</v>
      </c>
      <c r="I23" s="118">
        <f t="shared" si="1"/>
        <v>9309.6310529420516</v>
      </c>
      <c r="J23" s="118"/>
      <c r="K23" s="111"/>
      <c r="L23" s="119">
        <f t="shared" si="2"/>
        <v>39237.957736107252</v>
      </c>
    </row>
    <row r="24" spans="1:12" x14ac:dyDescent="0.3">
      <c r="A24" s="111" t="s">
        <v>44</v>
      </c>
      <c r="B24" s="111"/>
      <c r="C24" s="118">
        <v>176745.29108246299</v>
      </c>
      <c r="D24" s="118">
        <v>87488.919085819187</v>
      </c>
      <c r="E24" s="111"/>
      <c r="F24" s="119">
        <f t="shared" si="0"/>
        <v>68286.924283097731</v>
      </c>
      <c r="G24" s="111"/>
      <c r="H24" s="120">
        <v>20614.91</v>
      </c>
      <c r="I24" s="118">
        <f t="shared" si="1"/>
        <v>16090.366791387742</v>
      </c>
      <c r="J24" s="118"/>
      <c r="K24" s="111"/>
      <c r="L24" s="119">
        <f t="shared" si="2"/>
        <v>84377.291074485474</v>
      </c>
    </row>
    <row r="25" spans="1:12" x14ac:dyDescent="0.3">
      <c r="A25" s="111" t="s">
        <v>45</v>
      </c>
      <c r="B25" s="111"/>
      <c r="C25" s="118">
        <v>361573.3520919836</v>
      </c>
      <c r="D25" s="118">
        <v>178978.80928553187</v>
      </c>
      <c r="E25" s="111"/>
      <c r="F25" s="119">
        <f t="shared" si="0"/>
        <v>139696.68988562367</v>
      </c>
      <c r="G25" s="111"/>
      <c r="H25" s="121"/>
      <c r="I25" s="118">
        <f t="shared" si="1"/>
        <v>0</v>
      </c>
      <c r="J25" s="118"/>
      <c r="K25" s="111"/>
      <c r="L25" s="119">
        <f t="shared" si="2"/>
        <v>139696.68988562367</v>
      </c>
    </row>
    <row r="26" spans="1:12" x14ac:dyDescent="0.3">
      <c r="A26" s="111" t="s">
        <v>46</v>
      </c>
      <c r="B26" s="111"/>
      <c r="C26" s="118">
        <v>564722.66295619507</v>
      </c>
      <c r="D26" s="118">
        <v>279537.71816331655</v>
      </c>
      <c r="E26" s="111"/>
      <c r="F26" s="119">
        <f t="shared" si="0"/>
        <v>218185.01353027177</v>
      </c>
      <c r="G26" s="111"/>
      <c r="H26" s="120">
        <v>82638.33</v>
      </c>
      <c r="I26" s="118">
        <f t="shared" si="1"/>
        <v>64500.938433771546</v>
      </c>
      <c r="J26" s="118"/>
      <c r="K26" s="111"/>
      <c r="L26" s="119">
        <f t="shared" si="2"/>
        <v>282685.95196404331</v>
      </c>
    </row>
    <row r="27" spans="1:12" x14ac:dyDescent="0.3">
      <c r="A27" s="111" t="s">
        <v>47</v>
      </c>
      <c r="B27" s="111"/>
      <c r="C27" s="118">
        <v>868099.43637907051</v>
      </c>
      <c r="D27" s="118">
        <v>429709.22100763989</v>
      </c>
      <c r="E27" s="111"/>
      <c r="F27" s="119">
        <f t="shared" si="0"/>
        <v>335397.0005037337</v>
      </c>
      <c r="G27" s="111"/>
      <c r="H27" s="121"/>
      <c r="I27" s="118">
        <f t="shared" si="1"/>
        <v>0</v>
      </c>
      <c r="J27" s="118"/>
      <c r="K27" s="111"/>
      <c r="L27" s="119">
        <f t="shared" si="2"/>
        <v>335397.0005037337</v>
      </c>
    </row>
    <row r="28" spans="1:12" x14ac:dyDescent="0.3">
      <c r="A28" s="111" t="s">
        <v>48</v>
      </c>
      <c r="B28" s="111"/>
      <c r="C28" s="118">
        <v>3485330.3788026427</v>
      </c>
      <c r="D28" s="118">
        <v>1725238.5375073082</v>
      </c>
      <c r="E28" s="111"/>
      <c r="F28" s="119">
        <f t="shared" si="0"/>
        <v>1346584.6259396693</v>
      </c>
      <c r="G28" s="111"/>
      <c r="H28" s="120">
        <v>183714.69</v>
      </c>
      <c r="I28" s="118">
        <f t="shared" si="1"/>
        <v>143393.14346102378</v>
      </c>
      <c r="J28" s="118">
        <v>366992.31</v>
      </c>
      <c r="K28" s="118">
        <f>J28*$D$133</f>
        <v>286445.14468016964</v>
      </c>
      <c r="L28" s="119">
        <f t="shared" si="2"/>
        <v>1776422.9140808627</v>
      </c>
    </row>
    <row r="29" spans="1:12" x14ac:dyDescent="0.3">
      <c r="A29" s="111" t="s">
        <v>49</v>
      </c>
      <c r="B29" s="111"/>
      <c r="C29" s="118">
        <v>90528.045690932267</v>
      </c>
      <c r="D29" s="118">
        <v>44811.38261701147</v>
      </c>
      <c r="E29" s="111"/>
      <c r="F29" s="119">
        <f t="shared" si="0"/>
        <v>34976.217831507936</v>
      </c>
      <c r="G29" s="111"/>
      <c r="H29" s="121"/>
      <c r="I29" s="118">
        <f t="shared" si="1"/>
        <v>0</v>
      </c>
      <c r="J29" s="118"/>
      <c r="K29" s="111"/>
      <c r="L29" s="119">
        <f t="shared" si="2"/>
        <v>34976.217831507936</v>
      </c>
    </row>
    <row r="30" spans="1:12" x14ac:dyDescent="0.3">
      <c r="A30" s="111" t="s">
        <v>50</v>
      </c>
      <c r="B30" s="111"/>
      <c r="C30" s="118">
        <v>1105196.7062803425</v>
      </c>
      <c r="D30" s="118">
        <v>547072.36960876954</v>
      </c>
      <c r="E30" s="111"/>
      <c r="F30" s="119">
        <f t="shared" si="0"/>
        <v>427001.38338895229</v>
      </c>
      <c r="G30" s="111"/>
      <c r="H30" s="120">
        <v>86271.35</v>
      </c>
      <c r="I30" s="118">
        <f t="shared" si="1"/>
        <v>67336.586242102872</v>
      </c>
      <c r="J30" s="118"/>
      <c r="K30" s="111"/>
      <c r="L30" s="119">
        <f t="shared" si="2"/>
        <v>494337.96963105514</v>
      </c>
    </row>
    <row r="31" spans="1:12" x14ac:dyDescent="0.3">
      <c r="A31" s="111" t="s">
        <v>51</v>
      </c>
      <c r="B31" s="111"/>
      <c r="C31" s="118">
        <v>726379.92060259648</v>
      </c>
      <c r="D31" s="118">
        <v>359558.06069828523</v>
      </c>
      <c r="E31" s="111"/>
      <c r="F31" s="119">
        <f t="shared" si="0"/>
        <v>280642.55819867598</v>
      </c>
      <c r="G31" s="111"/>
      <c r="H31" s="121">
        <v>41022.81</v>
      </c>
      <c r="I31" s="118">
        <f t="shared" si="1"/>
        <v>32019.157964473721</v>
      </c>
      <c r="J31" s="118"/>
      <c r="K31" s="111"/>
      <c r="L31" s="119">
        <f t="shared" si="2"/>
        <v>312661.71616314969</v>
      </c>
    </row>
    <row r="32" spans="1:12" x14ac:dyDescent="0.3">
      <c r="A32" s="111" t="s">
        <v>52</v>
      </c>
      <c r="B32" s="111"/>
      <c r="C32" s="118">
        <v>77462.718767322978</v>
      </c>
      <c r="D32" s="118">
        <v>38344.045789824871</v>
      </c>
      <c r="E32" s="111"/>
      <c r="F32" s="119">
        <f t="shared" si="0"/>
        <v>29928.3266831652</v>
      </c>
      <c r="G32" s="111"/>
      <c r="H32" s="120"/>
      <c r="I32" s="118">
        <f t="shared" si="1"/>
        <v>0</v>
      </c>
      <c r="J32" s="118"/>
      <c r="K32" s="111"/>
      <c r="L32" s="119">
        <f t="shared" si="2"/>
        <v>29928.3266831652</v>
      </c>
    </row>
    <row r="33" spans="1:12" x14ac:dyDescent="0.3">
      <c r="A33" s="111" t="s">
        <v>53</v>
      </c>
      <c r="B33" s="111"/>
      <c r="C33" s="118">
        <v>276972.75364112685</v>
      </c>
      <c r="D33" s="118">
        <v>137101.5130523578</v>
      </c>
      <c r="E33" s="111"/>
      <c r="F33" s="119">
        <f t="shared" si="0"/>
        <v>107010.58761191153</v>
      </c>
      <c r="G33" s="111"/>
      <c r="H33" s="121">
        <v>49662.81</v>
      </c>
      <c r="I33" s="118">
        <f t="shared" si="1"/>
        <v>38762.857989241718</v>
      </c>
      <c r="J33" s="118"/>
      <c r="K33" s="111"/>
      <c r="L33" s="119">
        <f t="shared" si="2"/>
        <v>145773.44560115325</v>
      </c>
    </row>
    <row r="34" spans="1:12" x14ac:dyDescent="0.3">
      <c r="A34" s="111" t="s">
        <v>54</v>
      </c>
      <c r="B34" s="111"/>
      <c r="C34" s="118">
        <v>77462.718767322978</v>
      </c>
      <c r="D34" s="118">
        <v>38344.045789824871</v>
      </c>
      <c r="E34" s="111"/>
      <c r="F34" s="119">
        <f t="shared" si="0"/>
        <v>29928.3266831652</v>
      </c>
      <c r="G34" s="111"/>
      <c r="H34" s="120"/>
      <c r="I34" s="118">
        <f t="shared" si="1"/>
        <v>0</v>
      </c>
      <c r="J34" s="118"/>
      <c r="K34" s="111"/>
      <c r="L34" s="119">
        <f t="shared" si="2"/>
        <v>29928.3266831652</v>
      </c>
    </row>
    <row r="35" spans="1:12" x14ac:dyDescent="0.3">
      <c r="A35" s="111" t="s">
        <v>55</v>
      </c>
      <c r="B35" s="111"/>
      <c r="C35" s="118">
        <v>110465.78756085968</v>
      </c>
      <c r="D35" s="118">
        <v>54680.564842625543</v>
      </c>
      <c r="E35" s="111"/>
      <c r="F35" s="119">
        <f t="shared" si="0"/>
        <v>42679.320194854408</v>
      </c>
      <c r="G35" s="111"/>
      <c r="H35" s="121">
        <v>11451</v>
      </c>
      <c r="I35" s="118">
        <f t="shared" si="1"/>
        <v>8937.7440953261994</v>
      </c>
      <c r="J35" s="118"/>
      <c r="K35" s="111"/>
      <c r="L35" s="119">
        <f t="shared" si="2"/>
        <v>51617.064290180606</v>
      </c>
    </row>
    <row r="36" spans="1:12" x14ac:dyDescent="0.3">
      <c r="A36" s="111" t="s">
        <v>56</v>
      </c>
      <c r="B36" s="111"/>
      <c r="C36" s="118">
        <v>96455.492931007815</v>
      </c>
      <c r="D36" s="118">
        <v>47745.469000848869</v>
      </c>
      <c r="E36" s="111"/>
      <c r="F36" s="119">
        <f t="shared" si="0"/>
        <v>37266.333389303742</v>
      </c>
      <c r="G36" s="111"/>
      <c r="H36" s="120">
        <v>14042.87</v>
      </c>
      <c r="I36" s="118">
        <f t="shared" si="1"/>
        <v>10960.752635047895</v>
      </c>
      <c r="J36" s="118"/>
      <c r="K36" s="111"/>
      <c r="L36" s="119">
        <f t="shared" si="2"/>
        <v>48227.086024351636</v>
      </c>
    </row>
    <row r="37" spans="1:12" x14ac:dyDescent="0.3">
      <c r="A37" s="111" t="s">
        <v>57</v>
      </c>
      <c r="B37" s="111"/>
      <c r="C37" s="118">
        <v>368039.7074665234</v>
      </c>
      <c r="D37" s="118">
        <v>182179.65519592908</v>
      </c>
      <c r="E37" s="111"/>
      <c r="F37" s="119">
        <f t="shared" si="0"/>
        <v>142195.01681215424</v>
      </c>
      <c r="G37" s="111"/>
      <c r="H37" s="121">
        <v>26513.03</v>
      </c>
      <c r="I37" s="118">
        <f t="shared" si="1"/>
        <v>20693.972345795686</v>
      </c>
      <c r="J37" s="118"/>
      <c r="K37" s="111"/>
      <c r="L37" s="119">
        <f t="shared" si="2"/>
        <v>162888.98915794992</v>
      </c>
    </row>
    <row r="38" spans="1:12" x14ac:dyDescent="0.3">
      <c r="A38" s="111" t="s">
        <v>58</v>
      </c>
      <c r="B38" s="111"/>
      <c r="C38" s="118">
        <v>101844.03203661912</v>
      </c>
      <c r="D38" s="118">
        <v>50412.795858126461</v>
      </c>
      <c r="E38" s="111"/>
      <c r="F38" s="119">
        <f t="shared" si="0"/>
        <v>39348.237578364766</v>
      </c>
      <c r="G38" s="111"/>
      <c r="H38" s="120"/>
      <c r="I38" s="118">
        <f t="shared" si="1"/>
        <v>0</v>
      </c>
      <c r="J38" s="118"/>
      <c r="K38" s="111"/>
      <c r="L38" s="119">
        <f t="shared" si="2"/>
        <v>39348.237578364766</v>
      </c>
    </row>
    <row r="39" spans="1:12" x14ac:dyDescent="0.3">
      <c r="A39" s="111" t="s">
        <v>59</v>
      </c>
      <c r="B39" s="111"/>
      <c r="C39" s="118">
        <v>77462.718767322978</v>
      </c>
      <c r="D39" s="118">
        <v>38344.045789824871</v>
      </c>
      <c r="E39" s="111"/>
      <c r="F39" s="119">
        <f t="shared" si="0"/>
        <v>29928.3266831652</v>
      </c>
      <c r="G39" s="111"/>
      <c r="H39" s="121"/>
      <c r="I39" s="118">
        <f t="shared" si="1"/>
        <v>0</v>
      </c>
      <c r="J39" s="118"/>
      <c r="K39" s="111"/>
      <c r="L39" s="119">
        <f t="shared" si="2"/>
        <v>29928.3266831652</v>
      </c>
    </row>
    <row r="40" spans="1:12" x14ac:dyDescent="0.3">
      <c r="A40" s="111" t="s">
        <v>60</v>
      </c>
      <c r="B40" s="111"/>
      <c r="C40" s="118">
        <v>750628.54023464408</v>
      </c>
      <c r="D40" s="118">
        <v>371561.12741614884</v>
      </c>
      <c r="E40" s="111"/>
      <c r="F40" s="119">
        <f t="shared" si="0"/>
        <v>290011.20187026722</v>
      </c>
      <c r="G40" s="111"/>
      <c r="H40" s="120">
        <v>68760.759999999995</v>
      </c>
      <c r="I40" s="118">
        <f t="shared" si="1"/>
        <v>53669.20589294751</v>
      </c>
      <c r="J40" s="118"/>
      <c r="K40" s="111"/>
      <c r="L40" s="119">
        <f t="shared" si="2"/>
        <v>343680.40776321472</v>
      </c>
    </row>
    <row r="41" spans="1:12" x14ac:dyDescent="0.3">
      <c r="A41" s="111" t="s">
        <v>61</v>
      </c>
      <c r="B41" s="111"/>
      <c r="C41" s="118">
        <v>1221051.110409532</v>
      </c>
      <c r="D41" s="118">
        <v>604420.29965271836</v>
      </c>
      <c r="E41" s="111"/>
      <c r="F41" s="119">
        <f t="shared" si="0"/>
        <v>471762.63770119433</v>
      </c>
      <c r="G41" s="111"/>
      <c r="H41" s="121"/>
      <c r="I41" s="118">
        <f t="shared" si="1"/>
        <v>0</v>
      </c>
      <c r="J41" s="118"/>
      <c r="K41" s="111"/>
      <c r="L41" s="119">
        <f t="shared" si="2"/>
        <v>471762.63770119433</v>
      </c>
    </row>
    <row r="42" spans="1:12" x14ac:dyDescent="0.3">
      <c r="A42" s="111" t="s">
        <v>62</v>
      </c>
      <c r="B42" s="111"/>
      <c r="C42" s="118">
        <v>532930.10406883527</v>
      </c>
      <c r="D42" s="118">
        <v>263800.40151407343</v>
      </c>
      <c r="E42" s="111"/>
      <c r="F42" s="119">
        <f t="shared" si="0"/>
        <v>205901.70997966034</v>
      </c>
      <c r="G42" s="111"/>
      <c r="H42" s="120">
        <v>27412.45</v>
      </c>
      <c r="I42" s="118">
        <f t="shared" si="1"/>
        <v>21395.98839629069</v>
      </c>
      <c r="J42" s="118"/>
      <c r="K42" s="111"/>
      <c r="L42" s="119">
        <f t="shared" si="2"/>
        <v>227297.69837595103</v>
      </c>
    </row>
    <row r="43" spans="1:12" x14ac:dyDescent="0.3">
      <c r="A43" s="111" t="s">
        <v>63</v>
      </c>
      <c r="B43" s="111"/>
      <c r="C43" s="118">
        <v>324931.084770758</v>
      </c>
      <c r="D43" s="118">
        <v>160840.88696152522</v>
      </c>
      <c r="E43" s="111"/>
      <c r="F43" s="119">
        <f t="shared" si="0"/>
        <v>125539.66358635934</v>
      </c>
      <c r="G43" s="111"/>
      <c r="H43" s="121"/>
      <c r="I43" s="118">
        <f t="shared" si="1"/>
        <v>0</v>
      </c>
      <c r="J43" s="118"/>
      <c r="K43" s="111"/>
      <c r="L43" s="119">
        <f t="shared" si="2"/>
        <v>125539.66358635934</v>
      </c>
    </row>
    <row r="44" spans="1:12" x14ac:dyDescent="0.3">
      <c r="A44" s="111" t="s">
        <v>64</v>
      </c>
      <c r="B44" s="111"/>
      <c r="C44" s="118">
        <v>1135372.7731524657</v>
      </c>
      <c r="D44" s="118">
        <v>562009.52271047048</v>
      </c>
      <c r="E44" s="111"/>
      <c r="F44" s="119">
        <f t="shared" si="0"/>
        <v>438660.14261833933</v>
      </c>
      <c r="G44" s="111"/>
      <c r="H44" s="120">
        <v>119292.73</v>
      </c>
      <c r="I44" s="118">
        <f t="shared" si="1"/>
        <v>93110.461372180827</v>
      </c>
      <c r="J44" s="118"/>
      <c r="K44" s="111"/>
      <c r="L44" s="119">
        <f t="shared" si="2"/>
        <v>531770.60399052012</v>
      </c>
    </row>
    <row r="45" spans="1:12" x14ac:dyDescent="0.3">
      <c r="A45" s="111" t="s">
        <v>65</v>
      </c>
      <c r="B45" s="111"/>
      <c r="C45" s="118">
        <v>1768530.3397799649</v>
      </c>
      <c r="D45" s="118">
        <v>875422.51819108264</v>
      </c>
      <c r="E45" s="111"/>
      <c r="F45" s="119">
        <f t="shared" si="0"/>
        <v>683285.51592681359</v>
      </c>
      <c r="G45" s="111"/>
      <c r="H45" s="121">
        <v>103698.49</v>
      </c>
      <c r="I45" s="118">
        <f t="shared" si="1"/>
        <v>80938.832127477348</v>
      </c>
      <c r="J45" s="118"/>
      <c r="K45" s="111"/>
      <c r="L45" s="119">
        <f t="shared" si="2"/>
        <v>764224.34805429098</v>
      </c>
    </row>
    <row r="46" spans="1:12" x14ac:dyDescent="0.3">
      <c r="A46" s="111" t="s">
        <v>66</v>
      </c>
      <c r="B46" s="111"/>
      <c r="C46" s="118">
        <v>345946.48798417643</v>
      </c>
      <c r="D46" s="118">
        <v>171243.51155216733</v>
      </c>
      <c r="E46" s="111"/>
      <c r="F46" s="119">
        <f t="shared" si="0"/>
        <v>133659.12883052201</v>
      </c>
      <c r="G46" s="111"/>
      <c r="H46" s="120">
        <v>39145.85</v>
      </c>
      <c r="I46" s="118">
        <f t="shared" si="1"/>
        <v>30554.15157575977</v>
      </c>
      <c r="J46" s="118"/>
      <c r="K46" s="111"/>
      <c r="L46" s="119">
        <f t="shared" si="2"/>
        <v>164213.28040628179</v>
      </c>
    </row>
    <row r="47" spans="1:12" x14ac:dyDescent="0.3">
      <c r="A47" s="111" t="s">
        <v>67</v>
      </c>
      <c r="B47" s="111"/>
      <c r="C47" s="118">
        <v>96994.323602753313</v>
      </c>
      <c r="D47" s="118">
        <v>48012.190183362887</v>
      </c>
      <c r="E47" s="111"/>
      <c r="F47" s="119">
        <f t="shared" si="0"/>
        <v>37474.514829711836</v>
      </c>
      <c r="G47" s="111"/>
      <c r="H47" s="121"/>
      <c r="I47" s="118">
        <f t="shared" si="1"/>
        <v>0</v>
      </c>
      <c r="J47" s="118"/>
      <c r="K47" s="111"/>
      <c r="L47" s="119">
        <f t="shared" si="2"/>
        <v>37474.514829711836</v>
      </c>
    </row>
    <row r="48" spans="1:12" x14ac:dyDescent="0.3">
      <c r="A48" s="111" t="s">
        <v>68</v>
      </c>
      <c r="B48" s="111"/>
      <c r="C48" s="118">
        <v>501676.37585322099</v>
      </c>
      <c r="D48" s="118">
        <v>248329.80604734438</v>
      </c>
      <c r="E48" s="111"/>
      <c r="F48" s="119">
        <f t="shared" si="0"/>
        <v>193826.58786945706</v>
      </c>
      <c r="G48" s="111"/>
      <c r="H48" s="120">
        <v>39145.85</v>
      </c>
      <c r="I48" s="118">
        <f t="shared" si="1"/>
        <v>30554.15157575977</v>
      </c>
      <c r="J48" s="118"/>
      <c r="K48" s="111"/>
      <c r="L48" s="119">
        <f t="shared" si="2"/>
        <v>224380.73944521684</v>
      </c>
    </row>
    <row r="49" spans="1:12" x14ac:dyDescent="0.3">
      <c r="A49" s="111" t="s">
        <v>69</v>
      </c>
      <c r="B49" s="111"/>
      <c r="C49" s="118">
        <v>93222.3539750973</v>
      </c>
      <c r="D49" s="118">
        <v>46145.06521767316</v>
      </c>
      <c r="E49" s="111"/>
      <c r="F49" s="119">
        <f t="shared" si="0"/>
        <v>36017.184890201788</v>
      </c>
      <c r="G49" s="111"/>
      <c r="H49" s="121"/>
      <c r="I49" s="118">
        <f t="shared" si="1"/>
        <v>0</v>
      </c>
      <c r="J49" s="118"/>
      <c r="K49" s="111"/>
      <c r="L49" s="119">
        <f t="shared" si="2"/>
        <v>36017.184890201788</v>
      </c>
    </row>
    <row r="50" spans="1:12" x14ac:dyDescent="0.3">
      <c r="A50" s="111" t="s">
        <v>70</v>
      </c>
      <c r="B50" s="111"/>
      <c r="C50" s="118">
        <v>445635.11987109476</v>
      </c>
      <c r="D50" s="118">
        <v>220589.3843361919</v>
      </c>
      <c r="E50" s="111"/>
      <c r="F50" s="119">
        <f t="shared" si="0"/>
        <v>172174.6107189277</v>
      </c>
      <c r="G50" s="111"/>
      <c r="H50" s="120">
        <v>53610.5</v>
      </c>
      <c r="I50" s="118">
        <f t="shared" si="1"/>
        <v>41844.1122891001</v>
      </c>
      <c r="J50" s="118"/>
      <c r="K50" s="111"/>
      <c r="L50" s="119">
        <f t="shared" si="2"/>
        <v>214018.7230080278</v>
      </c>
    </row>
    <row r="51" spans="1:12" x14ac:dyDescent="0.3">
      <c r="A51" s="111" t="s">
        <v>71</v>
      </c>
      <c r="B51" s="111"/>
      <c r="C51" s="118">
        <v>2719613.8051319369</v>
      </c>
      <c r="D51" s="118">
        <v>1346208.8335403088</v>
      </c>
      <c r="E51" s="111"/>
      <c r="F51" s="119">
        <f t="shared" si="0"/>
        <v>1050744.0444547085</v>
      </c>
      <c r="G51" s="111"/>
      <c r="H51" s="121"/>
      <c r="I51" s="118">
        <f t="shared" si="1"/>
        <v>0</v>
      </c>
      <c r="J51" s="118"/>
      <c r="K51" s="111"/>
      <c r="L51" s="119">
        <f t="shared" si="2"/>
        <v>1050744.0444547085</v>
      </c>
    </row>
    <row r="52" spans="1:12" x14ac:dyDescent="0.3">
      <c r="A52" s="111" t="s">
        <v>72</v>
      </c>
      <c r="B52" s="111"/>
      <c r="C52" s="118">
        <v>77462.718767322978</v>
      </c>
      <c r="D52" s="118">
        <v>38344.045789824871</v>
      </c>
      <c r="E52" s="111"/>
      <c r="F52" s="119">
        <f t="shared" si="0"/>
        <v>29928.3266831652</v>
      </c>
      <c r="G52" s="111"/>
      <c r="H52" s="120"/>
      <c r="I52" s="118">
        <f t="shared" si="1"/>
        <v>0</v>
      </c>
      <c r="J52" s="118"/>
      <c r="K52" s="111"/>
      <c r="L52" s="119">
        <f t="shared" si="2"/>
        <v>29928.3266831652</v>
      </c>
    </row>
    <row r="53" spans="1:12" x14ac:dyDescent="0.3">
      <c r="A53" s="111" t="s">
        <v>73</v>
      </c>
      <c r="B53" s="111"/>
      <c r="C53" s="118">
        <v>908513.75079067075</v>
      </c>
      <c r="D53" s="118">
        <v>449714.30664138199</v>
      </c>
      <c r="E53" s="111"/>
      <c r="F53" s="119">
        <f t="shared" si="0"/>
        <v>351011.38667083468</v>
      </c>
      <c r="G53" s="111"/>
      <c r="H53" s="121"/>
      <c r="I53" s="118">
        <f t="shared" si="1"/>
        <v>0</v>
      </c>
      <c r="J53" s="118"/>
      <c r="K53" s="111"/>
      <c r="L53" s="119">
        <f t="shared" si="2"/>
        <v>351011.38667083468</v>
      </c>
    </row>
    <row r="54" spans="1:12" x14ac:dyDescent="0.3">
      <c r="A54" s="111" t="s">
        <v>74</v>
      </c>
      <c r="B54" s="111"/>
      <c r="C54" s="118">
        <v>311459.62081265164</v>
      </c>
      <c r="D54" s="118">
        <v>154172.51230226256</v>
      </c>
      <c r="E54" s="111"/>
      <c r="F54" s="119">
        <f t="shared" si="0"/>
        <v>120334.85822121677</v>
      </c>
      <c r="G54" s="111"/>
      <c r="H54" s="120">
        <v>29188.67</v>
      </c>
      <c r="I54" s="118">
        <f t="shared" si="1"/>
        <v>22782.365115965855</v>
      </c>
      <c r="J54" s="118"/>
      <c r="K54" s="111"/>
      <c r="L54" s="119">
        <f t="shared" si="2"/>
        <v>143117.22333718263</v>
      </c>
    </row>
    <row r="55" spans="1:12" x14ac:dyDescent="0.3">
      <c r="A55" s="111" t="s">
        <v>75</v>
      </c>
      <c r="B55" s="111"/>
      <c r="C55" s="118">
        <v>124476.08219071156</v>
      </c>
      <c r="D55" s="118">
        <v>61615.660684402224</v>
      </c>
      <c r="E55" s="111"/>
      <c r="F55" s="119">
        <f t="shared" si="0"/>
        <v>48092.30700040509</v>
      </c>
      <c r="G55" s="111"/>
      <c r="H55" s="121"/>
      <c r="I55" s="118">
        <f t="shared" si="1"/>
        <v>0</v>
      </c>
      <c r="J55" s="118"/>
      <c r="K55" s="111"/>
      <c r="L55" s="119">
        <f t="shared" si="2"/>
        <v>48092.30700040509</v>
      </c>
    </row>
    <row r="56" spans="1:12" x14ac:dyDescent="0.3">
      <c r="A56" s="111" t="s">
        <v>76</v>
      </c>
      <c r="B56" s="111"/>
      <c r="C56" s="118">
        <v>12472395.824300386</v>
      </c>
      <c r="D56" s="118">
        <v>6173835.9330286914</v>
      </c>
      <c r="E56" s="111"/>
      <c r="F56" s="119">
        <f t="shared" si="0"/>
        <v>4818807.5850091614</v>
      </c>
      <c r="G56" s="111"/>
      <c r="H56" s="120">
        <v>510793.6</v>
      </c>
      <c r="I56" s="118">
        <f t="shared" si="1"/>
        <v>398685.04779760831</v>
      </c>
      <c r="J56" s="118">
        <v>1027578.48</v>
      </c>
      <c r="K56" s="118">
        <f>J56*$D$133</f>
        <v>802046.41447072499</v>
      </c>
      <c r="L56" s="119">
        <f t="shared" si="2"/>
        <v>6019539.0472774943</v>
      </c>
    </row>
    <row r="57" spans="1:12" x14ac:dyDescent="0.3">
      <c r="A57" s="111" t="s">
        <v>77</v>
      </c>
      <c r="B57" s="111"/>
      <c r="C57" s="118">
        <v>152496.67145041531</v>
      </c>
      <c r="D57" s="118">
        <v>75485.85236795558</v>
      </c>
      <c r="E57" s="111"/>
      <c r="F57" s="119">
        <f t="shared" si="0"/>
        <v>58918.280611506438</v>
      </c>
      <c r="G57" s="111"/>
      <c r="H57" s="121">
        <v>19572.919999999998</v>
      </c>
      <c r="I57" s="118">
        <f t="shared" si="1"/>
        <v>15277.071885275704</v>
      </c>
      <c r="J57" s="118"/>
      <c r="K57" s="111"/>
      <c r="L57" s="119">
        <f t="shared" si="2"/>
        <v>74195.352496782143</v>
      </c>
    </row>
    <row r="58" spans="1:12" x14ac:dyDescent="0.3">
      <c r="A58" s="111" t="s">
        <v>78</v>
      </c>
      <c r="B58" s="111"/>
      <c r="C58" s="118">
        <v>77462.718767322978</v>
      </c>
      <c r="D58" s="118">
        <v>38344.045789824871</v>
      </c>
      <c r="E58" s="111"/>
      <c r="F58" s="119">
        <f t="shared" si="0"/>
        <v>29928.3266831652</v>
      </c>
      <c r="G58" s="111"/>
      <c r="H58" s="122"/>
      <c r="I58" s="118">
        <f t="shared" si="1"/>
        <v>0</v>
      </c>
      <c r="J58" s="118"/>
      <c r="K58" s="111"/>
      <c r="L58" s="119">
        <f t="shared" si="2"/>
        <v>29928.3266831652</v>
      </c>
    </row>
    <row r="59" spans="1:12" x14ac:dyDescent="0.3">
      <c r="A59" s="111" t="s">
        <v>79</v>
      </c>
      <c r="B59" s="111"/>
      <c r="C59" s="118">
        <v>531313.53459088004</v>
      </c>
      <c r="D59" s="118">
        <v>263000.19962248561</v>
      </c>
      <c r="E59" s="111"/>
      <c r="F59" s="119">
        <f t="shared" si="0"/>
        <v>205277.13573010941</v>
      </c>
      <c r="G59" s="111"/>
      <c r="H59" s="123">
        <v>45559.7</v>
      </c>
      <c r="I59" s="118">
        <f t="shared" si="1"/>
        <v>35560.295141021139</v>
      </c>
      <c r="J59" s="118"/>
      <c r="K59" s="111"/>
      <c r="L59" s="119">
        <f t="shared" si="2"/>
        <v>240837.43087113055</v>
      </c>
    </row>
    <row r="60" spans="1:12" x14ac:dyDescent="0.3">
      <c r="A60" s="111" t="s">
        <v>80</v>
      </c>
      <c r="B60" s="111"/>
      <c r="C60" s="118">
        <v>77462.718767322978</v>
      </c>
      <c r="D60" s="118">
        <v>38344.045789824871</v>
      </c>
      <c r="E60" s="111"/>
      <c r="F60" s="119">
        <f t="shared" si="0"/>
        <v>29928.3266831652</v>
      </c>
      <c r="G60" s="111"/>
      <c r="H60" s="125"/>
      <c r="I60" s="118">
        <f t="shared" si="1"/>
        <v>0</v>
      </c>
      <c r="J60" s="118"/>
      <c r="K60" s="111"/>
      <c r="L60" s="119">
        <f t="shared" si="2"/>
        <v>29928.3266831652</v>
      </c>
    </row>
    <row r="61" spans="1:12" x14ac:dyDescent="0.3">
      <c r="A61" s="111" t="s">
        <v>81</v>
      </c>
      <c r="B61" s="111"/>
      <c r="C61" s="118">
        <v>229014.42251149568</v>
      </c>
      <c r="D61" s="118">
        <v>113362.13914319036</v>
      </c>
      <c r="E61" s="111"/>
      <c r="F61" s="119">
        <f t="shared" si="0"/>
        <v>88481.5116374637</v>
      </c>
      <c r="G61" s="111"/>
      <c r="H61" s="125"/>
      <c r="I61" s="118">
        <f t="shared" si="1"/>
        <v>0</v>
      </c>
      <c r="J61" s="118"/>
      <c r="K61" s="111"/>
      <c r="L61" s="119">
        <f t="shared" si="2"/>
        <v>88481.5116374637</v>
      </c>
    </row>
    <row r="62" spans="1:12" x14ac:dyDescent="0.3">
      <c r="A62" s="111" t="s">
        <v>82</v>
      </c>
      <c r="B62" s="111"/>
      <c r="C62" s="118">
        <v>77462.718767322978</v>
      </c>
      <c r="D62" s="118">
        <v>38344.045789824871</v>
      </c>
      <c r="E62" s="111"/>
      <c r="F62" s="119">
        <f t="shared" si="0"/>
        <v>29928.3266831652</v>
      </c>
      <c r="G62" s="111"/>
      <c r="H62" s="125"/>
      <c r="I62" s="118">
        <f t="shared" si="1"/>
        <v>0</v>
      </c>
      <c r="J62" s="118"/>
      <c r="K62" s="111"/>
      <c r="L62" s="119">
        <f t="shared" si="2"/>
        <v>29928.3266831652</v>
      </c>
    </row>
    <row r="63" spans="1:12" x14ac:dyDescent="0.3">
      <c r="A63" s="111" t="s">
        <v>83</v>
      </c>
      <c r="B63" s="111"/>
      <c r="C63" s="118">
        <v>89450.384347441272</v>
      </c>
      <c r="D63" s="118">
        <v>44277.940251983426</v>
      </c>
      <c r="E63" s="111"/>
      <c r="F63" s="119">
        <f t="shared" si="0"/>
        <v>34559.854950691741</v>
      </c>
      <c r="G63" s="111"/>
      <c r="H63" s="122"/>
      <c r="I63" s="118">
        <f t="shared" si="1"/>
        <v>0</v>
      </c>
      <c r="J63" s="118"/>
      <c r="K63" s="111"/>
      <c r="L63" s="119">
        <f t="shared" si="2"/>
        <v>34559.854950691741</v>
      </c>
    </row>
    <row r="64" spans="1:12" x14ac:dyDescent="0.3">
      <c r="A64" s="111" t="s">
        <v>84</v>
      </c>
      <c r="B64" s="111"/>
      <c r="C64" s="118">
        <v>80289.798151455194</v>
      </c>
      <c r="D64" s="118">
        <v>39743.450084970318</v>
      </c>
      <c r="E64" s="111"/>
      <c r="F64" s="119">
        <f t="shared" si="0"/>
        <v>31020.590893793993</v>
      </c>
      <c r="G64" s="111"/>
      <c r="H64" s="122">
        <v>13072.43</v>
      </c>
      <c r="I64" s="118">
        <f t="shared" si="1"/>
        <v>10203.303994765967</v>
      </c>
      <c r="J64" s="118"/>
      <c r="K64" s="111"/>
      <c r="L64" s="119">
        <f t="shared" si="2"/>
        <v>41223.89488855996</v>
      </c>
    </row>
    <row r="65" spans="1:18" x14ac:dyDescent="0.3">
      <c r="A65" s="111" t="s">
        <v>85</v>
      </c>
      <c r="B65" s="111"/>
      <c r="C65" s="118">
        <v>77462.718767322978</v>
      </c>
      <c r="D65" s="118">
        <v>38344.045789824871</v>
      </c>
      <c r="E65" s="111"/>
      <c r="F65" s="119">
        <f t="shared" si="0"/>
        <v>29928.3266831652</v>
      </c>
      <c r="G65" s="111"/>
      <c r="H65" s="122"/>
      <c r="I65" s="118">
        <f t="shared" si="1"/>
        <v>0</v>
      </c>
      <c r="J65" s="118"/>
      <c r="K65" s="111"/>
      <c r="L65" s="119">
        <f t="shared" si="2"/>
        <v>29928.3266831652</v>
      </c>
    </row>
    <row r="66" spans="1:18" x14ac:dyDescent="0.3">
      <c r="A66" s="111" t="s">
        <v>86</v>
      </c>
      <c r="B66" s="111"/>
      <c r="C66" s="118">
        <v>181056.09138186453</v>
      </c>
      <c r="D66" s="118">
        <v>89622.76523402294</v>
      </c>
      <c r="E66" s="111"/>
      <c r="F66" s="119">
        <f t="shared" si="0"/>
        <v>69952.435663015873</v>
      </c>
      <c r="G66" s="111"/>
      <c r="H66" s="122"/>
      <c r="I66" s="118">
        <f t="shared" si="1"/>
        <v>0</v>
      </c>
      <c r="J66" s="118"/>
      <c r="K66" s="111"/>
      <c r="L66" s="119">
        <f t="shared" si="2"/>
        <v>69952.435663015873</v>
      </c>
    </row>
    <row r="67" spans="1:18" x14ac:dyDescent="0.3">
      <c r="A67" s="111" t="s">
        <v>87</v>
      </c>
      <c r="B67" s="111"/>
      <c r="C67" s="118">
        <v>77462.718767322978</v>
      </c>
      <c r="D67" s="118">
        <v>38344.045789824871</v>
      </c>
      <c r="E67" s="111"/>
      <c r="F67" s="119">
        <f t="shared" si="0"/>
        <v>29928.3266831652</v>
      </c>
      <c r="G67" s="111"/>
      <c r="H67" s="122"/>
      <c r="I67" s="118">
        <f t="shared" si="1"/>
        <v>0</v>
      </c>
      <c r="J67" s="118"/>
      <c r="K67" s="111"/>
      <c r="L67" s="119">
        <f t="shared" si="2"/>
        <v>29928.3266831652</v>
      </c>
    </row>
    <row r="68" spans="1:18" x14ac:dyDescent="0.3">
      <c r="A68" s="111" t="s">
        <v>88</v>
      </c>
      <c r="B68" s="111"/>
      <c r="C68" s="118">
        <v>887498.34757725231</v>
      </c>
      <c r="D68" s="118">
        <v>439311.68205073988</v>
      </c>
      <c r="E68" s="111"/>
      <c r="F68" s="119">
        <f t="shared" si="0"/>
        <v>342891.92142667202</v>
      </c>
      <c r="G68" s="111"/>
      <c r="H68" s="122">
        <v>66675.600000000006</v>
      </c>
      <c r="I68" s="118">
        <f t="shared" si="1"/>
        <v>52041.695066136723</v>
      </c>
      <c r="J68" s="118"/>
      <c r="K68" s="111"/>
      <c r="L68" s="119">
        <f t="shared" si="2"/>
        <v>394933.61649280874</v>
      </c>
    </row>
    <row r="69" spans="1:18" x14ac:dyDescent="0.3">
      <c r="A69" s="111" t="s">
        <v>89</v>
      </c>
      <c r="B69" s="111"/>
      <c r="C69" s="118">
        <v>169740.10503617767</v>
      </c>
      <c r="D69" s="118">
        <v>84021.351992907948</v>
      </c>
      <c r="E69" s="111"/>
      <c r="F69" s="119">
        <f t="shared" si="0"/>
        <v>65580.415916159051</v>
      </c>
      <c r="G69" s="111"/>
      <c r="H69" s="122"/>
      <c r="I69" s="118">
        <f t="shared" si="1"/>
        <v>0</v>
      </c>
      <c r="J69" s="118"/>
      <c r="K69" s="111"/>
      <c r="L69" s="119">
        <f t="shared" si="2"/>
        <v>65580.415916159051</v>
      </c>
    </row>
    <row r="70" spans="1:18" x14ac:dyDescent="0.3">
      <c r="A70" s="111" t="s">
        <v>90</v>
      </c>
      <c r="B70" s="111"/>
      <c r="C70" s="118">
        <v>1738893.1810423059</v>
      </c>
      <c r="D70" s="118">
        <v>860752.12461594143</v>
      </c>
      <c r="E70" s="111"/>
      <c r="F70" s="119">
        <f t="shared" si="0"/>
        <v>671834.96806616127</v>
      </c>
      <c r="G70" s="111"/>
      <c r="H70" s="122">
        <v>112956.68</v>
      </c>
      <c r="I70" s="118">
        <f t="shared" si="1"/>
        <v>88165.042327975811</v>
      </c>
      <c r="J70" s="118"/>
      <c r="K70" s="111"/>
      <c r="L70" s="119">
        <f t="shared" si="2"/>
        <v>760000.01039413712</v>
      </c>
    </row>
    <row r="71" spans="1:18" x14ac:dyDescent="0.3">
      <c r="A71" s="111" t="s">
        <v>91</v>
      </c>
      <c r="B71" s="111"/>
      <c r="C71" s="118">
        <v>109926.95688911418</v>
      </c>
      <c r="D71" s="118">
        <v>54413.843660111517</v>
      </c>
      <c r="E71" s="111"/>
      <c r="F71" s="119">
        <f t="shared" ref="F71:F72" si="3">D71*$D$133</f>
        <v>42471.138754446314</v>
      </c>
      <c r="G71" s="111"/>
      <c r="H71" s="122">
        <v>9786.4599999999991</v>
      </c>
      <c r="I71" s="118">
        <f t="shared" ref="I71:I72" si="4">H71*$D$133</f>
        <v>7638.5359426378518</v>
      </c>
      <c r="J71" s="118"/>
      <c r="K71" s="111"/>
      <c r="L71" s="119">
        <f t="shared" ref="L71:L72" si="5">F71+I71+K71</f>
        <v>50109.674697084163</v>
      </c>
    </row>
    <row r="72" spans="1:18" ht="16.2" x14ac:dyDescent="0.45">
      <c r="A72" s="111" t="s">
        <v>92</v>
      </c>
      <c r="B72" s="111"/>
      <c r="C72" s="126">
        <v>1385402.6763400985</v>
      </c>
      <c r="D72" s="126">
        <v>685774.32478834875</v>
      </c>
      <c r="E72" s="111"/>
      <c r="F72" s="148">
        <f t="shared" si="3"/>
        <v>535261.14942829241</v>
      </c>
      <c r="G72" s="111"/>
      <c r="H72" s="128">
        <v>145371.01999999999</v>
      </c>
      <c r="I72" s="149">
        <f t="shared" si="4"/>
        <v>113465.11008964691</v>
      </c>
      <c r="J72" s="130"/>
      <c r="K72" s="130"/>
      <c r="L72" s="124">
        <f t="shared" si="5"/>
        <v>648726.2595179393</v>
      </c>
    </row>
    <row r="73" spans="1:18" x14ac:dyDescent="0.3">
      <c r="A73" s="111"/>
      <c r="B73" s="111"/>
      <c r="C73" s="118"/>
      <c r="D73" s="118"/>
      <c r="E73" s="111"/>
      <c r="F73" s="119"/>
      <c r="G73" s="111"/>
      <c r="H73" s="122"/>
      <c r="I73" s="111"/>
      <c r="J73" s="111"/>
      <c r="K73" s="111"/>
      <c r="L73" s="119"/>
      <c r="N73" s="183"/>
      <c r="O73" s="183"/>
      <c r="P73" s="183"/>
      <c r="Q73" s="183"/>
      <c r="R73" s="183"/>
    </row>
    <row r="74" spans="1:18" x14ac:dyDescent="0.3">
      <c r="A74" s="111" t="s">
        <v>6</v>
      </c>
      <c r="B74" s="111"/>
      <c r="C74" s="118">
        <v>54223231.690279804</v>
      </c>
      <c r="D74" s="118">
        <v>26840499.686688513</v>
      </c>
      <c r="E74" s="111"/>
      <c r="F74" s="119">
        <f>SUM(F6:F72)</f>
        <v>20949569.259479947</v>
      </c>
      <c r="G74" s="111"/>
      <c r="H74" s="119">
        <v>2955297.59108664</v>
      </c>
      <c r="I74" s="119">
        <f>SUM(I6:I72)</f>
        <v>2306671.3470147899</v>
      </c>
      <c r="J74" s="118">
        <v>1467969.25</v>
      </c>
      <c r="K74" s="118">
        <f>SUM(K18:K56)</f>
        <v>1145780.5865258868</v>
      </c>
      <c r="L74" s="119">
        <f>SUM(F74,I74,K74)</f>
        <v>24402021.193020623</v>
      </c>
      <c r="N74" s="7"/>
    </row>
    <row r="75" spans="1:18" x14ac:dyDescent="0.3">
      <c r="A75" s="111"/>
      <c r="B75" s="111"/>
      <c r="C75" s="118"/>
      <c r="D75" s="118"/>
      <c r="E75" s="111"/>
      <c r="F75" s="119"/>
      <c r="G75" s="111"/>
      <c r="H75" s="111"/>
      <c r="I75" s="111"/>
      <c r="J75" s="111"/>
      <c r="K75" s="111"/>
      <c r="L75" s="119"/>
    </row>
    <row r="76" spans="1:18" x14ac:dyDescent="0.3">
      <c r="A76" s="111" t="s">
        <v>407</v>
      </c>
      <c r="B76" s="111"/>
      <c r="C76" s="111"/>
      <c r="D76" s="111"/>
      <c r="E76" s="111"/>
      <c r="F76" s="119"/>
      <c r="G76" s="111"/>
      <c r="H76" s="111"/>
      <c r="I76" s="111"/>
      <c r="J76" s="111"/>
      <c r="K76" s="111"/>
      <c r="L76" s="119"/>
    </row>
    <row r="77" spans="1:18" x14ac:dyDescent="0.3">
      <c r="A77" s="111"/>
      <c r="B77" s="111"/>
      <c r="C77" s="111"/>
      <c r="D77" s="111"/>
      <c r="E77" s="111"/>
      <c r="F77" s="119"/>
      <c r="G77" s="111"/>
      <c r="H77" s="122"/>
      <c r="I77" s="111"/>
      <c r="J77" s="111"/>
      <c r="K77" s="111"/>
      <c r="L77" s="119"/>
    </row>
    <row r="78" spans="1:18" ht="15.6" x14ac:dyDescent="0.3">
      <c r="A78" s="133" t="s">
        <v>263</v>
      </c>
      <c r="B78" s="111"/>
      <c r="C78" s="111"/>
      <c r="D78" s="111"/>
      <c r="E78" s="111"/>
      <c r="F78" s="111"/>
      <c r="G78" s="111"/>
      <c r="H78" s="118">
        <v>178962.07629058108</v>
      </c>
      <c r="I78" s="119">
        <f>H78*$D$133</f>
        <v>139683.62943441255</v>
      </c>
      <c r="J78" s="111"/>
      <c r="K78" s="111"/>
      <c r="L78" s="119">
        <f>I78</f>
        <v>139683.62943441255</v>
      </c>
    </row>
    <row r="79" spans="1:18" ht="15.6" x14ac:dyDescent="0.3">
      <c r="A79" s="133" t="s">
        <v>264</v>
      </c>
      <c r="B79" s="111"/>
      <c r="C79" s="111"/>
      <c r="D79" s="111"/>
      <c r="E79" s="111"/>
      <c r="F79" s="111"/>
      <c r="G79" s="111"/>
      <c r="H79" s="118">
        <v>159666.86330377465</v>
      </c>
      <c r="I79" s="119">
        <f t="shared" ref="I79:I117" si="6">H79*$D$133</f>
        <v>124623.31365929329</v>
      </c>
      <c r="J79" s="111"/>
      <c r="K79" s="111"/>
      <c r="L79" s="119">
        <f>I79</f>
        <v>124623.31365929329</v>
      </c>
    </row>
    <row r="80" spans="1:18" ht="15.6" x14ac:dyDescent="0.3">
      <c r="A80" s="133" t="s">
        <v>265</v>
      </c>
      <c r="B80" s="111"/>
      <c r="C80" s="111"/>
      <c r="D80" s="111"/>
      <c r="E80" s="111"/>
      <c r="F80" s="111"/>
      <c r="G80" s="111"/>
      <c r="H80" s="118">
        <v>103677.86173627451</v>
      </c>
      <c r="I80" s="119">
        <f t="shared" si="6"/>
        <v>80922.731337824967</v>
      </c>
      <c r="J80" s="111"/>
      <c r="K80" s="111"/>
      <c r="L80" s="119">
        <f t="shared" ref="L80:L117" si="7">I80</f>
        <v>80922.731337824967</v>
      </c>
    </row>
    <row r="81" spans="1:12" ht="15.6" x14ac:dyDescent="0.3">
      <c r="A81" s="133" t="s">
        <v>266</v>
      </c>
      <c r="B81" s="111"/>
      <c r="C81" s="111"/>
      <c r="D81" s="111"/>
      <c r="E81" s="111"/>
      <c r="F81" s="111"/>
      <c r="G81" s="111"/>
      <c r="H81" s="118">
        <v>98171.191523967078</v>
      </c>
      <c r="I81" s="119">
        <f t="shared" si="6"/>
        <v>76624.660499037142</v>
      </c>
      <c r="J81" s="111"/>
      <c r="K81" s="111"/>
      <c r="L81" s="119">
        <f t="shared" si="7"/>
        <v>76624.660499037142</v>
      </c>
    </row>
    <row r="82" spans="1:12" ht="15.6" x14ac:dyDescent="0.3">
      <c r="A82" s="133" t="s">
        <v>368</v>
      </c>
      <c r="B82" s="111"/>
      <c r="C82" s="111"/>
      <c r="D82" s="111"/>
      <c r="E82" s="111"/>
      <c r="F82" s="111"/>
      <c r="G82" s="111"/>
      <c r="H82" s="118">
        <v>74978.62674318823</v>
      </c>
      <c r="I82" s="119">
        <f t="shared" si="6"/>
        <v>58522.380442720962</v>
      </c>
      <c r="J82" s="111"/>
      <c r="K82" s="111"/>
      <c r="L82" s="119">
        <f t="shared" si="7"/>
        <v>58522.380442720962</v>
      </c>
    </row>
    <row r="83" spans="1:12" ht="15.6" x14ac:dyDescent="0.3">
      <c r="A83" s="133" t="s">
        <v>267</v>
      </c>
      <c r="B83" s="111"/>
      <c r="C83" s="111"/>
      <c r="D83" s="111"/>
      <c r="E83" s="111"/>
      <c r="F83" s="111"/>
      <c r="G83" s="111"/>
      <c r="H83" s="118">
        <v>147926.09102443259</v>
      </c>
      <c r="I83" s="119">
        <f t="shared" si="6"/>
        <v>115459.39626218744</v>
      </c>
      <c r="J83" s="111"/>
      <c r="K83" s="111"/>
      <c r="L83" s="119">
        <f t="shared" si="7"/>
        <v>115459.39626218744</v>
      </c>
    </row>
    <row r="84" spans="1:12" ht="15.6" x14ac:dyDescent="0.3">
      <c r="A84" s="133" t="s">
        <v>268</v>
      </c>
      <c r="B84" s="111"/>
      <c r="C84" s="111"/>
      <c r="D84" s="111"/>
      <c r="E84" s="111"/>
      <c r="F84" s="111"/>
      <c r="G84" s="111"/>
      <c r="H84" s="118">
        <v>86625.286834323633</v>
      </c>
      <c r="I84" s="119">
        <f t="shared" si="6"/>
        <v>67612.841315991129</v>
      </c>
      <c r="J84" s="111"/>
      <c r="K84" s="111"/>
      <c r="L84" s="119">
        <f t="shared" si="7"/>
        <v>67612.841315991129</v>
      </c>
    </row>
    <row r="85" spans="1:12" ht="15.6" x14ac:dyDescent="0.3">
      <c r="A85" s="133" t="s">
        <v>269</v>
      </c>
      <c r="B85" s="111"/>
      <c r="C85" s="111"/>
      <c r="D85" s="111"/>
      <c r="E85" s="111"/>
      <c r="F85" s="111"/>
      <c r="G85" s="111"/>
      <c r="H85" s="118">
        <v>79276.23213759283</v>
      </c>
      <c r="I85" s="119">
        <f t="shared" si="6"/>
        <v>61876.750998819269</v>
      </c>
      <c r="J85" s="111"/>
      <c r="K85" s="111"/>
      <c r="L85" s="119">
        <f t="shared" si="7"/>
        <v>61876.750998819269</v>
      </c>
    </row>
    <row r="86" spans="1:12" ht="15.6" x14ac:dyDescent="0.3">
      <c r="A86" s="133" t="s">
        <v>270</v>
      </c>
      <c r="B86" s="111"/>
      <c r="C86" s="111"/>
      <c r="D86" s="111"/>
      <c r="E86" s="111"/>
      <c r="F86" s="111"/>
      <c r="G86" s="111"/>
      <c r="H86" s="118">
        <v>118705.91738956672</v>
      </c>
      <c r="I86" s="119">
        <f t="shared" si="6"/>
        <v>92652.441902792736</v>
      </c>
      <c r="J86" s="111"/>
      <c r="K86" s="111"/>
      <c r="L86" s="119">
        <f t="shared" si="7"/>
        <v>92652.441902792736</v>
      </c>
    </row>
    <row r="87" spans="1:12" ht="15.6" x14ac:dyDescent="0.3">
      <c r="A87" s="133" t="s">
        <v>271</v>
      </c>
      <c r="B87" s="111"/>
      <c r="C87" s="111"/>
      <c r="D87" s="111"/>
      <c r="E87" s="111"/>
      <c r="F87" s="111"/>
      <c r="G87" s="111"/>
      <c r="H87" s="118">
        <v>22299.606195029206</v>
      </c>
      <c r="I87" s="119">
        <f t="shared" si="6"/>
        <v>17405.307274274895</v>
      </c>
      <c r="J87" s="111"/>
      <c r="K87" s="111"/>
      <c r="L87" s="119">
        <f t="shared" si="7"/>
        <v>17405.307274274895</v>
      </c>
    </row>
    <row r="88" spans="1:12" ht="15.6" x14ac:dyDescent="0.3">
      <c r="A88" s="133" t="s">
        <v>371</v>
      </c>
      <c r="B88" s="111"/>
      <c r="C88" s="111"/>
      <c r="D88" s="111"/>
      <c r="E88" s="111"/>
      <c r="F88" s="111"/>
      <c r="G88" s="111"/>
      <c r="H88" s="118">
        <v>40080.396698233497</v>
      </c>
      <c r="I88" s="119">
        <f t="shared" si="6"/>
        <v>31283.584746132929</v>
      </c>
      <c r="J88" s="111"/>
      <c r="K88" s="111"/>
      <c r="L88" s="119">
        <f t="shared" si="7"/>
        <v>31283.584746132929</v>
      </c>
    </row>
    <row r="89" spans="1:12" ht="15.6" x14ac:dyDescent="0.3">
      <c r="A89" s="133" t="s">
        <v>372</v>
      </c>
      <c r="B89" s="111"/>
      <c r="C89" s="111"/>
      <c r="D89" s="111"/>
      <c r="E89" s="111"/>
      <c r="F89" s="111"/>
      <c r="G89" s="111"/>
      <c r="H89" s="118">
        <v>19812.318625348737</v>
      </c>
      <c r="I89" s="119">
        <f t="shared" si="6"/>
        <v>15463.92750051803</v>
      </c>
      <c r="J89" s="111"/>
      <c r="K89" s="111"/>
      <c r="L89" s="119">
        <f t="shared" si="7"/>
        <v>15463.92750051803</v>
      </c>
    </row>
    <row r="90" spans="1:12" ht="15.6" x14ac:dyDescent="0.3">
      <c r="A90" s="133" t="s">
        <v>373</v>
      </c>
      <c r="B90" s="111"/>
      <c r="C90" s="111"/>
      <c r="D90" s="111"/>
      <c r="E90" s="111"/>
      <c r="F90" s="111"/>
      <c r="G90" s="111"/>
      <c r="H90" s="118">
        <v>19572.923333333336</v>
      </c>
      <c r="I90" s="119">
        <f t="shared" si="6"/>
        <v>15277.074487011827</v>
      </c>
      <c r="J90" s="111"/>
      <c r="K90" s="111"/>
      <c r="L90" s="119">
        <f t="shared" si="7"/>
        <v>15277.074487011827</v>
      </c>
    </row>
    <row r="91" spans="1:12" ht="15.6" x14ac:dyDescent="0.3">
      <c r="A91" s="133" t="s">
        <v>374</v>
      </c>
      <c r="B91" s="111"/>
      <c r="C91" s="111"/>
      <c r="D91" s="111"/>
      <c r="E91" s="111"/>
      <c r="F91" s="111"/>
      <c r="G91" s="111"/>
      <c r="H91" s="118">
        <v>3914.5846666666675</v>
      </c>
      <c r="I91" s="119">
        <f t="shared" si="6"/>
        <v>3055.4148974023656</v>
      </c>
      <c r="J91" s="111"/>
      <c r="K91" s="111"/>
      <c r="L91" s="119">
        <f t="shared" si="7"/>
        <v>3055.4148974023656</v>
      </c>
    </row>
    <row r="92" spans="1:12" ht="15.6" x14ac:dyDescent="0.3">
      <c r="A92" s="133" t="s">
        <v>375</v>
      </c>
      <c r="B92" s="111"/>
      <c r="C92" s="111"/>
      <c r="D92" s="111"/>
      <c r="E92" s="111"/>
      <c r="F92" s="111"/>
      <c r="G92" s="111"/>
      <c r="H92" s="118">
        <v>9786.461666666668</v>
      </c>
      <c r="I92" s="119">
        <f t="shared" si="6"/>
        <v>7638.5372435059135</v>
      </c>
      <c r="J92" s="111"/>
      <c r="K92" s="111"/>
      <c r="L92" s="119">
        <f t="shared" si="7"/>
        <v>7638.5372435059135</v>
      </c>
    </row>
    <row r="93" spans="1:12" ht="15.6" x14ac:dyDescent="0.3">
      <c r="A93" s="133" t="s">
        <v>376</v>
      </c>
      <c r="B93" s="111"/>
      <c r="C93" s="111"/>
      <c r="D93" s="111"/>
      <c r="E93" s="111"/>
      <c r="F93" s="111"/>
      <c r="G93" s="111"/>
      <c r="H93" s="118">
        <v>3914.5846666666675</v>
      </c>
      <c r="I93" s="119">
        <f t="shared" si="6"/>
        <v>3055.4148974023656</v>
      </c>
      <c r="J93" s="111"/>
      <c r="K93" s="111"/>
      <c r="L93" s="119">
        <f t="shared" si="7"/>
        <v>3055.4148974023656</v>
      </c>
    </row>
    <row r="94" spans="1:12" ht="15.6" x14ac:dyDescent="0.3">
      <c r="A94" s="133" t="s">
        <v>377</v>
      </c>
      <c r="B94" s="111"/>
      <c r="C94" s="111"/>
      <c r="D94" s="111"/>
      <c r="E94" s="111"/>
      <c r="F94" s="111"/>
      <c r="G94" s="111"/>
      <c r="H94" s="118">
        <v>3914.5846666666675</v>
      </c>
      <c r="I94" s="119">
        <f t="shared" si="6"/>
        <v>3055.4148974023656</v>
      </c>
      <c r="J94" s="111"/>
      <c r="K94" s="111"/>
      <c r="L94" s="119">
        <f t="shared" si="7"/>
        <v>3055.4148974023656</v>
      </c>
    </row>
    <row r="95" spans="1:12" ht="15.6" x14ac:dyDescent="0.3">
      <c r="A95" s="133" t="s">
        <v>408</v>
      </c>
      <c r="B95" s="111"/>
      <c r="C95" s="111"/>
      <c r="D95" s="111"/>
      <c r="E95" s="111"/>
      <c r="F95" s="111"/>
      <c r="G95" s="111"/>
      <c r="H95" s="118">
        <v>9786.461666666668</v>
      </c>
      <c r="I95" s="119">
        <f t="shared" si="6"/>
        <v>7638.5372435059135</v>
      </c>
      <c r="J95" s="111"/>
      <c r="K95" s="111"/>
      <c r="L95" s="119">
        <f t="shared" si="7"/>
        <v>7638.5372435059135</v>
      </c>
    </row>
    <row r="96" spans="1:12" ht="15.6" x14ac:dyDescent="0.3">
      <c r="A96" s="133" t="s">
        <v>379</v>
      </c>
      <c r="B96" s="111"/>
      <c r="C96" s="111"/>
      <c r="D96" s="111"/>
      <c r="E96" s="111"/>
      <c r="F96" s="111"/>
      <c r="G96" s="111"/>
      <c r="H96" s="118">
        <v>3914.5846666666675</v>
      </c>
      <c r="I96" s="119">
        <f t="shared" si="6"/>
        <v>3055.4148974023656</v>
      </c>
      <c r="J96" s="111"/>
      <c r="K96" s="111"/>
      <c r="L96" s="119">
        <f t="shared" si="7"/>
        <v>3055.4148974023656</v>
      </c>
    </row>
    <row r="97" spans="1:12" ht="15.6" x14ac:dyDescent="0.3">
      <c r="A97" s="133" t="s">
        <v>380</v>
      </c>
      <c r="B97" s="111"/>
      <c r="C97" s="111"/>
      <c r="D97" s="111"/>
      <c r="E97" s="111"/>
      <c r="F97" s="111"/>
      <c r="G97" s="111"/>
      <c r="H97" s="118">
        <v>9786.461666666668</v>
      </c>
      <c r="I97" s="119">
        <f t="shared" si="6"/>
        <v>7638.5372435059135</v>
      </c>
      <c r="J97" s="111"/>
      <c r="K97" s="111"/>
      <c r="L97" s="119">
        <f t="shared" si="7"/>
        <v>7638.5372435059135</v>
      </c>
    </row>
    <row r="98" spans="1:12" ht="15.6" x14ac:dyDescent="0.3">
      <c r="A98" s="133" t="s">
        <v>381</v>
      </c>
      <c r="B98" s="111"/>
      <c r="C98" s="111"/>
      <c r="D98" s="111"/>
      <c r="E98" s="111"/>
      <c r="F98" s="111"/>
      <c r="G98" s="111"/>
      <c r="H98" s="118">
        <v>9786.461666666668</v>
      </c>
      <c r="I98" s="119">
        <f t="shared" si="6"/>
        <v>7638.5372435059135</v>
      </c>
      <c r="J98" s="111"/>
      <c r="K98" s="111"/>
      <c r="L98" s="119">
        <f t="shared" si="7"/>
        <v>7638.5372435059135</v>
      </c>
    </row>
    <row r="99" spans="1:12" ht="15.6" x14ac:dyDescent="0.3">
      <c r="A99" s="133" t="s">
        <v>382</v>
      </c>
      <c r="B99" s="111"/>
      <c r="C99" s="111"/>
      <c r="D99" s="111"/>
      <c r="E99" s="111"/>
      <c r="F99" s="111"/>
      <c r="G99" s="111"/>
      <c r="H99" s="118">
        <v>9786.461666666668</v>
      </c>
      <c r="I99" s="119">
        <f t="shared" si="6"/>
        <v>7638.5372435059135</v>
      </c>
      <c r="J99" s="111"/>
      <c r="K99" s="111"/>
      <c r="L99" s="119">
        <f t="shared" si="7"/>
        <v>7638.5372435059135</v>
      </c>
    </row>
    <row r="100" spans="1:12" ht="15.6" x14ac:dyDescent="0.3">
      <c r="A100" s="133" t="s">
        <v>272</v>
      </c>
      <c r="B100" s="111"/>
      <c r="C100" s="111"/>
      <c r="D100" s="111"/>
      <c r="E100" s="111"/>
      <c r="F100" s="111"/>
      <c r="G100" s="111"/>
      <c r="H100" s="118">
        <v>10567.504171380569</v>
      </c>
      <c r="I100" s="119">
        <f t="shared" si="6"/>
        <v>8248.1571923929496</v>
      </c>
      <c r="J100" s="111"/>
      <c r="K100" s="111"/>
      <c r="L100" s="119">
        <f t="shared" si="7"/>
        <v>8248.1571923929496</v>
      </c>
    </row>
    <row r="101" spans="1:12" ht="15.6" x14ac:dyDescent="0.3">
      <c r="A101" s="133" t="s">
        <v>273</v>
      </c>
      <c r="B101" s="111"/>
      <c r="C101" s="111"/>
      <c r="D101" s="111"/>
      <c r="E101" s="111"/>
      <c r="F101" s="111"/>
      <c r="G101" s="111"/>
      <c r="H101" s="118">
        <v>9786.461666666668</v>
      </c>
      <c r="I101" s="119">
        <f t="shared" si="6"/>
        <v>7638.5372435059135</v>
      </c>
      <c r="J101" s="111"/>
      <c r="K101" s="111"/>
      <c r="L101" s="119">
        <f t="shared" si="7"/>
        <v>7638.5372435059135</v>
      </c>
    </row>
    <row r="102" spans="1:12" ht="15.6" x14ac:dyDescent="0.3">
      <c r="A102" s="133" t="s">
        <v>275</v>
      </c>
      <c r="B102" s="111"/>
      <c r="C102" s="111"/>
      <c r="D102" s="111"/>
      <c r="E102" s="111"/>
      <c r="F102" s="111"/>
      <c r="G102" s="111"/>
      <c r="H102" s="118">
        <v>14663.287885785454</v>
      </c>
      <c r="I102" s="119">
        <f t="shared" si="6"/>
        <v>11445.001722054592</v>
      </c>
      <c r="J102" s="111"/>
      <c r="K102" s="111"/>
      <c r="L102" s="119">
        <f t="shared" si="7"/>
        <v>11445.001722054592</v>
      </c>
    </row>
    <row r="103" spans="1:12" ht="15.6" x14ac:dyDescent="0.3">
      <c r="A103" s="133" t="s">
        <v>276</v>
      </c>
      <c r="B103" s="111"/>
      <c r="C103" s="111"/>
      <c r="D103" s="111"/>
      <c r="E103" s="111"/>
      <c r="F103" s="111"/>
      <c r="G103" s="111"/>
      <c r="H103" s="118">
        <v>3914.5846666666675</v>
      </c>
      <c r="I103" s="119">
        <f t="shared" si="6"/>
        <v>3055.4148974023656</v>
      </c>
      <c r="J103" s="111"/>
      <c r="K103" s="111"/>
      <c r="L103" s="119">
        <f t="shared" si="7"/>
        <v>3055.4148974023656</v>
      </c>
    </row>
    <row r="104" spans="1:12" ht="15.6" x14ac:dyDescent="0.3">
      <c r="A104" s="133" t="s">
        <v>277</v>
      </c>
      <c r="B104" s="111"/>
      <c r="C104" s="111"/>
      <c r="D104" s="111"/>
      <c r="E104" s="111"/>
      <c r="F104" s="111"/>
      <c r="G104" s="111"/>
      <c r="H104" s="118">
        <v>9786.461666666668</v>
      </c>
      <c r="I104" s="119">
        <f t="shared" si="6"/>
        <v>7638.5372435059135</v>
      </c>
      <c r="J104" s="111"/>
      <c r="K104" s="111"/>
      <c r="L104" s="119">
        <f t="shared" si="7"/>
        <v>7638.5372435059135</v>
      </c>
    </row>
    <row r="105" spans="1:12" ht="15.6" x14ac:dyDescent="0.3">
      <c r="A105" s="133" t="s">
        <v>279</v>
      </c>
      <c r="B105" s="111"/>
      <c r="C105" s="111"/>
      <c r="D105" s="111"/>
      <c r="E105" s="111"/>
      <c r="F105" s="111"/>
      <c r="G105" s="111"/>
      <c r="H105" s="118">
        <v>9786.461666666668</v>
      </c>
      <c r="I105" s="119">
        <f t="shared" si="6"/>
        <v>7638.5372435059135</v>
      </c>
      <c r="J105" s="111"/>
      <c r="K105" s="111"/>
      <c r="L105" s="119">
        <f t="shared" si="7"/>
        <v>7638.5372435059135</v>
      </c>
    </row>
    <row r="106" spans="1:12" ht="15.6" x14ac:dyDescent="0.3">
      <c r="A106" s="133" t="s">
        <v>280</v>
      </c>
      <c r="B106" s="111"/>
      <c r="C106" s="111"/>
      <c r="D106" s="111"/>
      <c r="E106" s="111"/>
      <c r="F106" s="111"/>
      <c r="G106" s="111"/>
      <c r="H106" s="118">
        <v>11385.386953541667</v>
      </c>
      <c r="I106" s="119">
        <f t="shared" si="6"/>
        <v>8886.5317454389133</v>
      </c>
      <c r="J106" s="111"/>
      <c r="K106" s="111"/>
      <c r="L106" s="119">
        <f t="shared" si="7"/>
        <v>8886.5317454389133</v>
      </c>
    </row>
    <row r="107" spans="1:12" ht="15.6" x14ac:dyDescent="0.3">
      <c r="A107" s="133" t="s">
        <v>281</v>
      </c>
      <c r="B107" s="111"/>
      <c r="C107" s="111"/>
      <c r="D107" s="111"/>
      <c r="E107" s="111"/>
      <c r="F107" s="111"/>
      <c r="G107" s="111"/>
      <c r="H107" s="118">
        <v>96493.288315471422</v>
      </c>
      <c r="I107" s="119">
        <f t="shared" si="6"/>
        <v>75315.022083679447</v>
      </c>
      <c r="J107" s="111"/>
      <c r="K107" s="111"/>
      <c r="L107" s="119">
        <f t="shared" si="7"/>
        <v>75315.022083679447</v>
      </c>
    </row>
    <row r="108" spans="1:12" ht="15.6" x14ac:dyDescent="0.3">
      <c r="A108" s="133" t="s">
        <v>282</v>
      </c>
      <c r="B108" s="111"/>
      <c r="C108" s="111"/>
      <c r="D108" s="111"/>
      <c r="E108" s="111"/>
      <c r="F108" s="111"/>
      <c r="G108" s="111"/>
      <c r="H108" s="118">
        <v>3914.5846666666675</v>
      </c>
      <c r="I108" s="119">
        <f t="shared" si="6"/>
        <v>3055.4148974023656</v>
      </c>
      <c r="J108" s="111"/>
      <c r="K108" s="111"/>
      <c r="L108" s="119">
        <f t="shared" si="7"/>
        <v>3055.4148974023656</v>
      </c>
    </row>
    <row r="109" spans="1:12" ht="15.6" x14ac:dyDescent="0.3">
      <c r="A109" s="133" t="s">
        <v>284</v>
      </c>
      <c r="B109" s="111"/>
      <c r="C109" s="111"/>
      <c r="D109" s="111"/>
      <c r="E109" s="111"/>
      <c r="F109" s="111"/>
      <c r="G109" s="111"/>
      <c r="H109" s="118">
        <v>3914.5846666666675</v>
      </c>
      <c r="I109" s="119">
        <f t="shared" si="6"/>
        <v>3055.4148974023656</v>
      </c>
      <c r="J109" s="111"/>
      <c r="K109" s="111"/>
      <c r="L109" s="119">
        <f t="shared" si="7"/>
        <v>3055.4148974023656</v>
      </c>
    </row>
    <row r="110" spans="1:12" ht="15.6" x14ac:dyDescent="0.3">
      <c r="A110" s="133" t="s">
        <v>287</v>
      </c>
      <c r="B110" s="111"/>
      <c r="C110" s="111"/>
      <c r="D110" s="111"/>
      <c r="E110" s="111"/>
      <c r="F110" s="111"/>
      <c r="G110" s="111"/>
      <c r="H110" s="118">
        <v>10702.225517507572</v>
      </c>
      <c r="I110" s="119">
        <f t="shared" si="6"/>
        <v>8353.3100101259879</v>
      </c>
      <c r="J110" s="111"/>
      <c r="K110" s="111"/>
      <c r="L110" s="119">
        <f t="shared" si="7"/>
        <v>8353.3100101259879</v>
      </c>
    </row>
    <row r="111" spans="1:12" ht="15.6" x14ac:dyDescent="0.3">
      <c r="A111" s="133" t="s">
        <v>288</v>
      </c>
      <c r="B111" s="111"/>
      <c r="C111" s="111"/>
      <c r="D111" s="111"/>
      <c r="E111" s="111"/>
      <c r="F111" s="111"/>
      <c r="G111" s="111"/>
      <c r="H111" s="118">
        <v>9786.461666666668</v>
      </c>
      <c r="I111" s="119">
        <f t="shared" si="6"/>
        <v>7638.5372435059135</v>
      </c>
      <c r="J111" s="111"/>
      <c r="K111" s="111"/>
      <c r="L111" s="119">
        <f t="shared" si="7"/>
        <v>7638.5372435059135</v>
      </c>
    </row>
    <row r="112" spans="1:12" ht="15.6" x14ac:dyDescent="0.3">
      <c r="A112" s="133" t="s">
        <v>289</v>
      </c>
      <c r="B112" s="111"/>
      <c r="C112" s="111"/>
      <c r="D112" s="111"/>
      <c r="E112" s="111"/>
      <c r="F112" s="111"/>
      <c r="G112" s="111"/>
      <c r="H112" s="118">
        <v>9786.461666666668</v>
      </c>
      <c r="I112" s="119">
        <f t="shared" si="6"/>
        <v>7638.5372435059135</v>
      </c>
      <c r="J112" s="111"/>
      <c r="K112" s="111"/>
      <c r="L112" s="119">
        <f t="shared" si="7"/>
        <v>7638.5372435059135</v>
      </c>
    </row>
    <row r="113" spans="1:14" ht="15.6" x14ac:dyDescent="0.3">
      <c r="A113" s="133" t="s">
        <v>290</v>
      </c>
      <c r="B113" s="111"/>
      <c r="C113" s="111"/>
      <c r="D113" s="111"/>
      <c r="E113" s="111"/>
      <c r="F113" s="111"/>
      <c r="G113" s="111"/>
      <c r="H113" s="118">
        <v>3914.5846666666675</v>
      </c>
      <c r="I113" s="119">
        <f t="shared" si="6"/>
        <v>3055.4148974023656</v>
      </c>
      <c r="J113" s="111"/>
      <c r="K113" s="111"/>
      <c r="L113" s="119">
        <f t="shared" si="7"/>
        <v>3055.4148974023656</v>
      </c>
    </row>
    <row r="114" spans="1:14" ht="15.6" x14ac:dyDescent="0.3">
      <c r="A114" s="133" t="s">
        <v>383</v>
      </c>
      <c r="B114" s="111"/>
      <c r="C114" s="111"/>
      <c r="D114" s="111"/>
      <c r="E114" s="111"/>
      <c r="F114" s="111"/>
      <c r="G114" s="111"/>
      <c r="H114" s="118">
        <v>14118.032697678056</v>
      </c>
      <c r="I114" s="119">
        <f t="shared" si="6"/>
        <v>11019.418686690618</v>
      </c>
      <c r="J114" s="111"/>
      <c r="K114" s="111"/>
      <c r="L114" s="119">
        <f t="shared" si="7"/>
        <v>11019.418686690618</v>
      </c>
    </row>
    <row r="115" spans="1:14" ht="15.6" x14ac:dyDescent="0.3">
      <c r="A115" s="133" t="s">
        <v>384</v>
      </c>
      <c r="B115" s="111"/>
      <c r="C115" s="111"/>
      <c r="D115" s="111"/>
      <c r="E115" s="111"/>
      <c r="F115" s="111"/>
      <c r="G115" s="111"/>
      <c r="H115" s="118">
        <v>3914.5846666666675</v>
      </c>
      <c r="I115" s="119">
        <f t="shared" si="6"/>
        <v>3055.4148974023656</v>
      </c>
      <c r="J115" s="111"/>
      <c r="K115" s="111"/>
      <c r="L115" s="119">
        <f t="shared" si="7"/>
        <v>3055.4148974023656</v>
      </c>
    </row>
    <row r="116" spans="1:14" ht="15.6" x14ac:dyDescent="0.3">
      <c r="A116" s="133" t="s">
        <v>291</v>
      </c>
      <c r="B116" s="111"/>
      <c r="C116" s="111"/>
      <c r="D116" s="111"/>
      <c r="E116" s="111"/>
      <c r="F116" s="111"/>
      <c r="G116" s="111"/>
      <c r="H116" s="118">
        <v>3914.5846666666675</v>
      </c>
      <c r="I116" s="119">
        <f t="shared" si="6"/>
        <v>3055.4148974023656</v>
      </c>
      <c r="J116" s="111"/>
      <c r="K116" s="111"/>
      <c r="L116" s="119">
        <f t="shared" si="7"/>
        <v>3055.4148974023656</v>
      </c>
    </row>
    <row r="117" spans="1:14" ht="17.399999999999999" x14ac:dyDescent="0.45">
      <c r="A117" s="133" t="s">
        <v>292</v>
      </c>
      <c r="B117" s="111"/>
      <c r="C117" s="111"/>
      <c r="D117" s="111"/>
      <c r="E117" s="111"/>
      <c r="F117" s="111"/>
      <c r="G117" s="111"/>
      <c r="H117" s="126">
        <v>3914.5846666666675</v>
      </c>
      <c r="I117" s="148">
        <f t="shared" si="6"/>
        <v>3055.4148974023656</v>
      </c>
      <c r="J117" s="111"/>
      <c r="K117" s="111"/>
      <c r="L117" s="148">
        <f t="shared" si="7"/>
        <v>3055.4148974023656</v>
      </c>
    </row>
    <row r="118" spans="1:14" ht="15.6" x14ac:dyDescent="0.3">
      <c r="A118" s="133"/>
      <c r="B118" s="111"/>
      <c r="C118" s="111"/>
      <c r="D118" s="111"/>
      <c r="E118" s="111"/>
      <c r="F118" s="119"/>
      <c r="G118" s="111"/>
      <c r="H118" s="118"/>
      <c r="I118" s="111"/>
      <c r="J118" s="111"/>
      <c r="K118" s="111"/>
      <c r="L118" s="119"/>
    </row>
    <row r="119" spans="1:14" x14ac:dyDescent="0.3">
      <c r="A119" s="111"/>
      <c r="B119" s="111"/>
      <c r="C119" s="111"/>
      <c r="D119" s="118"/>
      <c r="E119" s="111"/>
      <c r="F119" s="119"/>
      <c r="G119" s="111"/>
      <c r="H119" s="118">
        <v>1448610.1653770099</v>
      </c>
      <c r="I119" s="119">
        <f>SUM(I78:I117)</f>
        <v>1130670.4176078849</v>
      </c>
      <c r="J119" s="111"/>
      <c r="K119" s="111"/>
      <c r="L119" s="119">
        <f>SUM(L78:L117)</f>
        <v>1130670.4176078849</v>
      </c>
      <c r="N119" s="7"/>
    </row>
    <row r="120" spans="1:14" ht="15.6" x14ac:dyDescent="0.3">
      <c r="A120" s="133"/>
      <c r="B120" s="111"/>
      <c r="C120" s="111"/>
      <c r="D120" s="118"/>
      <c r="E120" s="111"/>
      <c r="F120" s="119"/>
      <c r="G120" s="111"/>
      <c r="H120" s="111"/>
      <c r="I120" s="119"/>
      <c r="J120" s="111"/>
      <c r="K120" s="111"/>
      <c r="L120" s="119"/>
      <c r="N120" s="7"/>
    </row>
    <row r="121" spans="1:14" ht="15.6" x14ac:dyDescent="0.3">
      <c r="A121" s="133"/>
      <c r="B121" s="111"/>
      <c r="C121" s="111"/>
      <c r="D121" s="118"/>
      <c r="E121" s="111"/>
      <c r="F121" s="111"/>
      <c r="G121" s="111"/>
      <c r="H121" s="111"/>
      <c r="I121" s="111"/>
      <c r="J121" s="111"/>
      <c r="K121" s="111"/>
      <c r="L121" s="119"/>
    </row>
    <row r="122" spans="1:14" x14ac:dyDescent="0.3">
      <c r="A122" s="111" t="s">
        <v>294</v>
      </c>
      <c r="B122" s="111"/>
      <c r="C122" s="134"/>
      <c r="D122" s="118"/>
      <c r="E122" s="111"/>
      <c r="F122" s="118"/>
      <c r="G122" s="111"/>
      <c r="H122" s="118">
        <v>9348591.0700000003</v>
      </c>
      <c r="I122" s="118">
        <v>7291901.0346000008</v>
      </c>
      <c r="J122" s="111"/>
      <c r="K122" s="111"/>
      <c r="L122" s="119">
        <f>I122</f>
        <v>7291901.0346000008</v>
      </c>
      <c r="N122" s="7"/>
    </row>
    <row r="123" spans="1:14" x14ac:dyDescent="0.3">
      <c r="A123" s="111" t="s">
        <v>409</v>
      </c>
      <c r="B123" s="111"/>
      <c r="C123" s="118"/>
      <c r="D123" s="118"/>
      <c r="E123" s="111"/>
      <c r="F123" s="118"/>
      <c r="G123" s="111"/>
      <c r="H123" s="118"/>
      <c r="I123" s="135">
        <v>4505067.62</v>
      </c>
      <c r="J123" s="111"/>
      <c r="K123" s="111"/>
      <c r="L123" s="118">
        <v>4505067.62</v>
      </c>
    </row>
    <row r="124" spans="1:14" x14ac:dyDescent="0.3">
      <c r="A124" s="111"/>
      <c r="B124" s="111"/>
      <c r="C124" s="111"/>
      <c r="D124" s="111"/>
      <c r="E124" s="111"/>
      <c r="F124" s="111"/>
      <c r="G124" s="111"/>
      <c r="H124" s="111"/>
      <c r="I124" s="111"/>
      <c r="J124" s="111"/>
      <c r="K124" s="111"/>
      <c r="L124" s="111"/>
    </row>
    <row r="125" spans="1:14" x14ac:dyDescent="0.3">
      <c r="A125" s="111" t="s">
        <v>410</v>
      </c>
      <c r="B125" s="111"/>
      <c r="C125" s="111"/>
      <c r="D125" s="111"/>
      <c r="E125" s="111"/>
      <c r="F125" s="119"/>
      <c r="G125" s="111"/>
      <c r="H125" s="111"/>
      <c r="I125" s="150"/>
      <c r="J125" s="111"/>
      <c r="K125" s="111"/>
      <c r="L125" s="111"/>
    </row>
    <row r="126" spans="1:14" x14ac:dyDescent="0.3">
      <c r="A126" s="111"/>
      <c r="B126" s="111"/>
      <c r="C126" s="111"/>
      <c r="D126" s="111"/>
      <c r="E126" s="111"/>
      <c r="F126" s="111"/>
      <c r="G126" s="111"/>
      <c r="H126" s="111"/>
      <c r="I126" s="119"/>
      <c r="J126" s="111"/>
      <c r="K126" s="111"/>
      <c r="L126" s="111"/>
    </row>
    <row r="127" spans="1:14" x14ac:dyDescent="0.3">
      <c r="A127" s="111"/>
      <c r="B127" s="111"/>
      <c r="C127" s="111"/>
      <c r="D127" s="111"/>
      <c r="E127" s="111"/>
      <c r="F127" s="111"/>
      <c r="G127" s="111"/>
      <c r="H127" s="111"/>
      <c r="I127" s="119"/>
      <c r="J127" s="111"/>
      <c r="K127" s="111"/>
      <c r="L127" s="111"/>
    </row>
    <row r="128" spans="1:14" x14ac:dyDescent="0.3">
      <c r="A128" s="111"/>
      <c r="B128" s="111"/>
      <c r="C128" s="111"/>
      <c r="D128" s="111"/>
      <c r="E128" s="111"/>
      <c r="F128" s="111"/>
      <c r="G128" s="111"/>
      <c r="H128" s="111"/>
      <c r="I128" s="119"/>
      <c r="J128" s="111"/>
      <c r="K128" s="111"/>
      <c r="L128" s="111"/>
    </row>
    <row r="129" spans="1:12" x14ac:dyDescent="0.3">
      <c r="A129" s="111" t="s">
        <v>411</v>
      </c>
      <c r="B129" s="111"/>
      <c r="C129" s="111"/>
      <c r="D129" s="118">
        <v>47835145.780000001</v>
      </c>
      <c r="E129" s="111"/>
      <c r="F129" s="111"/>
      <c r="G129" s="111"/>
      <c r="H129" s="119"/>
      <c r="I129" s="111"/>
      <c r="J129" s="111"/>
      <c r="K129" s="111"/>
      <c r="L129" s="111"/>
    </row>
    <row r="130" spans="1:12" x14ac:dyDescent="0.3">
      <c r="A130" s="111" t="s">
        <v>412</v>
      </c>
      <c r="B130" s="111"/>
      <c r="C130" s="111"/>
      <c r="D130" s="119">
        <v>10506460.59</v>
      </c>
      <c r="E130" s="111"/>
      <c r="F130" s="111"/>
      <c r="G130" s="111"/>
      <c r="H130" s="111"/>
      <c r="I130" s="111"/>
      <c r="J130" s="111"/>
      <c r="K130" s="111"/>
      <c r="L130" s="111"/>
    </row>
    <row r="131" spans="1:12" x14ac:dyDescent="0.3">
      <c r="A131" s="111" t="s">
        <v>306</v>
      </c>
      <c r="B131" s="111"/>
      <c r="C131" s="111"/>
      <c r="D131" s="119">
        <v>37328685.189999998</v>
      </c>
      <c r="E131" s="111"/>
      <c r="F131" s="119"/>
      <c r="G131" s="111"/>
      <c r="H131" s="111"/>
      <c r="I131" s="111"/>
      <c r="J131" s="111"/>
      <c r="K131" s="111"/>
      <c r="L131" s="111"/>
    </row>
    <row r="132" spans="1:12" x14ac:dyDescent="0.3">
      <c r="A132" s="111"/>
      <c r="B132" s="111"/>
      <c r="C132" s="111"/>
      <c r="D132" s="118"/>
      <c r="E132" s="111"/>
      <c r="F132" s="146"/>
      <c r="G132" s="119"/>
      <c r="H132" s="111"/>
      <c r="I132" s="111"/>
      <c r="J132" s="111"/>
      <c r="K132" s="111"/>
      <c r="L132" s="111"/>
    </row>
    <row r="133" spans="1:12" x14ac:dyDescent="0.3">
      <c r="A133" s="111" t="s">
        <v>413</v>
      </c>
      <c r="B133" s="111"/>
      <c r="C133" s="111"/>
      <c r="D133" s="134">
        <v>0.78052083620000001</v>
      </c>
      <c r="E133" s="147"/>
      <c r="F133" s="111"/>
      <c r="G133" s="111"/>
      <c r="H133" s="111"/>
      <c r="I133" s="111"/>
      <c r="J133" s="111"/>
      <c r="K133" s="111"/>
      <c r="L133" s="111"/>
    </row>
  </sheetData>
  <mergeCells count="1">
    <mergeCell ref="N73:R7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365F8-90BE-49EC-B57B-FBB5103E4184}">
  <sheetPr>
    <tabColor rgb="FFFFFF00"/>
  </sheetPr>
  <dimension ref="A2:L133"/>
  <sheetViews>
    <sheetView workbookViewId="0"/>
  </sheetViews>
  <sheetFormatPr defaultRowHeight="14.4" x14ac:dyDescent="0.3"/>
  <cols>
    <col min="3" max="3" width="16.33203125" customWidth="1"/>
    <col min="4" max="4" width="18.33203125" customWidth="1"/>
    <col min="6" max="6" width="20.6640625" customWidth="1"/>
    <col min="8" max="9" width="15.33203125" customWidth="1"/>
    <col min="10" max="10" width="13.5546875" customWidth="1"/>
    <col min="11" max="11" width="15.44140625" customWidth="1"/>
    <col min="12" max="12" width="20" customWidth="1"/>
  </cols>
  <sheetData>
    <row r="2" spans="1:12" x14ac:dyDescent="0.3">
      <c r="A2" s="15" t="s">
        <v>401</v>
      </c>
      <c r="B2" s="15"/>
      <c r="F2" s="7"/>
    </row>
    <row r="3" spans="1:12" x14ac:dyDescent="0.3">
      <c r="A3" s="111"/>
      <c r="B3" s="111"/>
      <c r="C3" s="111"/>
      <c r="D3" s="111"/>
      <c r="E3" s="111"/>
      <c r="F3" s="111"/>
      <c r="G3" s="111"/>
      <c r="H3" s="112" t="s">
        <v>402</v>
      </c>
      <c r="I3" s="111"/>
      <c r="J3" s="112" t="s">
        <v>403</v>
      </c>
      <c r="K3" s="111"/>
      <c r="L3" s="112" t="s">
        <v>6</v>
      </c>
    </row>
    <row r="4" spans="1:12" x14ac:dyDescent="0.3">
      <c r="A4" s="111"/>
      <c r="B4" s="111"/>
      <c r="C4" s="111"/>
      <c r="D4" s="111"/>
      <c r="E4" s="111"/>
      <c r="F4" s="113" t="s">
        <v>351</v>
      </c>
      <c r="G4" s="111"/>
      <c r="H4" s="113" t="s">
        <v>404</v>
      </c>
      <c r="I4" s="114" t="s">
        <v>351</v>
      </c>
      <c r="J4" s="113" t="s">
        <v>214</v>
      </c>
      <c r="K4" s="113" t="s">
        <v>351</v>
      </c>
      <c r="L4" s="113" t="s">
        <v>405</v>
      </c>
    </row>
    <row r="5" spans="1:12" x14ac:dyDescent="0.3">
      <c r="A5" s="115" t="s">
        <v>349</v>
      </c>
      <c r="B5" s="111"/>
      <c r="C5" s="113" t="s">
        <v>351</v>
      </c>
      <c r="D5" s="113" t="s">
        <v>406</v>
      </c>
      <c r="E5" s="111"/>
      <c r="F5" s="116">
        <v>0.78</v>
      </c>
      <c r="G5" s="111"/>
      <c r="H5" s="117">
        <v>0.78</v>
      </c>
      <c r="I5" s="111"/>
      <c r="J5" s="117">
        <v>0.78</v>
      </c>
      <c r="K5" s="111"/>
      <c r="L5" s="111"/>
    </row>
    <row r="6" spans="1:12" x14ac:dyDescent="0.3">
      <c r="A6" s="111" t="s">
        <v>26</v>
      </c>
      <c r="B6" s="111"/>
      <c r="C6" s="118">
        <v>185366.96914398481</v>
      </c>
      <c r="D6" s="118">
        <v>91756.649726272473</v>
      </c>
      <c r="E6" s="111"/>
      <c r="F6" s="119">
        <v>71570.18678649253</v>
      </c>
      <c r="G6" s="111"/>
      <c r="H6" s="120">
        <v>39145.846666666672</v>
      </c>
      <c r="I6" s="118">
        <v>30533.760400000006</v>
      </c>
      <c r="J6" s="111"/>
      <c r="K6" s="111"/>
      <c r="L6" s="119">
        <v>102103.94718649253</v>
      </c>
    </row>
    <row r="7" spans="1:12" x14ac:dyDescent="0.3">
      <c r="A7" s="111" t="s">
        <v>27</v>
      </c>
      <c r="B7" s="111"/>
      <c r="C7" s="118">
        <v>6209793.8923684452</v>
      </c>
      <c r="D7" s="118">
        <v>3073847.9767223801</v>
      </c>
      <c r="E7" s="111"/>
      <c r="F7" s="119">
        <v>2397601.4218434566</v>
      </c>
      <c r="G7" s="111"/>
      <c r="H7" s="121">
        <v>398296.81228561688</v>
      </c>
      <c r="I7" s="118">
        <v>310671.51358278119</v>
      </c>
      <c r="J7" s="111"/>
      <c r="K7" s="111"/>
      <c r="L7" s="119">
        <v>2708272.935426238</v>
      </c>
    </row>
    <row r="8" spans="1:12" x14ac:dyDescent="0.3">
      <c r="A8" s="111" t="s">
        <v>28</v>
      </c>
      <c r="B8" s="111"/>
      <c r="C8" s="118">
        <v>326547.65424871328</v>
      </c>
      <c r="D8" s="118">
        <v>161641.08885311306</v>
      </c>
      <c r="E8" s="111"/>
      <c r="F8" s="119">
        <v>126080.0493054282</v>
      </c>
      <c r="G8" s="111"/>
      <c r="H8" s="120">
        <v>20879.579218425773</v>
      </c>
      <c r="I8" s="118">
        <v>16286.071790372103</v>
      </c>
      <c r="J8" s="111"/>
      <c r="K8" s="111"/>
      <c r="L8" s="119">
        <v>142366.12109580031</v>
      </c>
    </row>
    <row r="9" spans="1:12" x14ac:dyDescent="0.3">
      <c r="A9" s="111" t="s">
        <v>29</v>
      </c>
      <c r="B9" s="111"/>
      <c r="C9" s="118">
        <v>686504.4368627416</v>
      </c>
      <c r="D9" s="118">
        <v>339819.69624705712</v>
      </c>
      <c r="E9" s="111"/>
      <c r="F9" s="119">
        <v>265059.36307270458</v>
      </c>
      <c r="G9" s="111"/>
      <c r="H9" s="121">
        <v>53574.825623531717</v>
      </c>
      <c r="I9" s="118">
        <v>41788.363986354743</v>
      </c>
      <c r="J9" s="118"/>
      <c r="K9" s="111"/>
      <c r="L9" s="119">
        <v>306847.72705905931</v>
      </c>
    </row>
    <row r="10" spans="1:12" x14ac:dyDescent="0.3">
      <c r="A10" s="111" t="s">
        <v>30</v>
      </c>
      <c r="B10" s="111"/>
      <c r="C10" s="118">
        <v>103460.67897729314</v>
      </c>
      <c r="D10" s="118">
        <v>51213.0360937601</v>
      </c>
      <c r="E10" s="111"/>
      <c r="F10" s="119">
        <v>39946.16815313288</v>
      </c>
      <c r="G10" s="111"/>
      <c r="H10" s="120">
        <v>15152.807292398233</v>
      </c>
      <c r="I10" s="118">
        <v>11819.189688070623</v>
      </c>
      <c r="J10" s="118"/>
      <c r="K10" s="111"/>
      <c r="L10" s="119">
        <v>51765.357841203499</v>
      </c>
    </row>
    <row r="11" spans="1:12" x14ac:dyDescent="0.3">
      <c r="A11" s="111" t="s">
        <v>31</v>
      </c>
      <c r="B11" s="111"/>
      <c r="C11" s="118">
        <v>1018979.5383515304</v>
      </c>
      <c r="D11" s="118">
        <v>504394.87148400757</v>
      </c>
      <c r="E11" s="111"/>
      <c r="F11" s="119">
        <v>393427.99975752592</v>
      </c>
      <c r="G11" s="111"/>
      <c r="H11" s="121"/>
      <c r="I11" s="118">
        <v>0</v>
      </c>
      <c r="J11" s="118"/>
      <c r="K11" s="111"/>
      <c r="L11" s="119">
        <v>393427.99975752592</v>
      </c>
    </row>
    <row r="12" spans="1:12" x14ac:dyDescent="0.3">
      <c r="A12" s="111" t="s">
        <v>32</v>
      </c>
      <c r="B12" s="111"/>
      <c r="C12" s="118">
        <v>434858.04165987222</v>
      </c>
      <c r="D12" s="118">
        <v>215254.73062163676</v>
      </c>
      <c r="E12" s="111"/>
      <c r="F12" s="119">
        <v>167898.68988487669</v>
      </c>
      <c r="G12" s="111"/>
      <c r="H12" s="120"/>
      <c r="I12" s="118">
        <v>0</v>
      </c>
      <c r="J12" s="118"/>
      <c r="K12" s="111"/>
      <c r="L12" s="119">
        <v>167898.68988487669</v>
      </c>
    </row>
    <row r="13" spans="1:12" x14ac:dyDescent="0.3">
      <c r="A13" s="111" t="s">
        <v>33</v>
      </c>
      <c r="B13" s="111"/>
      <c r="C13" s="118">
        <v>121242.94323480103</v>
      </c>
      <c r="D13" s="118">
        <v>60015.256901226508</v>
      </c>
      <c r="E13" s="111"/>
      <c r="F13" s="119">
        <v>46811.900382956679</v>
      </c>
      <c r="G13" s="111"/>
      <c r="H13" s="121">
        <v>19572.919999999998</v>
      </c>
      <c r="I13" s="118">
        <v>15266.8776</v>
      </c>
      <c r="J13" s="118"/>
      <c r="K13" s="111"/>
      <c r="L13" s="119">
        <v>62078.777982956679</v>
      </c>
    </row>
    <row r="14" spans="1:12" x14ac:dyDescent="0.3">
      <c r="A14" s="111" t="s">
        <v>34</v>
      </c>
      <c r="B14" s="111"/>
      <c r="C14" s="118">
        <v>3126990.0882038507</v>
      </c>
      <c r="D14" s="118">
        <v>1547860.093660906</v>
      </c>
      <c r="E14" s="111"/>
      <c r="F14" s="119">
        <v>1207330.8730555067</v>
      </c>
      <c r="G14" s="111"/>
      <c r="H14" s="120">
        <v>205916</v>
      </c>
      <c r="I14" s="118">
        <v>160614.48000000001</v>
      </c>
      <c r="J14" s="118"/>
      <c r="K14" s="111"/>
      <c r="L14" s="119">
        <v>1367945.3530555067</v>
      </c>
    </row>
    <row r="15" spans="1:12" x14ac:dyDescent="0.3">
      <c r="A15" s="111" t="s">
        <v>35</v>
      </c>
      <c r="B15" s="111"/>
      <c r="C15" s="118">
        <v>737695.9069482832</v>
      </c>
      <c r="D15" s="118">
        <v>365159.47393940017</v>
      </c>
      <c r="E15" s="111"/>
      <c r="F15" s="119">
        <v>284824.38967273216</v>
      </c>
      <c r="G15" s="111"/>
      <c r="H15" s="121"/>
      <c r="I15" s="118">
        <v>0</v>
      </c>
      <c r="J15" s="118"/>
      <c r="K15" s="111"/>
      <c r="L15" s="119">
        <v>284824.38967273216</v>
      </c>
    </row>
    <row r="16" spans="1:12" x14ac:dyDescent="0.3">
      <c r="A16" s="111" t="s">
        <v>36</v>
      </c>
      <c r="B16" s="111"/>
      <c r="C16" s="118">
        <v>855166.88055542833</v>
      </c>
      <c r="D16" s="118">
        <v>423307.60587493703</v>
      </c>
      <c r="E16" s="111"/>
      <c r="F16" s="119">
        <v>330179.93258245091</v>
      </c>
      <c r="G16" s="111"/>
      <c r="H16" s="120">
        <v>42509.52</v>
      </c>
      <c r="I16" s="118">
        <v>33157.425599999995</v>
      </c>
      <c r="J16" s="118"/>
      <c r="K16" s="111"/>
      <c r="L16" s="119">
        <v>363337.35818245093</v>
      </c>
    </row>
    <row r="17" spans="1:12" x14ac:dyDescent="0.3">
      <c r="A17" s="111" t="s">
        <v>37</v>
      </c>
      <c r="B17" s="111"/>
      <c r="C17" s="118">
        <v>77462.718767322978</v>
      </c>
      <c r="D17" s="118">
        <v>38344.045789824871</v>
      </c>
      <c r="E17" s="111"/>
      <c r="F17" s="119">
        <v>29908.355716063401</v>
      </c>
      <c r="G17" s="111"/>
      <c r="H17" s="121"/>
      <c r="I17" s="118">
        <v>0</v>
      </c>
      <c r="J17" s="118"/>
      <c r="K17" s="111"/>
      <c r="L17" s="119">
        <v>29908.355716063401</v>
      </c>
    </row>
    <row r="18" spans="1:12" x14ac:dyDescent="0.3">
      <c r="A18" s="111" t="s">
        <v>38</v>
      </c>
      <c r="B18" s="111"/>
      <c r="C18" s="118">
        <v>347024.22679038619</v>
      </c>
      <c r="D18" s="118">
        <v>171776.99226124116</v>
      </c>
      <c r="E18" s="111"/>
      <c r="F18" s="119">
        <v>133986.05396376812</v>
      </c>
      <c r="G18" s="111"/>
      <c r="H18" s="120">
        <v>20621.919999999998</v>
      </c>
      <c r="I18" s="118">
        <v>16085.097599999999</v>
      </c>
      <c r="J18" s="118">
        <v>73398.460000000006</v>
      </c>
      <c r="K18" s="118">
        <v>57250.798800000004</v>
      </c>
      <c r="L18" s="119">
        <v>207321.95036376815</v>
      </c>
    </row>
    <row r="19" spans="1:12" x14ac:dyDescent="0.3">
      <c r="A19" s="111" t="s">
        <v>39</v>
      </c>
      <c r="B19" s="111"/>
      <c r="C19" s="118">
        <v>134714.40719290738</v>
      </c>
      <c r="D19" s="118">
        <v>66683.631560489157</v>
      </c>
      <c r="E19" s="111"/>
      <c r="F19" s="119">
        <v>52013.232617181544</v>
      </c>
      <c r="G19" s="111"/>
      <c r="H19" s="121"/>
      <c r="I19" s="118">
        <v>0</v>
      </c>
      <c r="J19" s="118"/>
      <c r="K19" s="111"/>
      <c r="L19" s="119">
        <v>52013.232617181544</v>
      </c>
    </row>
    <row r="20" spans="1:12" x14ac:dyDescent="0.3">
      <c r="A20" s="111" t="s">
        <v>40</v>
      </c>
      <c r="B20" s="111"/>
      <c r="C20" s="118">
        <v>1201652.1992113502</v>
      </c>
      <c r="D20" s="118">
        <v>594817.83860961837</v>
      </c>
      <c r="E20" s="111"/>
      <c r="F20" s="119">
        <v>463957.91411550232</v>
      </c>
      <c r="G20" s="111"/>
      <c r="H20" s="120">
        <v>170205.29</v>
      </c>
      <c r="I20" s="118">
        <v>132760.1262</v>
      </c>
      <c r="J20" s="118"/>
      <c r="K20" s="111"/>
      <c r="L20" s="119">
        <v>596718.04031550232</v>
      </c>
    </row>
    <row r="21" spans="1:12" x14ac:dyDescent="0.3">
      <c r="A21" s="111" t="s">
        <v>41</v>
      </c>
      <c r="B21" s="111"/>
      <c r="C21" s="118">
        <v>79212.059345245434</v>
      </c>
      <c r="D21" s="118">
        <v>39209.969375896493</v>
      </c>
      <c r="E21" s="111"/>
      <c r="F21" s="119">
        <v>30583.776113199267</v>
      </c>
      <c r="G21" s="111"/>
      <c r="H21" s="121">
        <v>11860.89</v>
      </c>
      <c r="I21" s="118">
        <v>9251.4941999999992</v>
      </c>
      <c r="J21" s="118"/>
      <c r="K21" s="111"/>
      <c r="L21" s="119">
        <v>39835.270313199268</v>
      </c>
    </row>
    <row r="22" spans="1:12" x14ac:dyDescent="0.3">
      <c r="A22" s="111" t="s">
        <v>42</v>
      </c>
      <c r="B22" s="111"/>
      <c r="C22" s="118">
        <v>161118.42697465586</v>
      </c>
      <c r="D22" s="118">
        <v>79753.621352454647</v>
      </c>
      <c r="E22" s="111"/>
      <c r="F22" s="119">
        <v>62207.824654914628</v>
      </c>
      <c r="G22" s="111"/>
      <c r="H22" s="120">
        <v>25658.21</v>
      </c>
      <c r="I22" s="118">
        <v>20013.4038</v>
      </c>
      <c r="J22" s="118"/>
      <c r="K22" s="111"/>
      <c r="L22" s="119">
        <v>82221.228454914628</v>
      </c>
    </row>
    <row r="23" spans="1:12" x14ac:dyDescent="0.3">
      <c r="A23" s="111" t="s">
        <v>43</v>
      </c>
      <c r="B23" s="111"/>
      <c r="C23" s="118">
        <v>77462.718767322978</v>
      </c>
      <c r="D23" s="118">
        <v>38344.045789824871</v>
      </c>
      <c r="E23" s="111"/>
      <c r="F23" s="119">
        <v>29908.355716063401</v>
      </c>
      <c r="G23" s="111"/>
      <c r="H23" s="121">
        <v>11927.46</v>
      </c>
      <c r="I23" s="118">
        <v>9303.4187999999995</v>
      </c>
      <c r="J23" s="118"/>
      <c r="K23" s="111"/>
      <c r="L23" s="119">
        <v>39211.7745160634</v>
      </c>
    </row>
    <row r="24" spans="1:12" x14ac:dyDescent="0.3">
      <c r="A24" s="111" t="s">
        <v>44</v>
      </c>
      <c r="B24" s="111"/>
      <c r="C24" s="118">
        <v>176745.29108246299</v>
      </c>
      <c r="D24" s="118">
        <v>87488.919085819187</v>
      </c>
      <c r="E24" s="111"/>
      <c r="F24" s="119">
        <v>68241.356886938971</v>
      </c>
      <c r="G24" s="111"/>
      <c r="H24" s="120">
        <v>20614.91</v>
      </c>
      <c r="I24" s="118">
        <v>16079.629800000001</v>
      </c>
      <c r="J24" s="118"/>
      <c r="K24" s="111"/>
      <c r="L24" s="119">
        <v>84320.986686938966</v>
      </c>
    </row>
    <row r="25" spans="1:12" x14ac:dyDescent="0.3">
      <c r="A25" s="111" t="s">
        <v>45</v>
      </c>
      <c r="B25" s="111"/>
      <c r="C25" s="118">
        <v>361573.3520919836</v>
      </c>
      <c r="D25" s="118">
        <v>178978.80928553187</v>
      </c>
      <c r="E25" s="111"/>
      <c r="F25" s="119">
        <v>139603.47124271485</v>
      </c>
      <c r="G25" s="111"/>
      <c r="H25" s="121"/>
      <c r="I25" s="118">
        <v>0</v>
      </c>
      <c r="J25" s="118"/>
      <c r="K25" s="111"/>
      <c r="L25" s="119">
        <v>139603.47124271485</v>
      </c>
    </row>
    <row r="26" spans="1:12" x14ac:dyDescent="0.3">
      <c r="A26" s="111" t="s">
        <v>46</v>
      </c>
      <c r="B26" s="111"/>
      <c r="C26" s="118">
        <v>564722.66295619507</v>
      </c>
      <c r="D26" s="118">
        <v>279537.71816331655</v>
      </c>
      <c r="E26" s="111"/>
      <c r="F26" s="119">
        <v>218039.42016738691</v>
      </c>
      <c r="G26" s="111"/>
      <c r="H26" s="120">
        <v>82638.33</v>
      </c>
      <c r="I26" s="118">
        <v>64457.897400000002</v>
      </c>
      <c r="J26" s="118"/>
      <c r="K26" s="111"/>
      <c r="L26" s="119">
        <v>282497.3175673869</v>
      </c>
    </row>
    <row r="27" spans="1:12" x14ac:dyDescent="0.3">
      <c r="A27" s="111" t="s">
        <v>47</v>
      </c>
      <c r="B27" s="111"/>
      <c r="C27" s="118">
        <v>868099.43637907051</v>
      </c>
      <c r="D27" s="118">
        <v>429709.22100763989</v>
      </c>
      <c r="E27" s="111"/>
      <c r="F27" s="119">
        <v>335173.19238595915</v>
      </c>
      <c r="G27" s="111"/>
      <c r="H27" s="121"/>
      <c r="I27" s="118">
        <v>0</v>
      </c>
      <c r="J27" s="118"/>
      <c r="K27" s="111"/>
      <c r="L27" s="119">
        <v>335173.19238595915</v>
      </c>
    </row>
    <row r="28" spans="1:12" x14ac:dyDescent="0.3">
      <c r="A28" s="111" t="s">
        <v>48</v>
      </c>
      <c r="B28" s="111"/>
      <c r="C28" s="118">
        <v>3485330.3788026427</v>
      </c>
      <c r="D28" s="118">
        <v>1725238.5375073082</v>
      </c>
      <c r="E28" s="111"/>
      <c r="F28" s="119">
        <v>1345686.0592557003</v>
      </c>
      <c r="G28" s="111"/>
      <c r="H28" s="120">
        <v>183714.69</v>
      </c>
      <c r="I28" s="118">
        <v>143297.45819999999</v>
      </c>
      <c r="J28" s="118">
        <v>366992.31</v>
      </c>
      <c r="K28" s="118">
        <v>286254.00180000003</v>
      </c>
      <c r="L28" s="119">
        <v>1775237.5192557003</v>
      </c>
    </row>
    <row r="29" spans="1:12" x14ac:dyDescent="0.3">
      <c r="A29" s="111" t="s">
        <v>49</v>
      </c>
      <c r="B29" s="111"/>
      <c r="C29" s="118">
        <v>90528.045690932267</v>
      </c>
      <c r="D29" s="118">
        <v>44811.38261701147</v>
      </c>
      <c r="E29" s="111"/>
      <c r="F29" s="119">
        <v>34952.878441268949</v>
      </c>
      <c r="G29" s="111"/>
      <c r="H29" s="121"/>
      <c r="I29" s="118">
        <v>0</v>
      </c>
      <c r="J29" s="118"/>
      <c r="K29" s="111"/>
      <c r="L29" s="119">
        <v>34952.878441268949</v>
      </c>
    </row>
    <row r="30" spans="1:12" x14ac:dyDescent="0.3">
      <c r="A30" s="111" t="s">
        <v>50</v>
      </c>
      <c r="B30" s="111"/>
      <c r="C30" s="118">
        <v>1105196.7062803425</v>
      </c>
      <c r="D30" s="118">
        <v>547072.36960876954</v>
      </c>
      <c r="E30" s="111"/>
      <c r="F30" s="119">
        <v>426716.44829484023</v>
      </c>
      <c r="G30" s="111"/>
      <c r="H30" s="120">
        <v>86271.35</v>
      </c>
      <c r="I30" s="118">
        <v>67291.653000000006</v>
      </c>
      <c r="J30" s="118"/>
      <c r="K30" s="111"/>
      <c r="L30" s="119">
        <v>494008.10129484022</v>
      </c>
    </row>
    <row r="31" spans="1:12" x14ac:dyDescent="0.3">
      <c r="A31" s="111" t="s">
        <v>51</v>
      </c>
      <c r="B31" s="111"/>
      <c r="C31" s="118">
        <v>726379.92060259648</v>
      </c>
      <c r="D31" s="118">
        <v>359558.06069828523</v>
      </c>
      <c r="E31" s="111"/>
      <c r="F31" s="119">
        <v>280455.28734466247</v>
      </c>
      <c r="G31" s="111"/>
      <c r="H31" s="121">
        <v>41022.81</v>
      </c>
      <c r="I31" s="118">
        <v>31997.791799999999</v>
      </c>
      <c r="J31" s="118"/>
      <c r="K31" s="111"/>
      <c r="L31" s="119">
        <v>312453.07914466248</v>
      </c>
    </row>
    <row r="32" spans="1:12" x14ac:dyDescent="0.3">
      <c r="A32" s="111" t="s">
        <v>52</v>
      </c>
      <c r="B32" s="111"/>
      <c r="C32" s="118">
        <v>77462.718767322978</v>
      </c>
      <c r="D32" s="118">
        <v>38344.045789824871</v>
      </c>
      <c r="E32" s="111"/>
      <c r="F32" s="119">
        <v>29908.355716063401</v>
      </c>
      <c r="G32" s="111"/>
      <c r="H32" s="120"/>
      <c r="I32" s="118">
        <v>0</v>
      </c>
      <c r="J32" s="118"/>
      <c r="K32" s="111"/>
      <c r="L32" s="119">
        <v>29908.355716063401</v>
      </c>
    </row>
    <row r="33" spans="1:12" x14ac:dyDescent="0.3">
      <c r="A33" s="111" t="s">
        <v>53</v>
      </c>
      <c r="B33" s="111"/>
      <c r="C33" s="118">
        <v>276972.75364112685</v>
      </c>
      <c r="D33" s="118">
        <v>137101.5130523578</v>
      </c>
      <c r="E33" s="111"/>
      <c r="F33" s="119">
        <v>106939.18018083909</v>
      </c>
      <c r="G33" s="111"/>
      <c r="H33" s="121">
        <v>49662.81</v>
      </c>
      <c r="I33" s="118">
        <v>38736.991799999996</v>
      </c>
      <c r="J33" s="118"/>
      <c r="K33" s="111"/>
      <c r="L33" s="119">
        <v>145676.17198083908</v>
      </c>
    </row>
    <row r="34" spans="1:12" x14ac:dyDescent="0.3">
      <c r="A34" s="111" t="s">
        <v>54</v>
      </c>
      <c r="B34" s="111"/>
      <c r="C34" s="118">
        <v>77462.718767322978</v>
      </c>
      <c r="D34" s="118">
        <v>38344.045789824871</v>
      </c>
      <c r="E34" s="111"/>
      <c r="F34" s="119">
        <v>29908.355716063401</v>
      </c>
      <c r="G34" s="111"/>
      <c r="H34" s="120"/>
      <c r="I34" s="118">
        <v>0</v>
      </c>
      <c r="J34" s="118"/>
      <c r="K34" s="111"/>
      <c r="L34" s="119">
        <v>29908.355716063401</v>
      </c>
    </row>
    <row r="35" spans="1:12" x14ac:dyDescent="0.3">
      <c r="A35" s="111" t="s">
        <v>55</v>
      </c>
      <c r="B35" s="111"/>
      <c r="C35" s="118">
        <v>110465.78756085968</v>
      </c>
      <c r="D35" s="118">
        <v>54680.564842625543</v>
      </c>
      <c r="E35" s="111"/>
      <c r="F35" s="119">
        <v>42650.840577247924</v>
      </c>
      <c r="G35" s="111"/>
      <c r="H35" s="121">
        <v>11451</v>
      </c>
      <c r="I35" s="118">
        <v>8931.7800000000007</v>
      </c>
      <c r="J35" s="118"/>
      <c r="K35" s="111"/>
      <c r="L35" s="119">
        <v>51582.620577247922</v>
      </c>
    </row>
    <row r="36" spans="1:12" x14ac:dyDescent="0.3">
      <c r="A36" s="111" t="s">
        <v>56</v>
      </c>
      <c r="B36" s="111"/>
      <c r="C36" s="118">
        <v>96455.492931007815</v>
      </c>
      <c r="D36" s="118">
        <v>47745.469000848869</v>
      </c>
      <c r="E36" s="111"/>
      <c r="F36" s="119">
        <v>37241.465820662117</v>
      </c>
      <c r="G36" s="111"/>
      <c r="H36" s="120">
        <v>14042.87</v>
      </c>
      <c r="I36" s="118">
        <v>10953.438600000001</v>
      </c>
      <c r="J36" s="118"/>
      <c r="K36" s="111"/>
      <c r="L36" s="119">
        <v>48194.904420662118</v>
      </c>
    </row>
    <row r="37" spans="1:12" x14ac:dyDescent="0.3">
      <c r="A37" s="111" t="s">
        <v>57</v>
      </c>
      <c r="B37" s="111"/>
      <c r="C37" s="118">
        <v>368039.7074665234</v>
      </c>
      <c r="D37" s="118">
        <v>182179.65519592908</v>
      </c>
      <c r="E37" s="111"/>
      <c r="F37" s="119">
        <v>142100.1310528247</v>
      </c>
      <c r="G37" s="111"/>
      <c r="H37" s="121">
        <v>26513.03</v>
      </c>
      <c r="I37" s="118">
        <v>20680.163400000001</v>
      </c>
      <c r="J37" s="118"/>
      <c r="K37" s="111"/>
      <c r="L37" s="119">
        <v>162780.29445282469</v>
      </c>
    </row>
    <row r="38" spans="1:12" x14ac:dyDescent="0.3">
      <c r="A38" s="111" t="s">
        <v>58</v>
      </c>
      <c r="B38" s="111"/>
      <c r="C38" s="118">
        <v>101844.03203661912</v>
      </c>
      <c r="D38" s="118">
        <v>50412.795858126461</v>
      </c>
      <c r="E38" s="111"/>
      <c r="F38" s="119">
        <v>39321.980769338639</v>
      </c>
      <c r="G38" s="111"/>
      <c r="H38" s="120"/>
      <c r="I38" s="118">
        <v>0</v>
      </c>
      <c r="J38" s="118"/>
      <c r="K38" s="111"/>
      <c r="L38" s="119">
        <v>39321.980769338639</v>
      </c>
    </row>
    <row r="39" spans="1:12" x14ac:dyDescent="0.3">
      <c r="A39" s="111" t="s">
        <v>59</v>
      </c>
      <c r="B39" s="111"/>
      <c r="C39" s="118">
        <v>77462.718767322978</v>
      </c>
      <c r="D39" s="118">
        <v>38344.045789824871</v>
      </c>
      <c r="E39" s="111"/>
      <c r="F39" s="119">
        <v>29908.355716063401</v>
      </c>
      <c r="G39" s="111"/>
      <c r="H39" s="121"/>
      <c r="I39" s="118">
        <v>0</v>
      </c>
      <c r="J39" s="118"/>
      <c r="K39" s="111"/>
      <c r="L39" s="119">
        <v>29908.355716063401</v>
      </c>
    </row>
    <row r="40" spans="1:12" x14ac:dyDescent="0.3">
      <c r="A40" s="111" t="s">
        <v>60</v>
      </c>
      <c r="B40" s="111"/>
      <c r="C40" s="118">
        <v>750628.54023464408</v>
      </c>
      <c r="D40" s="118">
        <v>371561.12741614884</v>
      </c>
      <c r="E40" s="111"/>
      <c r="F40" s="119">
        <v>289817.67938459612</v>
      </c>
      <c r="G40" s="111"/>
      <c r="H40" s="120">
        <v>68760.759999999995</v>
      </c>
      <c r="I40" s="118">
        <v>53633.392799999994</v>
      </c>
      <c r="J40" s="118"/>
      <c r="K40" s="111"/>
      <c r="L40" s="119">
        <v>343451.07218459609</v>
      </c>
    </row>
    <row r="41" spans="1:12" x14ac:dyDescent="0.3">
      <c r="A41" s="111" t="s">
        <v>61</v>
      </c>
      <c r="B41" s="111"/>
      <c r="C41" s="118">
        <v>1221051.110409532</v>
      </c>
      <c r="D41" s="118">
        <v>604420.29965271836</v>
      </c>
      <c r="E41" s="111"/>
      <c r="F41" s="119">
        <v>471447.83372912032</v>
      </c>
      <c r="G41" s="111"/>
      <c r="H41" s="121"/>
      <c r="I41" s="118">
        <v>0</v>
      </c>
      <c r="J41" s="118"/>
      <c r="K41" s="111"/>
      <c r="L41" s="119">
        <v>471447.83372912032</v>
      </c>
    </row>
    <row r="42" spans="1:12" x14ac:dyDescent="0.3">
      <c r="A42" s="111" t="s">
        <v>62</v>
      </c>
      <c r="B42" s="111"/>
      <c r="C42" s="118">
        <v>532930.10406883527</v>
      </c>
      <c r="D42" s="118">
        <v>263800.40151407343</v>
      </c>
      <c r="E42" s="111"/>
      <c r="F42" s="119">
        <v>205764.31318097727</v>
      </c>
      <c r="G42" s="111"/>
      <c r="H42" s="120">
        <v>27412.45</v>
      </c>
      <c r="I42" s="118">
        <v>21381.711000000003</v>
      </c>
      <c r="J42" s="118"/>
      <c r="K42" s="111"/>
      <c r="L42" s="119">
        <v>227146.02418097729</v>
      </c>
    </row>
    <row r="43" spans="1:12" x14ac:dyDescent="0.3">
      <c r="A43" s="111" t="s">
        <v>63</v>
      </c>
      <c r="B43" s="111"/>
      <c r="C43" s="118">
        <v>324931.084770758</v>
      </c>
      <c r="D43" s="118">
        <v>160840.88696152522</v>
      </c>
      <c r="E43" s="111"/>
      <c r="F43" s="119">
        <v>125455.89182998968</v>
      </c>
      <c r="G43" s="111"/>
      <c r="H43" s="121"/>
      <c r="I43" s="118">
        <v>0</v>
      </c>
      <c r="J43" s="118"/>
      <c r="K43" s="111"/>
      <c r="L43" s="119">
        <v>125455.89182998968</v>
      </c>
    </row>
    <row r="44" spans="1:12" x14ac:dyDescent="0.3">
      <c r="A44" s="111" t="s">
        <v>64</v>
      </c>
      <c r="B44" s="111"/>
      <c r="C44" s="118">
        <v>1135372.7731524657</v>
      </c>
      <c r="D44" s="118">
        <v>562009.52271047048</v>
      </c>
      <c r="E44" s="111"/>
      <c r="F44" s="119">
        <v>438367.42771416699</v>
      </c>
      <c r="G44" s="111"/>
      <c r="H44" s="120">
        <v>119292.73</v>
      </c>
      <c r="I44" s="118">
        <v>93048.329400000002</v>
      </c>
      <c r="J44" s="118"/>
      <c r="K44" s="111"/>
      <c r="L44" s="119">
        <v>531415.75711416698</v>
      </c>
    </row>
    <row r="45" spans="1:12" x14ac:dyDescent="0.3">
      <c r="A45" s="111" t="s">
        <v>65</v>
      </c>
      <c r="B45" s="111"/>
      <c r="C45" s="118">
        <v>1768530.3397799649</v>
      </c>
      <c r="D45" s="118">
        <v>875422.51819108264</v>
      </c>
      <c r="E45" s="111"/>
      <c r="F45" s="119">
        <v>682829.56418904453</v>
      </c>
      <c r="G45" s="111"/>
      <c r="H45" s="121">
        <v>103698.49</v>
      </c>
      <c r="I45" s="118">
        <v>80884.82220000001</v>
      </c>
      <c r="J45" s="118"/>
      <c r="K45" s="111"/>
      <c r="L45" s="119">
        <v>763714.38638904458</v>
      </c>
    </row>
    <row r="46" spans="1:12" x14ac:dyDescent="0.3">
      <c r="A46" s="111" t="s">
        <v>66</v>
      </c>
      <c r="B46" s="111"/>
      <c r="C46" s="118">
        <v>345946.48798417643</v>
      </c>
      <c r="D46" s="118">
        <v>171243.51155216733</v>
      </c>
      <c r="E46" s="111"/>
      <c r="F46" s="119">
        <v>133569.93901069052</v>
      </c>
      <c r="G46" s="111"/>
      <c r="H46" s="120">
        <v>39145.85</v>
      </c>
      <c r="I46" s="118">
        <v>30533.762999999999</v>
      </c>
      <c r="J46" s="118"/>
      <c r="K46" s="111"/>
      <c r="L46" s="119">
        <v>164103.70201069053</v>
      </c>
    </row>
    <row r="47" spans="1:12" x14ac:dyDescent="0.3">
      <c r="A47" s="111" t="s">
        <v>67</v>
      </c>
      <c r="B47" s="111"/>
      <c r="C47" s="118">
        <v>96994.323602753313</v>
      </c>
      <c r="D47" s="118">
        <v>48012.190183362887</v>
      </c>
      <c r="E47" s="111"/>
      <c r="F47" s="119">
        <v>37449.508343023052</v>
      </c>
      <c r="G47" s="111"/>
      <c r="H47" s="121"/>
      <c r="I47" s="118">
        <v>0</v>
      </c>
      <c r="J47" s="118"/>
      <c r="K47" s="111"/>
      <c r="L47" s="119">
        <v>37449.508343023052</v>
      </c>
    </row>
    <row r="48" spans="1:12" x14ac:dyDescent="0.3">
      <c r="A48" s="111" t="s">
        <v>68</v>
      </c>
      <c r="B48" s="111"/>
      <c r="C48" s="118">
        <v>501676.37585322099</v>
      </c>
      <c r="D48" s="118">
        <v>248329.80604734438</v>
      </c>
      <c r="E48" s="111"/>
      <c r="F48" s="119">
        <v>193697.24871692862</v>
      </c>
      <c r="G48" s="111"/>
      <c r="H48" s="120">
        <v>39145.85</v>
      </c>
      <c r="I48" s="118">
        <v>30533.762999999999</v>
      </c>
      <c r="J48" s="118"/>
      <c r="K48" s="111"/>
      <c r="L48" s="119">
        <v>224231.01171692862</v>
      </c>
    </row>
    <row r="49" spans="1:12" x14ac:dyDescent="0.3">
      <c r="A49" s="111" t="s">
        <v>69</v>
      </c>
      <c r="B49" s="111"/>
      <c r="C49" s="118">
        <v>93222.3539750973</v>
      </c>
      <c r="D49" s="118">
        <v>46145.06521767316</v>
      </c>
      <c r="E49" s="111"/>
      <c r="F49" s="119">
        <v>35993.150869785066</v>
      </c>
      <c r="G49" s="111"/>
      <c r="H49" s="121"/>
      <c r="I49" s="118">
        <v>0</v>
      </c>
      <c r="J49" s="118"/>
      <c r="K49" s="111"/>
      <c r="L49" s="119">
        <v>35993.150869785066</v>
      </c>
    </row>
    <row r="50" spans="1:12" x14ac:dyDescent="0.3">
      <c r="A50" s="111" t="s">
        <v>70</v>
      </c>
      <c r="B50" s="111"/>
      <c r="C50" s="118">
        <v>445635.11987109476</v>
      </c>
      <c r="D50" s="118">
        <v>220589.3843361919</v>
      </c>
      <c r="E50" s="111"/>
      <c r="F50" s="119">
        <v>172059.71978222969</v>
      </c>
      <c r="G50" s="111"/>
      <c r="H50" s="120">
        <v>53610.5</v>
      </c>
      <c r="I50" s="118">
        <v>41816.19</v>
      </c>
      <c r="J50" s="118"/>
      <c r="K50" s="111"/>
      <c r="L50" s="119">
        <v>213875.90978222969</v>
      </c>
    </row>
    <row r="51" spans="1:12" x14ac:dyDescent="0.3">
      <c r="A51" s="111" t="s">
        <v>71</v>
      </c>
      <c r="B51" s="111"/>
      <c r="C51" s="118">
        <v>2719613.8051319369</v>
      </c>
      <c r="D51" s="118">
        <v>1346208.8335403088</v>
      </c>
      <c r="E51" s="111"/>
      <c r="F51" s="119">
        <v>1050042.8901614409</v>
      </c>
      <c r="G51" s="111"/>
      <c r="H51" s="121"/>
      <c r="I51" s="118">
        <v>0</v>
      </c>
      <c r="J51" s="118"/>
      <c r="K51" s="111"/>
      <c r="L51" s="119">
        <v>1050042.8901614409</v>
      </c>
    </row>
    <row r="52" spans="1:12" x14ac:dyDescent="0.3">
      <c r="A52" s="111" t="s">
        <v>72</v>
      </c>
      <c r="B52" s="111"/>
      <c r="C52" s="118">
        <v>77462.718767322978</v>
      </c>
      <c r="D52" s="118">
        <v>38344.045789824871</v>
      </c>
      <c r="E52" s="111"/>
      <c r="F52" s="119">
        <v>29908.355716063401</v>
      </c>
      <c r="G52" s="111"/>
      <c r="H52" s="120"/>
      <c r="I52" s="118">
        <v>0</v>
      </c>
      <c r="J52" s="118"/>
      <c r="K52" s="111"/>
      <c r="L52" s="119">
        <v>29908.355716063401</v>
      </c>
    </row>
    <row r="53" spans="1:12" x14ac:dyDescent="0.3">
      <c r="A53" s="111" t="s">
        <v>73</v>
      </c>
      <c r="B53" s="111"/>
      <c r="C53" s="118">
        <v>908513.75079067075</v>
      </c>
      <c r="D53" s="118">
        <v>449714.30664138199</v>
      </c>
      <c r="E53" s="111"/>
      <c r="F53" s="119">
        <v>350777.15918027796</v>
      </c>
      <c r="G53" s="111"/>
      <c r="H53" s="121"/>
      <c r="I53" s="118">
        <v>0</v>
      </c>
      <c r="J53" s="118"/>
      <c r="K53" s="111"/>
      <c r="L53" s="119">
        <v>350777.15918027796</v>
      </c>
    </row>
    <row r="54" spans="1:12" x14ac:dyDescent="0.3">
      <c r="A54" s="111" t="s">
        <v>74</v>
      </c>
      <c r="B54" s="111"/>
      <c r="C54" s="118">
        <v>311459.62081265164</v>
      </c>
      <c r="D54" s="118">
        <v>154172.51230226256</v>
      </c>
      <c r="E54" s="111"/>
      <c r="F54" s="119">
        <v>120254.5595957648</v>
      </c>
      <c r="G54" s="111"/>
      <c r="H54" s="120">
        <v>29188.67</v>
      </c>
      <c r="I54" s="118">
        <v>22767.1626</v>
      </c>
      <c r="J54" s="118"/>
      <c r="K54" s="111"/>
      <c r="L54" s="119">
        <v>143021.7221957648</v>
      </c>
    </row>
    <row r="55" spans="1:12" x14ac:dyDescent="0.3">
      <c r="A55" s="111" t="s">
        <v>75</v>
      </c>
      <c r="B55" s="111"/>
      <c r="C55" s="118">
        <v>124476.08219071156</v>
      </c>
      <c r="D55" s="118">
        <v>61615.660684402224</v>
      </c>
      <c r="E55" s="111"/>
      <c r="F55" s="119">
        <v>48060.215333833738</v>
      </c>
      <c r="G55" s="111"/>
      <c r="H55" s="121"/>
      <c r="I55" s="118">
        <v>0</v>
      </c>
      <c r="J55" s="118"/>
      <c r="K55" s="111"/>
      <c r="L55" s="119">
        <v>48060.215333833738</v>
      </c>
    </row>
    <row r="56" spans="1:12" x14ac:dyDescent="0.3">
      <c r="A56" s="111" t="s">
        <v>76</v>
      </c>
      <c r="B56" s="111"/>
      <c r="C56" s="118">
        <v>12472395.824300386</v>
      </c>
      <c r="D56" s="118">
        <v>6173835.9330286914</v>
      </c>
      <c r="E56" s="111"/>
      <c r="F56" s="119">
        <v>4815592.0277623795</v>
      </c>
      <c r="G56" s="111"/>
      <c r="H56" s="120">
        <v>510793.6</v>
      </c>
      <c r="I56" s="118">
        <v>398419.00799999997</v>
      </c>
      <c r="J56" s="118">
        <v>1027578.48</v>
      </c>
      <c r="K56" s="118">
        <v>801511.21440000006</v>
      </c>
      <c r="L56" s="119">
        <v>6015522.2501623798</v>
      </c>
    </row>
    <row r="57" spans="1:12" x14ac:dyDescent="0.3">
      <c r="A57" s="111" t="s">
        <v>77</v>
      </c>
      <c r="B57" s="111"/>
      <c r="C57" s="118">
        <v>152496.67145041531</v>
      </c>
      <c r="D57" s="118">
        <v>75485.85236795558</v>
      </c>
      <c r="E57" s="111"/>
      <c r="F57" s="119">
        <v>58878.964847005358</v>
      </c>
      <c r="G57" s="111"/>
      <c r="H57" s="121">
        <v>19572.919999999998</v>
      </c>
      <c r="I57" s="118">
        <v>15266.8776</v>
      </c>
      <c r="J57" s="118"/>
      <c r="K57" s="111"/>
      <c r="L57" s="119">
        <v>74145.842447005358</v>
      </c>
    </row>
    <row r="58" spans="1:12" x14ac:dyDescent="0.3">
      <c r="A58" s="111" t="s">
        <v>78</v>
      </c>
      <c r="B58" s="111"/>
      <c r="C58" s="118">
        <v>77462.718767322978</v>
      </c>
      <c r="D58" s="118">
        <v>38344.045789824871</v>
      </c>
      <c r="E58" s="111"/>
      <c r="F58" s="119">
        <v>29908.355716063401</v>
      </c>
      <c r="G58" s="111"/>
      <c r="H58" s="122"/>
      <c r="I58" s="118">
        <v>0</v>
      </c>
      <c r="J58" s="118"/>
      <c r="K58" s="111"/>
      <c r="L58" s="119">
        <v>29908.355716063401</v>
      </c>
    </row>
    <row r="59" spans="1:12" x14ac:dyDescent="0.3">
      <c r="A59" s="111" t="s">
        <v>79</v>
      </c>
      <c r="B59" s="111"/>
      <c r="C59" s="118">
        <v>531313.53459088004</v>
      </c>
      <c r="D59" s="118">
        <v>263000.19962248561</v>
      </c>
      <c r="E59" s="111"/>
      <c r="F59" s="119">
        <v>205140.15570553878</v>
      </c>
      <c r="G59" s="111"/>
      <c r="H59" s="123">
        <v>45559.7</v>
      </c>
      <c r="I59" s="118">
        <v>35536.565999999999</v>
      </c>
      <c r="J59" s="118"/>
      <c r="K59" s="111"/>
      <c r="L59" s="119">
        <v>240676.72170553877</v>
      </c>
    </row>
    <row r="60" spans="1:12" x14ac:dyDescent="0.3">
      <c r="A60" s="111" t="s">
        <v>80</v>
      </c>
      <c r="B60" s="111"/>
      <c r="C60" s="118">
        <v>77462.718767322978</v>
      </c>
      <c r="D60" s="118">
        <v>38344.045789824871</v>
      </c>
      <c r="E60" s="111"/>
      <c r="F60" s="124">
        <v>29908.355716063401</v>
      </c>
      <c r="G60" s="111"/>
      <c r="H60" s="125"/>
      <c r="I60" s="118">
        <v>0</v>
      </c>
      <c r="J60" s="118"/>
      <c r="K60" s="111"/>
      <c r="L60" s="119">
        <v>29908.355716063401</v>
      </c>
    </row>
    <row r="61" spans="1:12" x14ac:dyDescent="0.3">
      <c r="A61" s="111" t="s">
        <v>81</v>
      </c>
      <c r="B61" s="111"/>
      <c r="C61" s="118">
        <v>229014.42251149568</v>
      </c>
      <c r="D61" s="118">
        <v>113362.13914319036</v>
      </c>
      <c r="E61" s="111"/>
      <c r="F61" s="119">
        <v>88422.468531688486</v>
      </c>
      <c r="G61" s="111"/>
      <c r="H61" s="125"/>
      <c r="I61" s="118">
        <v>0</v>
      </c>
      <c r="J61" s="118"/>
      <c r="K61" s="111"/>
      <c r="L61" s="119">
        <v>88422.468531688486</v>
      </c>
    </row>
    <row r="62" spans="1:12" x14ac:dyDescent="0.3">
      <c r="A62" s="111" t="s">
        <v>82</v>
      </c>
      <c r="B62" s="111"/>
      <c r="C62" s="118">
        <v>77462.718767322978</v>
      </c>
      <c r="D62" s="118">
        <v>38344.045789824871</v>
      </c>
      <c r="E62" s="111"/>
      <c r="F62" s="119">
        <v>29908.355716063401</v>
      </c>
      <c r="G62" s="111"/>
      <c r="H62" s="125"/>
      <c r="I62" s="118">
        <v>0</v>
      </c>
      <c r="J62" s="118"/>
      <c r="K62" s="111"/>
      <c r="L62" s="119">
        <v>29908.355716063401</v>
      </c>
    </row>
    <row r="63" spans="1:12" x14ac:dyDescent="0.3">
      <c r="A63" s="111" t="s">
        <v>83</v>
      </c>
      <c r="B63" s="111"/>
      <c r="C63" s="118">
        <v>89450.384347441272</v>
      </c>
      <c r="D63" s="118">
        <v>44277.940251983426</v>
      </c>
      <c r="E63" s="111"/>
      <c r="F63" s="119">
        <v>34536.793396547073</v>
      </c>
      <c r="G63" s="111"/>
      <c r="H63" s="122"/>
      <c r="I63" s="118">
        <v>0</v>
      </c>
      <c r="J63" s="118"/>
      <c r="K63" s="111"/>
      <c r="L63" s="119">
        <v>34536.793396547073</v>
      </c>
    </row>
    <row r="64" spans="1:12" x14ac:dyDescent="0.3">
      <c r="A64" s="111" t="s">
        <v>84</v>
      </c>
      <c r="B64" s="111"/>
      <c r="C64" s="118">
        <v>80289.798151455194</v>
      </c>
      <c r="D64" s="118">
        <v>39743.450084970318</v>
      </c>
      <c r="E64" s="111"/>
      <c r="F64" s="119">
        <v>30999.89106627685</v>
      </c>
      <c r="G64" s="111"/>
      <c r="H64" s="122">
        <v>13072.43</v>
      </c>
      <c r="I64" s="118">
        <v>10196.4954</v>
      </c>
      <c r="J64" s="118"/>
      <c r="K64" s="111"/>
      <c r="L64" s="119">
        <v>41196.386466276846</v>
      </c>
    </row>
    <row r="65" spans="1:12" x14ac:dyDescent="0.3">
      <c r="A65" s="111" t="s">
        <v>85</v>
      </c>
      <c r="B65" s="111"/>
      <c r="C65" s="118">
        <v>77462.718767322978</v>
      </c>
      <c r="D65" s="118">
        <v>38344.045789824871</v>
      </c>
      <c r="E65" s="111"/>
      <c r="F65" s="119">
        <v>29908.355716063401</v>
      </c>
      <c r="G65" s="111"/>
      <c r="H65" s="122"/>
      <c r="I65" s="118">
        <v>0</v>
      </c>
      <c r="J65" s="118"/>
      <c r="K65" s="111"/>
      <c r="L65" s="119">
        <v>29908.355716063401</v>
      </c>
    </row>
    <row r="66" spans="1:12" x14ac:dyDescent="0.3">
      <c r="A66" s="111" t="s">
        <v>86</v>
      </c>
      <c r="B66" s="111"/>
      <c r="C66" s="118">
        <v>181056.09138186453</v>
      </c>
      <c r="D66" s="118">
        <v>89622.76523402294</v>
      </c>
      <c r="E66" s="111"/>
      <c r="F66" s="119">
        <v>69905.756882537898</v>
      </c>
      <c r="G66" s="111"/>
      <c r="H66" s="122"/>
      <c r="I66" s="118">
        <v>0</v>
      </c>
      <c r="J66" s="118"/>
      <c r="K66" s="111"/>
      <c r="L66" s="119">
        <v>69905.756882537898</v>
      </c>
    </row>
    <row r="67" spans="1:12" x14ac:dyDescent="0.3">
      <c r="A67" s="111" t="s">
        <v>87</v>
      </c>
      <c r="B67" s="111"/>
      <c r="C67" s="118">
        <v>77462.718767322978</v>
      </c>
      <c r="D67" s="118">
        <v>38344.045789824871</v>
      </c>
      <c r="E67" s="111"/>
      <c r="F67" s="119">
        <v>29908.355716063401</v>
      </c>
      <c r="G67" s="111"/>
      <c r="H67" s="122"/>
      <c r="I67" s="118">
        <v>0</v>
      </c>
      <c r="J67" s="118"/>
      <c r="K67" s="111"/>
      <c r="L67" s="119">
        <v>29908.355716063401</v>
      </c>
    </row>
    <row r="68" spans="1:12" x14ac:dyDescent="0.3">
      <c r="A68" s="111" t="s">
        <v>88</v>
      </c>
      <c r="B68" s="111"/>
      <c r="C68" s="118">
        <v>887498.34757725231</v>
      </c>
      <c r="D68" s="118">
        <v>439311.68205073988</v>
      </c>
      <c r="E68" s="111"/>
      <c r="F68" s="119">
        <v>342663.11199957714</v>
      </c>
      <c r="G68" s="111"/>
      <c r="H68" s="122">
        <v>66675.600000000006</v>
      </c>
      <c r="I68" s="118">
        <v>52006.968000000008</v>
      </c>
      <c r="J68" s="118"/>
      <c r="K68" s="111"/>
      <c r="L68" s="119">
        <v>394670.07999957714</v>
      </c>
    </row>
    <row r="69" spans="1:12" x14ac:dyDescent="0.3">
      <c r="A69" s="111" t="s">
        <v>89</v>
      </c>
      <c r="B69" s="111"/>
      <c r="C69" s="118">
        <v>169740.10503617767</v>
      </c>
      <c r="D69" s="118">
        <v>84021.351992907948</v>
      </c>
      <c r="E69" s="111"/>
      <c r="F69" s="119">
        <v>65536.654554468201</v>
      </c>
      <c r="G69" s="111"/>
      <c r="H69" s="122"/>
      <c r="I69" s="118">
        <v>0</v>
      </c>
      <c r="J69" s="118"/>
      <c r="K69" s="111"/>
      <c r="L69" s="119">
        <v>65536.654554468201</v>
      </c>
    </row>
    <row r="70" spans="1:12" x14ac:dyDescent="0.3">
      <c r="A70" s="111" t="s">
        <v>90</v>
      </c>
      <c r="B70" s="111"/>
      <c r="C70" s="118">
        <v>1738893.1810423059</v>
      </c>
      <c r="D70" s="118">
        <v>860752.12461594143</v>
      </c>
      <c r="E70" s="111"/>
      <c r="F70" s="119">
        <v>671386.65720043436</v>
      </c>
      <c r="G70" s="111"/>
      <c r="H70" s="122">
        <v>112956.68</v>
      </c>
      <c r="I70" s="118">
        <v>88106.210399999996</v>
      </c>
      <c r="J70" s="118"/>
      <c r="K70" s="111"/>
      <c r="L70" s="119">
        <v>759492.86760043434</v>
      </c>
    </row>
    <row r="71" spans="1:12" x14ac:dyDescent="0.3">
      <c r="A71" s="111" t="s">
        <v>91</v>
      </c>
      <c r="B71" s="111"/>
      <c r="C71" s="118">
        <v>109926.95688911418</v>
      </c>
      <c r="D71" s="118">
        <v>54413.843660111517</v>
      </c>
      <c r="E71" s="111"/>
      <c r="F71" s="119">
        <v>42442.798054886982</v>
      </c>
      <c r="G71" s="111"/>
      <c r="H71" s="122">
        <v>9786.4599999999991</v>
      </c>
      <c r="I71" s="118">
        <v>7633.4387999999999</v>
      </c>
      <c r="J71" s="118"/>
      <c r="K71" s="111"/>
      <c r="L71" s="119">
        <v>50076.236854886985</v>
      </c>
    </row>
    <row r="72" spans="1:12" ht="16.2" x14ac:dyDescent="0.45">
      <c r="A72" s="111" t="s">
        <v>92</v>
      </c>
      <c r="B72" s="111"/>
      <c r="C72" s="126">
        <v>1385402.6763400985</v>
      </c>
      <c r="D72" s="126">
        <v>685774.32478834875</v>
      </c>
      <c r="E72" s="111"/>
      <c r="F72" s="127">
        <v>534903.97333491209</v>
      </c>
      <c r="G72" s="111"/>
      <c r="H72" s="128">
        <v>145371.01999999999</v>
      </c>
      <c r="I72" s="129">
        <v>113389.39559999999</v>
      </c>
      <c r="J72" s="130"/>
      <c r="K72" s="130"/>
      <c r="L72" s="131">
        <v>648293.36893491214</v>
      </c>
    </row>
    <row r="73" spans="1:12" x14ac:dyDescent="0.3">
      <c r="A73" s="111"/>
      <c r="B73" s="111"/>
      <c r="C73" s="118"/>
      <c r="D73" s="118"/>
      <c r="E73" s="111"/>
      <c r="F73" s="119"/>
      <c r="G73" s="111"/>
      <c r="H73" s="122"/>
      <c r="I73" s="111"/>
      <c r="J73" s="111"/>
      <c r="K73" s="111"/>
      <c r="L73" s="119"/>
    </row>
    <row r="74" spans="1:12" x14ac:dyDescent="0.3">
      <c r="A74" s="111" t="s">
        <v>6</v>
      </c>
      <c r="B74" s="111"/>
      <c r="C74" s="118">
        <v>54223231.690279804</v>
      </c>
      <c r="D74" s="118">
        <v>26840499.686688513</v>
      </c>
      <c r="E74" s="111"/>
      <c r="F74" s="119">
        <v>20935589.755617034</v>
      </c>
      <c r="G74" s="111"/>
      <c r="H74" s="132">
        <v>2955297.59108664</v>
      </c>
      <c r="I74" s="119">
        <v>2305132.1210475788</v>
      </c>
      <c r="J74" s="118">
        <v>1467969.25</v>
      </c>
      <c r="K74" s="118">
        <v>1145016.0150000001</v>
      </c>
      <c r="L74" s="119">
        <v>24385737.891664613</v>
      </c>
    </row>
    <row r="75" spans="1:12" x14ac:dyDescent="0.3">
      <c r="A75" s="111"/>
      <c r="B75" s="111"/>
      <c r="C75" s="118"/>
      <c r="D75" s="118"/>
      <c r="E75" s="111"/>
      <c r="F75" s="119"/>
      <c r="G75" s="111"/>
      <c r="H75" s="122"/>
      <c r="I75" s="111"/>
      <c r="J75" s="111"/>
      <c r="K75" s="111"/>
      <c r="L75" s="119"/>
    </row>
    <row r="76" spans="1:12" x14ac:dyDescent="0.3">
      <c r="A76" s="111" t="s">
        <v>407</v>
      </c>
      <c r="B76" s="111"/>
      <c r="C76" s="111"/>
      <c r="D76" s="111"/>
      <c r="E76" s="111"/>
      <c r="F76" s="119"/>
      <c r="G76" s="111"/>
      <c r="H76" s="122"/>
      <c r="I76" s="111"/>
      <c r="J76" s="111"/>
      <c r="K76" s="111"/>
      <c r="L76" s="119"/>
    </row>
    <row r="77" spans="1:12" x14ac:dyDescent="0.3">
      <c r="A77" s="111"/>
      <c r="B77" s="111"/>
      <c r="C77" s="111"/>
      <c r="D77" s="111"/>
      <c r="E77" s="111"/>
      <c r="F77" s="119"/>
      <c r="G77" s="111"/>
      <c r="H77" s="122"/>
      <c r="I77" s="111"/>
      <c r="J77" s="111"/>
      <c r="K77" s="111"/>
      <c r="L77" s="119"/>
    </row>
    <row r="78" spans="1:12" ht="15.6" x14ac:dyDescent="0.3">
      <c r="A78" s="133" t="s">
        <v>263</v>
      </c>
      <c r="B78" s="111"/>
      <c r="C78" s="111"/>
      <c r="D78" s="111"/>
      <c r="E78" s="111"/>
      <c r="F78" s="111"/>
      <c r="G78" s="111"/>
      <c r="H78" s="118">
        <v>178962.07629058108</v>
      </c>
      <c r="I78" s="119">
        <v>139590.41950665324</v>
      </c>
      <c r="J78" s="111"/>
      <c r="K78" s="111"/>
      <c r="L78" s="119">
        <v>139590.41950665324</v>
      </c>
    </row>
    <row r="79" spans="1:12" ht="15.6" x14ac:dyDescent="0.3">
      <c r="A79" s="133" t="s">
        <v>264</v>
      </c>
      <c r="B79" s="111"/>
      <c r="C79" s="111"/>
      <c r="D79" s="111"/>
      <c r="E79" s="111"/>
      <c r="F79" s="111"/>
      <c r="G79" s="111"/>
      <c r="H79" s="118">
        <v>159666.86330377465</v>
      </c>
      <c r="I79" s="119">
        <v>124540.15337694423</v>
      </c>
      <c r="J79" s="111"/>
      <c r="K79" s="111"/>
      <c r="L79" s="119">
        <v>124540.15337694423</v>
      </c>
    </row>
    <row r="80" spans="1:12" ht="15.6" x14ac:dyDescent="0.3">
      <c r="A80" s="133" t="s">
        <v>265</v>
      </c>
      <c r="B80" s="111"/>
      <c r="C80" s="111"/>
      <c r="D80" s="111"/>
      <c r="E80" s="111"/>
      <c r="F80" s="111"/>
      <c r="G80" s="111"/>
      <c r="H80" s="118">
        <v>103677.86173627451</v>
      </c>
      <c r="I80" s="119">
        <v>80868.732154294121</v>
      </c>
      <c r="J80" s="111"/>
      <c r="K80" s="111"/>
      <c r="L80" s="119">
        <v>80868.732154294121</v>
      </c>
    </row>
    <row r="81" spans="1:12" ht="15.6" x14ac:dyDescent="0.3">
      <c r="A81" s="133" t="s">
        <v>266</v>
      </c>
      <c r="B81" s="111"/>
      <c r="C81" s="111"/>
      <c r="D81" s="111"/>
      <c r="E81" s="111"/>
      <c r="F81" s="111"/>
      <c r="G81" s="111"/>
      <c r="H81" s="118">
        <v>98171.191523967078</v>
      </c>
      <c r="I81" s="119">
        <v>76573.529388694325</v>
      </c>
      <c r="J81" s="111"/>
      <c r="K81" s="111"/>
      <c r="L81" s="119">
        <v>76573.529388694325</v>
      </c>
    </row>
    <row r="82" spans="1:12" ht="15.6" x14ac:dyDescent="0.3">
      <c r="A82" s="133" t="s">
        <v>368</v>
      </c>
      <c r="B82" s="111"/>
      <c r="C82" s="111"/>
      <c r="D82" s="111"/>
      <c r="E82" s="111"/>
      <c r="F82" s="111"/>
      <c r="G82" s="111"/>
      <c r="H82" s="118">
        <v>74978.62674318823</v>
      </c>
      <c r="I82" s="119">
        <v>58483.328859686822</v>
      </c>
      <c r="J82" s="111"/>
      <c r="K82" s="111"/>
      <c r="L82" s="119">
        <v>58483.328859686822</v>
      </c>
    </row>
    <row r="83" spans="1:12" ht="15.6" x14ac:dyDescent="0.3">
      <c r="A83" s="133" t="s">
        <v>267</v>
      </c>
      <c r="B83" s="111"/>
      <c r="C83" s="111"/>
      <c r="D83" s="111"/>
      <c r="E83" s="111"/>
      <c r="F83" s="111"/>
      <c r="G83" s="111"/>
      <c r="H83" s="118">
        <v>147926.09102443259</v>
      </c>
      <c r="I83" s="119">
        <v>115382.35099905742</v>
      </c>
      <c r="J83" s="111"/>
      <c r="K83" s="111"/>
      <c r="L83" s="119">
        <v>115382.35099905742</v>
      </c>
    </row>
    <row r="84" spans="1:12" ht="15.6" x14ac:dyDescent="0.3">
      <c r="A84" s="133" t="s">
        <v>268</v>
      </c>
      <c r="B84" s="111"/>
      <c r="C84" s="111"/>
      <c r="D84" s="111"/>
      <c r="E84" s="111"/>
      <c r="F84" s="111"/>
      <c r="G84" s="111"/>
      <c r="H84" s="118">
        <v>86625.286834323633</v>
      </c>
      <c r="I84" s="119">
        <v>67567.723730772443</v>
      </c>
      <c r="J84" s="111"/>
      <c r="K84" s="111"/>
      <c r="L84" s="119">
        <v>67567.723730772443</v>
      </c>
    </row>
    <row r="85" spans="1:12" ht="15.6" x14ac:dyDescent="0.3">
      <c r="A85" s="133" t="s">
        <v>269</v>
      </c>
      <c r="B85" s="111"/>
      <c r="C85" s="111"/>
      <c r="D85" s="111"/>
      <c r="E85" s="111"/>
      <c r="F85" s="111"/>
      <c r="G85" s="111"/>
      <c r="H85" s="118">
        <v>79276.23213759283</v>
      </c>
      <c r="I85" s="119">
        <v>61835.461067322409</v>
      </c>
      <c r="J85" s="111"/>
      <c r="K85" s="111"/>
      <c r="L85" s="119">
        <v>61835.461067322409</v>
      </c>
    </row>
    <row r="86" spans="1:12" ht="15.6" x14ac:dyDescent="0.3">
      <c r="A86" s="133" t="s">
        <v>270</v>
      </c>
      <c r="B86" s="111"/>
      <c r="C86" s="111"/>
      <c r="D86" s="111"/>
      <c r="E86" s="111"/>
      <c r="F86" s="111"/>
      <c r="G86" s="111"/>
      <c r="H86" s="118">
        <v>118705.91738956672</v>
      </c>
      <c r="I86" s="119">
        <v>92590.61556386204</v>
      </c>
      <c r="J86" s="111"/>
      <c r="K86" s="111"/>
      <c r="L86" s="119">
        <v>92590.61556386204</v>
      </c>
    </row>
    <row r="87" spans="1:12" ht="15.6" x14ac:dyDescent="0.3">
      <c r="A87" s="133" t="s">
        <v>271</v>
      </c>
      <c r="B87" s="111"/>
      <c r="C87" s="111"/>
      <c r="D87" s="111"/>
      <c r="E87" s="111"/>
      <c r="F87" s="111"/>
      <c r="G87" s="111"/>
      <c r="H87" s="118">
        <v>22299.606195029206</v>
      </c>
      <c r="I87" s="119">
        <v>17393.692832122782</v>
      </c>
      <c r="J87" s="111"/>
      <c r="K87" s="111"/>
      <c r="L87" s="119">
        <v>17393.692832122782</v>
      </c>
    </row>
    <row r="88" spans="1:12" ht="15.6" x14ac:dyDescent="0.3">
      <c r="A88" s="133" t="s">
        <v>371</v>
      </c>
      <c r="B88" s="111"/>
      <c r="C88" s="111"/>
      <c r="D88" s="111"/>
      <c r="E88" s="111"/>
      <c r="F88" s="111"/>
      <c r="G88" s="111"/>
      <c r="H88" s="118">
        <v>40080.396698233497</v>
      </c>
      <c r="I88" s="119">
        <v>31262.709424622128</v>
      </c>
      <c r="J88" s="111"/>
      <c r="K88" s="111"/>
      <c r="L88" s="119">
        <v>31262.709424622128</v>
      </c>
    </row>
    <row r="89" spans="1:12" ht="15.6" x14ac:dyDescent="0.3">
      <c r="A89" s="133" t="s">
        <v>372</v>
      </c>
      <c r="B89" s="111"/>
      <c r="C89" s="111"/>
      <c r="D89" s="111"/>
      <c r="E89" s="111"/>
      <c r="F89" s="111"/>
      <c r="G89" s="111"/>
      <c r="H89" s="118">
        <v>19812.318625348737</v>
      </c>
      <c r="I89" s="119">
        <v>15453.608527772016</v>
      </c>
      <c r="J89" s="111"/>
      <c r="K89" s="111"/>
      <c r="L89" s="119">
        <v>15453.608527772016</v>
      </c>
    </row>
    <row r="90" spans="1:12" ht="15.6" x14ac:dyDescent="0.3">
      <c r="A90" s="133" t="s">
        <v>373</v>
      </c>
      <c r="B90" s="111"/>
      <c r="C90" s="111"/>
      <c r="D90" s="111"/>
      <c r="E90" s="111"/>
      <c r="F90" s="111"/>
      <c r="G90" s="111"/>
      <c r="H90" s="118">
        <v>19572.923333333336</v>
      </c>
      <c r="I90" s="119">
        <v>15266.880200000003</v>
      </c>
      <c r="J90" s="111"/>
      <c r="K90" s="111"/>
      <c r="L90" s="119">
        <v>15266.880200000003</v>
      </c>
    </row>
    <row r="91" spans="1:12" ht="15.6" x14ac:dyDescent="0.3">
      <c r="A91" s="133" t="s">
        <v>374</v>
      </c>
      <c r="B91" s="111"/>
      <c r="C91" s="111"/>
      <c r="D91" s="111"/>
      <c r="E91" s="111"/>
      <c r="F91" s="111"/>
      <c r="G91" s="111"/>
      <c r="H91" s="118">
        <v>3914.5846666666675</v>
      </c>
      <c r="I91" s="119">
        <v>3053.376040000001</v>
      </c>
      <c r="J91" s="111"/>
      <c r="K91" s="111"/>
      <c r="L91" s="119">
        <v>3053.376040000001</v>
      </c>
    </row>
    <row r="92" spans="1:12" ht="15.6" x14ac:dyDescent="0.3">
      <c r="A92" s="133" t="s">
        <v>375</v>
      </c>
      <c r="B92" s="111"/>
      <c r="C92" s="111"/>
      <c r="D92" s="111"/>
      <c r="E92" s="111"/>
      <c r="F92" s="111"/>
      <c r="G92" s="111"/>
      <c r="H92" s="118">
        <v>9786.461666666668</v>
      </c>
      <c r="I92" s="119">
        <v>7633.4401000000016</v>
      </c>
      <c r="J92" s="111"/>
      <c r="K92" s="111"/>
      <c r="L92" s="119">
        <v>7633.4401000000016</v>
      </c>
    </row>
    <row r="93" spans="1:12" ht="15.6" x14ac:dyDescent="0.3">
      <c r="A93" s="133" t="s">
        <v>376</v>
      </c>
      <c r="B93" s="111"/>
      <c r="C93" s="111"/>
      <c r="D93" s="111"/>
      <c r="E93" s="111"/>
      <c r="F93" s="111"/>
      <c r="G93" s="111"/>
      <c r="H93" s="118">
        <v>3914.5846666666675</v>
      </c>
      <c r="I93" s="119">
        <v>3053.376040000001</v>
      </c>
      <c r="J93" s="111"/>
      <c r="K93" s="111"/>
      <c r="L93" s="119">
        <v>3053.376040000001</v>
      </c>
    </row>
    <row r="94" spans="1:12" ht="15.6" x14ac:dyDescent="0.3">
      <c r="A94" s="133" t="s">
        <v>377</v>
      </c>
      <c r="B94" s="111"/>
      <c r="C94" s="111"/>
      <c r="D94" s="111"/>
      <c r="E94" s="111"/>
      <c r="F94" s="111"/>
      <c r="G94" s="111"/>
      <c r="H94" s="118">
        <v>3914.5846666666675</v>
      </c>
      <c r="I94" s="119">
        <v>3053.376040000001</v>
      </c>
      <c r="J94" s="111"/>
      <c r="K94" s="111"/>
      <c r="L94" s="119">
        <v>3053.376040000001</v>
      </c>
    </row>
    <row r="95" spans="1:12" ht="15.6" x14ac:dyDescent="0.3">
      <c r="A95" s="133" t="s">
        <v>408</v>
      </c>
      <c r="B95" s="111"/>
      <c r="C95" s="111"/>
      <c r="D95" s="111"/>
      <c r="E95" s="111"/>
      <c r="F95" s="111"/>
      <c r="G95" s="111"/>
      <c r="H95" s="118">
        <v>9786.461666666668</v>
      </c>
      <c r="I95" s="119">
        <v>7633.4401000000016</v>
      </c>
      <c r="J95" s="111"/>
      <c r="K95" s="111"/>
      <c r="L95" s="119">
        <v>7633.4401000000016</v>
      </c>
    </row>
    <row r="96" spans="1:12" ht="15.6" x14ac:dyDescent="0.3">
      <c r="A96" s="133" t="s">
        <v>379</v>
      </c>
      <c r="B96" s="111"/>
      <c r="C96" s="111"/>
      <c r="D96" s="111"/>
      <c r="E96" s="111"/>
      <c r="F96" s="111"/>
      <c r="G96" s="111"/>
      <c r="H96" s="118">
        <v>3914.5846666666675</v>
      </c>
      <c r="I96" s="119">
        <v>3053.376040000001</v>
      </c>
      <c r="J96" s="111"/>
      <c r="K96" s="111"/>
      <c r="L96" s="119">
        <v>3053.376040000001</v>
      </c>
    </row>
    <row r="97" spans="1:12" ht="15.6" x14ac:dyDescent="0.3">
      <c r="A97" s="133" t="s">
        <v>380</v>
      </c>
      <c r="B97" s="111"/>
      <c r="C97" s="111"/>
      <c r="D97" s="111"/>
      <c r="E97" s="111"/>
      <c r="F97" s="111"/>
      <c r="G97" s="111"/>
      <c r="H97" s="118">
        <v>9786.461666666668</v>
      </c>
      <c r="I97" s="119">
        <v>7633.4401000000016</v>
      </c>
      <c r="J97" s="111"/>
      <c r="K97" s="111"/>
      <c r="L97" s="119">
        <v>7633.4401000000016</v>
      </c>
    </row>
    <row r="98" spans="1:12" ht="15.6" x14ac:dyDescent="0.3">
      <c r="A98" s="133" t="s">
        <v>381</v>
      </c>
      <c r="B98" s="111"/>
      <c r="C98" s="111"/>
      <c r="D98" s="111"/>
      <c r="E98" s="111"/>
      <c r="F98" s="111"/>
      <c r="G98" s="111"/>
      <c r="H98" s="118">
        <v>9786.461666666668</v>
      </c>
      <c r="I98" s="119">
        <v>7633.4401000000016</v>
      </c>
      <c r="J98" s="111"/>
      <c r="K98" s="111"/>
      <c r="L98" s="119">
        <v>7633.4401000000016</v>
      </c>
    </row>
    <row r="99" spans="1:12" ht="15.6" x14ac:dyDescent="0.3">
      <c r="A99" s="133" t="s">
        <v>382</v>
      </c>
      <c r="B99" s="111"/>
      <c r="C99" s="111"/>
      <c r="D99" s="111"/>
      <c r="E99" s="111"/>
      <c r="F99" s="111"/>
      <c r="G99" s="111"/>
      <c r="H99" s="118">
        <v>9786.461666666668</v>
      </c>
      <c r="I99" s="119">
        <v>7633.4401000000016</v>
      </c>
      <c r="J99" s="111"/>
      <c r="K99" s="111"/>
      <c r="L99" s="119">
        <v>7633.4401000000016</v>
      </c>
    </row>
    <row r="100" spans="1:12" ht="15.6" x14ac:dyDescent="0.3">
      <c r="A100" s="133" t="s">
        <v>272</v>
      </c>
      <c r="B100" s="111"/>
      <c r="C100" s="111"/>
      <c r="D100" s="111"/>
      <c r="E100" s="111"/>
      <c r="F100" s="111"/>
      <c r="G100" s="111"/>
      <c r="H100" s="118">
        <v>10567.504171380569</v>
      </c>
      <c r="I100" s="119">
        <v>8242.6532536768445</v>
      </c>
      <c r="J100" s="111"/>
      <c r="K100" s="111"/>
      <c r="L100" s="119">
        <v>8242.6532536768445</v>
      </c>
    </row>
    <row r="101" spans="1:12" ht="15.6" x14ac:dyDescent="0.3">
      <c r="A101" s="133" t="s">
        <v>273</v>
      </c>
      <c r="B101" s="111"/>
      <c r="C101" s="111"/>
      <c r="D101" s="111"/>
      <c r="E101" s="111"/>
      <c r="F101" s="111"/>
      <c r="G101" s="111"/>
      <c r="H101" s="118">
        <v>9786.461666666668</v>
      </c>
      <c r="I101" s="119">
        <v>7633.4401000000016</v>
      </c>
      <c r="J101" s="111"/>
      <c r="K101" s="111"/>
      <c r="L101" s="119">
        <v>7633.4401000000016</v>
      </c>
    </row>
    <row r="102" spans="1:12" ht="15.6" x14ac:dyDescent="0.3">
      <c r="A102" s="133" t="s">
        <v>275</v>
      </c>
      <c r="B102" s="111"/>
      <c r="C102" s="111"/>
      <c r="D102" s="111"/>
      <c r="E102" s="111"/>
      <c r="F102" s="111"/>
      <c r="G102" s="111"/>
      <c r="H102" s="118">
        <v>14663.287885785454</v>
      </c>
      <c r="I102" s="119">
        <v>11437.364550912655</v>
      </c>
      <c r="J102" s="111"/>
      <c r="K102" s="111"/>
      <c r="L102" s="119">
        <v>11437.364550912655</v>
      </c>
    </row>
    <row r="103" spans="1:12" ht="15.6" x14ac:dyDescent="0.3">
      <c r="A103" s="133" t="s">
        <v>276</v>
      </c>
      <c r="B103" s="111"/>
      <c r="C103" s="111"/>
      <c r="D103" s="111"/>
      <c r="E103" s="111"/>
      <c r="F103" s="111"/>
      <c r="G103" s="111"/>
      <c r="H103" s="118">
        <v>3914.5846666666675</v>
      </c>
      <c r="I103" s="119">
        <v>3053.376040000001</v>
      </c>
      <c r="J103" s="111"/>
      <c r="K103" s="111"/>
      <c r="L103" s="119">
        <v>3053.376040000001</v>
      </c>
    </row>
    <row r="104" spans="1:12" ht="15.6" x14ac:dyDescent="0.3">
      <c r="A104" s="133" t="s">
        <v>277</v>
      </c>
      <c r="B104" s="111"/>
      <c r="C104" s="111"/>
      <c r="D104" s="111"/>
      <c r="E104" s="111"/>
      <c r="F104" s="111"/>
      <c r="G104" s="111"/>
      <c r="H104" s="118">
        <v>9786.461666666668</v>
      </c>
      <c r="I104" s="119">
        <v>7633.4401000000016</v>
      </c>
      <c r="J104" s="111"/>
      <c r="K104" s="111"/>
      <c r="L104" s="119">
        <v>7633.4401000000016</v>
      </c>
    </row>
    <row r="105" spans="1:12" ht="15.6" x14ac:dyDescent="0.3">
      <c r="A105" s="133" t="s">
        <v>279</v>
      </c>
      <c r="B105" s="111"/>
      <c r="C105" s="111"/>
      <c r="D105" s="111"/>
      <c r="E105" s="111"/>
      <c r="F105" s="111"/>
      <c r="G105" s="111"/>
      <c r="H105" s="118">
        <v>9786.461666666668</v>
      </c>
      <c r="I105" s="119">
        <v>7633.4401000000016</v>
      </c>
      <c r="J105" s="111"/>
      <c r="K105" s="111"/>
      <c r="L105" s="119">
        <v>7633.4401000000016</v>
      </c>
    </row>
    <row r="106" spans="1:12" ht="15.6" x14ac:dyDescent="0.3">
      <c r="A106" s="133" t="s">
        <v>280</v>
      </c>
      <c r="B106" s="111"/>
      <c r="C106" s="111"/>
      <c r="D106" s="111"/>
      <c r="E106" s="111"/>
      <c r="F106" s="111"/>
      <c r="G106" s="111"/>
      <c r="H106" s="118">
        <v>11385.386953541667</v>
      </c>
      <c r="I106" s="119">
        <v>8880.6018237625012</v>
      </c>
      <c r="J106" s="111"/>
      <c r="K106" s="111"/>
      <c r="L106" s="119">
        <v>8880.6018237625012</v>
      </c>
    </row>
    <row r="107" spans="1:12" ht="15.6" x14ac:dyDescent="0.3">
      <c r="A107" s="133" t="s">
        <v>281</v>
      </c>
      <c r="B107" s="111"/>
      <c r="C107" s="111"/>
      <c r="D107" s="111"/>
      <c r="E107" s="111"/>
      <c r="F107" s="111"/>
      <c r="G107" s="111"/>
      <c r="H107" s="118">
        <v>96493.288315471422</v>
      </c>
      <c r="I107" s="119">
        <v>75264.764886067715</v>
      </c>
      <c r="J107" s="111"/>
      <c r="K107" s="111"/>
      <c r="L107" s="119">
        <v>75264.764886067715</v>
      </c>
    </row>
    <row r="108" spans="1:12" ht="15.6" x14ac:dyDescent="0.3">
      <c r="A108" s="133" t="s">
        <v>282</v>
      </c>
      <c r="B108" s="111"/>
      <c r="C108" s="111"/>
      <c r="D108" s="111"/>
      <c r="E108" s="111"/>
      <c r="F108" s="111"/>
      <c r="G108" s="111"/>
      <c r="H108" s="118">
        <v>3914.5846666666675</v>
      </c>
      <c r="I108" s="119">
        <v>3053.376040000001</v>
      </c>
      <c r="J108" s="111"/>
      <c r="K108" s="111"/>
      <c r="L108" s="119">
        <v>3053.376040000001</v>
      </c>
    </row>
    <row r="109" spans="1:12" ht="15.6" x14ac:dyDescent="0.3">
      <c r="A109" s="133" t="s">
        <v>284</v>
      </c>
      <c r="B109" s="111"/>
      <c r="C109" s="111"/>
      <c r="D109" s="111"/>
      <c r="E109" s="111"/>
      <c r="F109" s="111"/>
      <c r="G109" s="111"/>
      <c r="H109" s="118">
        <v>3914.5846666666675</v>
      </c>
      <c r="I109" s="119">
        <v>3053.376040000001</v>
      </c>
      <c r="J109" s="111"/>
      <c r="K109" s="111"/>
      <c r="L109" s="119">
        <v>3053.376040000001</v>
      </c>
    </row>
    <row r="110" spans="1:12" ht="15.6" x14ac:dyDescent="0.3">
      <c r="A110" s="133" t="s">
        <v>287</v>
      </c>
      <c r="B110" s="111"/>
      <c r="C110" s="111"/>
      <c r="D110" s="111"/>
      <c r="E110" s="111"/>
      <c r="F110" s="111"/>
      <c r="G110" s="111"/>
      <c r="H110" s="118">
        <v>10702.225517507572</v>
      </c>
      <c r="I110" s="119">
        <v>8347.7359036559064</v>
      </c>
      <c r="J110" s="111"/>
      <c r="K110" s="111"/>
      <c r="L110" s="119">
        <v>8347.7359036559064</v>
      </c>
    </row>
    <row r="111" spans="1:12" ht="15.6" x14ac:dyDescent="0.3">
      <c r="A111" s="133" t="s">
        <v>288</v>
      </c>
      <c r="B111" s="111"/>
      <c r="C111" s="111"/>
      <c r="D111" s="111"/>
      <c r="E111" s="111"/>
      <c r="F111" s="111"/>
      <c r="G111" s="111"/>
      <c r="H111" s="118">
        <v>9786.461666666668</v>
      </c>
      <c r="I111" s="119">
        <v>7633.4401000000016</v>
      </c>
      <c r="J111" s="111"/>
      <c r="K111" s="111"/>
      <c r="L111" s="119">
        <v>7633.4401000000016</v>
      </c>
    </row>
    <row r="112" spans="1:12" ht="15.6" x14ac:dyDescent="0.3">
      <c r="A112" s="133" t="s">
        <v>289</v>
      </c>
      <c r="B112" s="111"/>
      <c r="C112" s="111"/>
      <c r="D112" s="111"/>
      <c r="E112" s="111"/>
      <c r="F112" s="111"/>
      <c r="G112" s="111"/>
      <c r="H112" s="118">
        <v>9786.461666666668</v>
      </c>
      <c r="I112" s="119">
        <v>7633.4401000000016</v>
      </c>
      <c r="J112" s="111"/>
      <c r="K112" s="111"/>
      <c r="L112" s="119">
        <v>7633.4401000000016</v>
      </c>
    </row>
    <row r="113" spans="1:12" ht="15.6" x14ac:dyDescent="0.3">
      <c r="A113" s="133" t="s">
        <v>290</v>
      </c>
      <c r="B113" s="111"/>
      <c r="C113" s="111"/>
      <c r="D113" s="111"/>
      <c r="E113" s="111"/>
      <c r="F113" s="111"/>
      <c r="G113" s="111"/>
      <c r="H113" s="118">
        <v>3914.5846666666675</v>
      </c>
      <c r="I113" s="119">
        <v>3053.376040000001</v>
      </c>
      <c r="J113" s="111"/>
      <c r="K113" s="111"/>
      <c r="L113" s="119">
        <v>3053.376040000001</v>
      </c>
    </row>
    <row r="114" spans="1:12" ht="15.6" x14ac:dyDescent="0.3">
      <c r="A114" s="133" t="s">
        <v>383</v>
      </c>
      <c r="B114" s="111"/>
      <c r="C114" s="111"/>
      <c r="D114" s="111"/>
      <c r="E114" s="111"/>
      <c r="F114" s="111"/>
      <c r="G114" s="111"/>
      <c r="H114" s="118">
        <v>14118.032697678056</v>
      </c>
      <c r="I114" s="119">
        <v>11012.065504188884</v>
      </c>
      <c r="J114" s="111"/>
      <c r="K114" s="111"/>
      <c r="L114" s="119">
        <v>11012.065504188884</v>
      </c>
    </row>
    <row r="115" spans="1:12" ht="15.6" x14ac:dyDescent="0.3">
      <c r="A115" s="133" t="s">
        <v>384</v>
      </c>
      <c r="B115" s="111"/>
      <c r="C115" s="111"/>
      <c r="D115" s="111"/>
      <c r="E115" s="111"/>
      <c r="F115" s="111"/>
      <c r="G115" s="111"/>
      <c r="H115" s="118">
        <v>3914.5846666666675</v>
      </c>
      <c r="I115" s="119">
        <v>3053.376040000001</v>
      </c>
      <c r="J115" s="111"/>
      <c r="K115" s="111"/>
      <c r="L115" s="119">
        <v>3053.376040000001</v>
      </c>
    </row>
    <row r="116" spans="1:12" ht="15.6" x14ac:dyDescent="0.3">
      <c r="A116" s="133" t="s">
        <v>291</v>
      </c>
      <c r="B116" s="111"/>
      <c r="C116" s="111"/>
      <c r="D116" s="111"/>
      <c r="E116" s="111"/>
      <c r="F116" s="111"/>
      <c r="G116" s="111"/>
      <c r="H116" s="118">
        <v>3914.5846666666675</v>
      </c>
      <c r="I116" s="119">
        <v>3053.376040000001</v>
      </c>
      <c r="J116" s="111"/>
      <c r="K116" s="111"/>
      <c r="L116" s="119">
        <v>3053.376040000001</v>
      </c>
    </row>
    <row r="117" spans="1:12" ht="17.399999999999999" x14ac:dyDescent="0.45">
      <c r="A117" s="133" t="s">
        <v>292</v>
      </c>
      <c r="B117" s="111"/>
      <c r="C117" s="111"/>
      <c r="D117" s="111"/>
      <c r="E117" s="111"/>
      <c r="F117" s="111"/>
      <c r="G117" s="111"/>
      <c r="H117" s="126">
        <v>3914.5846666666675</v>
      </c>
      <c r="I117" s="127">
        <v>3053.376040000001</v>
      </c>
      <c r="J117" s="111"/>
      <c r="K117" s="111"/>
      <c r="L117" s="127">
        <v>3053.376040000001</v>
      </c>
    </row>
    <row r="118" spans="1:12" ht="15.6" x14ac:dyDescent="0.3">
      <c r="A118" s="133"/>
      <c r="B118" s="111"/>
      <c r="C118" s="111"/>
      <c r="D118" s="111"/>
      <c r="E118" s="111"/>
      <c r="F118" s="119"/>
      <c r="G118" s="111"/>
      <c r="H118" s="118"/>
      <c r="I118" s="111"/>
      <c r="J118" s="111"/>
      <c r="K118" s="111"/>
      <c r="L118" s="119"/>
    </row>
    <row r="119" spans="1:12" x14ac:dyDescent="0.3">
      <c r="A119" s="111"/>
      <c r="B119" s="111"/>
      <c r="C119" s="111"/>
      <c r="D119" s="118"/>
      <c r="E119" s="111"/>
      <c r="F119" s="119"/>
      <c r="G119" s="111"/>
      <c r="H119" s="118">
        <v>1448610.1653770099</v>
      </c>
      <c r="I119" s="119">
        <v>1129915.9289940686</v>
      </c>
      <c r="J119" s="111"/>
      <c r="K119" s="111"/>
      <c r="L119" s="119">
        <v>1129915.9289940686</v>
      </c>
    </row>
    <row r="120" spans="1:12" ht="15.6" x14ac:dyDescent="0.3">
      <c r="A120" s="133"/>
      <c r="B120" s="111"/>
      <c r="C120" s="111"/>
      <c r="D120" s="118"/>
      <c r="E120" s="111"/>
      <c r="F120" s="119"/>
      <c r="G120" s="111"/>
      <c r="H120" s="111"/>
      <c r="I120" s="119"/>
      <c r="J120" s="111"/>
      <c r="K120" s="111"/>
      <c r="L120" s="119"/>
    </row>
    <row r="121" spans="1:12" ht="15.6" x14ac:dyDescent="0.3">
      <c r="A121" s="133"/>
      <c r="B121" s="111"/>
      <c r="C121" s="111"/>
      <c r="D121" s="118"/>
      <c r="E121" s="111"/>
      <c r="F121" s="111"/>
      <c r="G121" s="111"/>
      <c r="H121" s="111"/>
      <c r="I121" s="111"/>
      <c r="J121" s="111"/>
      <c r="K121" s="111"/>
      <c r="L121" s="119"/>
    </row>
    <row r="122" spans="1:12" x14ac:dyDescent="0.3">
      <c r="A122" s="111" t="s">
        <v>294</v>
      </c>
      <c r="B122" s="111"/>
      <c r="C122" s="134"/>
      <c r="D122" s="118"/>
      <c r="E122" s="111"/>
      <c r="F122" s="118"/>
      <c r="G122" s="111"/>
      <c r="H122" s="118">
        <v>9348591.0700000003</v>
      </c>
      <c r="I122" s="118">
        <v>7291901.0346000008</v>
      </c>
      <c r="J122" s="111"/>
      <c r="K122" s="111"/>
      <c r="L122" s="119">
        <v>7291901.0346000008</v>
      </c>
    </row>
    <row r="123" spans="1:12" x14ac:dyDescent="0.3">
      <c r="A123" s="111" t="s">
        <v>409</v>
      </c>
      <c r="B123" s="111"/>
      <c r="C123" s="118"/>
      <c r="D123" s="118"/>
      <c r="E123" s="111"/>
      <c r="F123" s="118"/>
      <c r="G123" s="111"/>
      <c r="H123" s="118"/>
      <c r="I123" s="135">
        <v>4505067.62</v>
      </c>
      <c r="J123" s="111"/>
      <c r="K123" s="111"/>
      <c r="L123" s="118">
        <v>4505067.62</v>
      </c>
    </row>
    <row r="124" spans="1:12" x14ac:dyDescent="0.3">
      <c r="A124" s="111"/>
      <c r="B124" s="111"/>
      <c r="C124" s="111"/>
      <c r="D124" s="111"/>
      <c r="E124" s="111"/>
      <c r="F124" s="111"/>
      <c r="G124" s="111"/>
      <c r="H124" s="111"/>
      <c r="I124" s="111"/>
      <c r="J124" s="111"/>
      <c r="K124" s="111"/>
      <c r="L124" s="111"/>
    </row>
    <row r="125" spans="1:12" x14ac:dyDescent="0.3">
      <c r="A125" s="111" t="s">
        <v>410</v>
      </c>
      <c r="B125" s="111"/>
      <c r="C125" s="111"/>
      <c r="D125" s="111"/>
      <c r="E125" s="111"/>
      <c r="F125" s="119"/>
      <c r="G125" s="111"/>
      <c r="H125" s="111"/>
      <c r="I125" s="111"/>
      <c r="J125" s="111"/>
      <c r="K125" s="111"/>
      <c r="L125" s="111"/>
    </row>
    <row r="126" spans="1:12" x14ac:dyDescent="0.3">
      <c r="A126" s="111"/>
      <c r="B126" s="111"/>
      <c r="C126" s="111"/>
      <c r="D126" s="111"/>
      <c r="E126" s="111"/>
      <c r="F126" s="111"/>
      <c r="G126" s="111"/>
      <c r="H126" s="111"/>
      <c r="I126" s="119"/>
      <c r="J126" s="111"/>
      <c r="K126" s="111"/>
      <c r="L126" s="111"/>
    </row>
    <row r="127" spans="1:12" x14ac:dyDescent="0.3">
      <c r="A127" s="111"/>
      <c r="B127" s="111"/>
      <c r="C127" s="111"/>
      <c r="D127" s="111"/>
      <c r="E127" s="111"/>
      <c r="F127" s="111"/>
      <c r="G127" s="111"/>
      <c r="H127" s="111"/>
      <c r="I127" s="119"/>
      <c r="J127" s="111"/>
      <c r="K127" s="111"/>
      <c r="L127" s="111"/>
    </row>
    <row r="128" spans="1:12" x14ac:dyDescent="0.3">
      <c r="A128" s="111"/>
      <c r="B128" s="111"/>
      <c r="C128" s="111"/>
      <c r="D128" s="111"/>
      <c r="E128" s="111"/>
      <c r="F128" s="111"/>
      <c r="G128" s="111"/>
      <c r="H128" s="111"/>
      <c r="I128" s="111"/>
      <c r="J128" s="111"/>
      <c r="K128" s="111"/>
      <c r="L128" s="111"/>
    </row>
    <row r="129" spans="1:12" x14ac:dyDescent="0.3">
      <c r="A129" s="111" t="s">
        <v>411</v>
      </c>
      <c r="B129" s="111"/>
      <c r="C129" s="111"/>
      <c r="D129" s="118">
        <v>47835145.780000001</v>
      </c>
      <c r="E129" s="111"/>
      <c r="F129" s="111"/>
      <c r="G129" s="111"/>
      <c r="H129" s="119"/>
      <c r="I129" s="111"/>
      <c r="J129" s="111"/>
      <c r="K129" s="111"/>
      <c r="L129" s="111"/>
    </row>
    <row r="130" spans="1:12" x14ac:dyDescent="0.3">
      <c r="A130" s="111" t="s">
        <v>412</v>
      </c>
      <c r="B130" s="111"/>
      <c r="C130" s="111"/>
      <c r="D130" s="119">
        <v>10506460.59</v>
      </c>
      <c r="E130" s="111"/>
      <c r="F130" s="111"/>
      <c r="G130" s="111"/>
      <c r="H130" s="111"/>
      <c r="I130" s="111"/>
      <c r="J130" s="111"/>
      <c r="K130" s="111"/>
      <c r="L130" s="111"/>
    </row>
    <row r="131" spans="1:12" x14ac:dyDescent="0.3">
      <c r="A131" s="111" t="s">
        <v>306</v>
      </c>
      <c r="B131" s="111"/>
      <c r="C131" s="111"/>
      <c r="D131" s="119">
        <v>37328685.189999998</v>
      </c>
      <c r="E131" s="111"/>
      <c r="F131" s="119"/>
      <c r="G131" s="111"/>
      <c r="H131" s="111"/>
      <c r="I131" s="111"/>
      <c r="J131" s="111"/>
      <c r="K131" s="111"/>
      <c r="L131" s="111"/>
    </row>
    <row r="132" spans="1:12" x14ac:dyDescent="0.3">
      <c r="A132" s="111"/>
      <c r="B132" s="111"/>
      <c r="C132" s="111"/>
      <c r="D132" s="118"/>
      <c r="E132" s="111"/>
      <c r="F132" s="146"/>
      <c r="G132" s="119"/>
      <c r="H132" s="111"/>
      <c r="I132" s="111"/>
      <c r="J132" s="111"/>
      <c r="K132" s="111"/>
      <c r="L132" s="111"/>
    </row>
    <row r="133" spans="1:12" x14ac:dyDescent="0.3">
      <c r="A133" s="111" t="s">
        <v>413</v>
      </c>
      <c r="B133" s="111"/>
      <c r="C133" s="111"/>
      <c r="D133" s="134">
        <v>0.78036106258940696</v>
      </c>
      <c r="E133" s="111"/>
      <c r="F133" s="111"/>
      <c r="G133" s="111"/>
      <c r="H133" s="111"/>
      <c r="I133" s="111"/>
      <c r="J133" s="111"/>
      <c r="K133" s="111"/>
      <c r="L133" s="11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B11EC-A7D1-43C8-B468-9CC469875895}">
  <sheetPr>
    <tabColor rgb="FF92D050"/>
  </sheetPr>
  <dimension ref="B2:E89"/>
  <sheetViews>
    <sheetView topLeftCell="A63" workbookViewId="0">
      <selection activeCell="H11" sqref="H11"/>
    </sheetView>
  </sheetViews>
  <sheetFormatPr defaultColWidth="8.88671875" defaultRowHeight="15.6" x14ac:dyDescent="0.3"/>
  <cols>
    <col min="1" max="1" width="8.88671875" style="1"/>
    <col min="2" max="2" width="26.33203125" style="1" bestFit="1" customWidth="1"/>
    <col min="3" max="3" width="16.33203125" style="1" bestFit="1" customWidth="1"/>
    <col min="4" max="4" width="22.88671875" style="1" bestFit="1" customWidth="1"/>
    <col min="5" max="5" width="16.33203125" style="1" bestFit="1" customWidth="1"/>
    <col min="6" max="16384" width="8.88671875" style="1"/>
  </cols>
  <sheetData>
    <row r="2" spans="2:5" x14ac:dyDescent="0.3">
      <c r="B2" s="87" t="s">
        <v>4</v>
      </c>
      <c r="C2" s="87" t="s">
        <v>329</v>
      </c>
      <c r="D2" s="87" t="s">
        <v>330</v>
      </c>
      <c r="E2" s="87" t="s">
        <v>331</v>
      </c>
    </row>
    <row r="3" spans="2:5" x14ac:dyDescent="0.3">
      <c r="B3" s="1" t="s">
        <v>26</v>
      </c>
      <c r="C3" s="88">
        <v>34587.839374099938</v>
      </c>
      <c r="D3" s="88">
        <v>0</v>
      </c>
      <c r="E3" s="89">
        <f t="shared" ref="E3:E34" si="0">SUM(C3:D3)</f>
        <v>34587.839374099938</v>
      </c>
    </row>
    <row r="4" spans="2:5" x14ac:dyDescent="0.3">
      <c r="B4" s="1" t="s">
        <v>27</v>
      </c>
      <c r="C4" s="88">
        <v>1158692.6985285736</v>
      </c>
      <c r="D4" s="88">
        <v>270867.8828767516</v>
      </c>
      <c r="E4" s="89">
        <f t="shared" si="0"/>
        <v>1429560.5814053253</v>
      </c>
    </row>
    <row r="5" spans="2:5" x14ac:dyDescent="0.3">
      <c r="B5" s="1" t="s">
        <v>28</v>
      </c>
      <c r="C5" s="88">
        <v>60930.908377589607</v>
      </c>
      <c r="D5" s="88">
        <v>0</v>
      </c>
      <c r="E5" s="89">
        <f t="shared" si="0"/>
        <v>60930.908377589607</v>
      </c>
    </row>
    <row r="6" spans="2:5" x14ac:dyDescent="0.3">
      <c r="B6" s="1" t="s">
        <v>29</v>
      </c>
      <c r="C6" s="88">
        <v>128095.66505546957</v>
      </c>
      <c r="D6" s="88">
        <v>36434.38547464674</v>
      </c>
      <c r="E6" s="89">
        <f t="shared" si="0"/>
        <v>164530.05053011631</v>
      </c>
    </row>
    <row r="7" spans="2:5" x14ac:dyDescent="0.3">
      <c r="B7" s="1" t="s">
        <v>30</v>
      </c>
      <c r="C7" s="88">
        <v>19304.848984299508</v>
      </c>
      <c r="D7" s="88">
        <v>0</v>
      </c>
      <c r="E7" s="89">
        <f t="shared" si="0"/>
        <v>19304.848984299508</v>
      </c>
    </row>
    <row r="8" spans="2:5" x14ac:dyDescent="0.3">
      <c r="B8" s="1" t="s">
        <v>31</v>
      </c>
      <c r="C8" s="88">
        <v>190132.58273981401</v>
      </c>
      <c r="D8" s="88">
        <v>0</v>
      </c>
      <c r="E8" s="89">
        <f t="shared" si="0"/>
        <v>190132.58273981401</v>
      </c>
    </row>
    <row r="9" spans="2:5" x14ac:dyDescent="0.3">
      <c r="B9" s="1" t="s">
        <v>32</v>
      </c>
      <c r="C9" s="88">
        <v>81140.670125454199</v>
      </c>
      <c r="D9" s="88">
        <v>0</v>
      </c>
      <c r="E9" s="89">
        <f t="shared" si="0"/>
        <v>81140.670125454199</v>
      </c>
    </row>
    <row r="10" spans="2:5" x14ac:dyDescent="0.3">
      <c r="B10" s="1" t="s">
        <v>33</v>
      </c>
      <c r="C10" s="88">
        <v>22622.86245070483</v>
      </c>
      <c r="D10" s="88">
        <v>0</v>
      </c>
      <c r="E10" s="89">
        <f t="shared" si="0"/>
        <v>22622.86245070483</v>
      </c>
    </row>
    <row r="11" spans="2:5" x14ac:dyDescent="0.3">
      <c r="B11" s="1" t="s">
        <v>34</v>
      </c>
      <c r="C11" s="88">
        <v>583468.73444959195</v>
      </c>
      <c r="D11" s="88">
        <v>140036.3505989784</v>
      </c>
      <c r="E11" s="89">
        <f t="shared" si="0"/>
        <v>723505.0850485703</v>
      </c>
    </row>
    <row r="12" spans="2:5" x14ac:dyDescent="0.3">
      <c r="B12" s="1" t="s">
        <v>35</v>
      </c>
      <c r="C12" s="88">
        <v>137647.54127602442</v>
      </c>
      <c r="D12" s="88">
        <v>0</v>
      </c>
      <c r="E12" s="89">
        <f t="shared" si="0"/>
        <v>137647.54127602442</v>
      </c>
    </row>
    <row r="13" spans="2:5" x14ac:dyDescent="0.3">
      <c r="B13" s="1" t="s">
        <v>36</v>
      </c>
      <c r="C13" s="88">
        <v>159566.58750635394</v>
      </c>
      <c r="D13" s="88">
        <v>0</v>
      </c>
      <c r="E13" s="89">
        <f t="shared" si="0"/>
        <v>159566.58750635394</v>
      </c>
    </row>
    <row r="14" spans="2:5" x14ac:dyDescent="0.3">
      <c r="B14" s="1" t="s">
        <v>37</v>
      </c>
      <c r="C14" s="88">
        <v>14453.859210073762</v>
      </c>
      <c r="D14" s="88">
        <v>0</v>
      </c>
      <c r="E14" s="89">
        <f t="shared" si="0"/>
        <v>14453.859210073762</v>
      </c>
    </row>
    <row r="15" spans="2:5" x14ac:dyDescent="0.3">
      <c r="B15" s="1" t="s">
        <v>38</v>
      </c>
      <c r="C15" s="88">
        <v>64751.655975039714</v>
      </c>
      <c r="D15" s="88">
        <v>14024.254823279145</v>
      </c>
      <c r="E15" s="89">
        <f t="shared" si="0"/>
        <v>78775.910798318859</v>
      </c>
    </row>
    <row r="16" spans="2:5" x14ac:dyDescent="0.3">
      <c r="B16" s="1" t="s">
        <v>39</v>
      </c>
      <c r="C16" s="88">
        <v>25136.518652069546</v>
      </c>
      <c r="D16" s="88">
        <v>0</v>
      </c>
      <c r="E16" s="89">
        <f t="shared" si="0"/>
        <v>25136.518652069546</v>
      </c>
    </row>
    <row r="17" spans="2:5" x14ac:dyDescent="0.3">
      <c r="B17" s="1" t="s">
        <v>40</v>
      </c>
      <c r="C17" s="88">
        <v>224217.68798286916</v>
      </c>
      <c r="D17" s="88">
        <v>115750.73117535526</v>
      </c>
      <c r="E17" s="89">
        <f t="shared" si="0"/>
        <v>339968.41915822442</v>
      </c>
    </row>
    <row r="18" spans="2:5" x14ac:dyDescent="0.3">
      <c r="B18" s="1" t="s">
        <v>41</v>
      </c>
      <c r="C18" s="88">
        <v>14780.270712614858</v>
      </c>
      <c r="D18" s="88">
        <v>0</v>
      </c>
      <c r="E18" s="89">
        <f t="shared" si="0"/>
        <v>14780.270712614858</v>
      </c>
    </row>
    <row r="19" spans="2:5" x14ac:dyDescent="0.3">
      <c r="B19" s="1" t="s">
        <v>42</v>
      </c>
      <c r="C19" s="88">
        <v>30063.275556274501</v>
      </c>
      <c r="D19" s="88">
        <v>17449.258167276937</v>
      </c>
      <c r="E19" s="89">
        <f t="shared" si="0"/>
        <v>47512.533723551438</v>
      </c>
    </row>
    <row r="20" spans="2:5" x14ac:dyDescent="0.3">
      <c r="B20" s="1" t="s">
        <v>43</v>
      </c>
      <c r="C20" s="88">
        <v>14453.859210073762</v>
      </c>
      <c r="D20" s="88">
        <v>8111.4510360284175</v>
      </c>
      <c r="E20" s="89">
        <f t="shared" si="0"/>
        <v>22565.310246102181</v>
      </c>
    </row>
    <row r="21" spans="2:5" x14ac:dyDescent="0.3">
      <c r="B21" s="1" t="s">
        <v>44</v>
      </c>
      <c r="C21" s="88">
        <v>32979.11039015952</v>
      </c>
      <c r="D21" s="88">
        <v>0</v>
      </c>
      <c r="E21" s="89">
        <f t="shared" si="0"/>
        <v>32979.11039015952</v>
      </c>
    </row>
    <row r="22" spans="2:5" x14ac:dyDescent="0.3">
      <c r="B22" s="1" t="s">
        <v>45</v>
      </c>
      <c r="C22" s="88">
        <v>67466.394265734983</v>
      </c>
      <c r="D22" s="88">
        <v>0</v>
      </c>
      <c r="E22" s="89">
        <f t="shared" si="0"/>
        <v>67466.394265734983</v>
      </c>
    </row>
    <row r="23" spans="2:5" x14ac:dyDescent="0.3">
      <c r="B23" s="1" t="s">
        <v>46</v>
      </c>
      <c r="C23" s="88">
        <v>105372.26156009946</v>
      </c>
      <c r="D23" s="88">
        <v>0</v>
      </c>
      <c r="E23" s="89">
        <f t="shared" si="0"/>
        <v>105372.26156009946</v>
      </c>
    </row>
    <row r="24" spans="2:5" x14ac:dyDescent="0.3">
      <c r="B24" s="1" t="s">
        <v>47</v>
      </c>
      <c r="C24" s="88">
        <v>161979.68820919417</v>
      </c>
      <c r="D24" s="88">
        <v>62032.782060602796</v>
      </c>
      <c r="E24" s="89">
        <f t="shared" si="0"/>
        <v>224012.47026979696</v>
      </c>
    </row>
    <row r="25" spans="2:5" x14ac:dyDescent="0.3">
      <c r="B25" s="1" t="s">
        <v>48</v>
      </c>
      <c r="C25" s="88">
        <v>650331.8679934761</v>
      </c>
      <c r="D25" s="88">
        <v>124938.00537015412</v>
      </c>
      <c r="E25" s="89">
        <f t="shared" si="0"/>
        <v>775269.87336363026</v>
      </c>
    </row>
    <row r="26" spans="2:5" x14ac:dyDescent="0.3">
      <c r="B26" s="1" t="s">
        <v>49</v>
      </c>
      <c r="C26" s="88">
        <v>16891.733827600063</v>
      </c>
      <c r="D26" s="88">
        <v>0</v>
      </c>
      <c r="E26" s="89">
        <f t="shared" si="0"/>
        <v>16891.733827600063</v>
      </c>
    </row>
    <row r="27" spans="2:5" x14ac:dyDescent="0.3">
      <c r="B27" s="1" t="s">
        <v>50</v>
      </c>
      <c r="C27" s="88">
        <v>206219.94484851425</v>
      </c>
      <c r="D27" s="88">
        <v>58670.157832716519</v>
      </c>
      <c r="E27" s="89">
        <f t="shared" si="0"/>
        <v>264890.10268123075</v>
      </c>
    </row>
    <row r="28" spans="2:5" x14ac:dyDescent="0.3">
      <c r="B28" s="1" t="s">
        <v>51</v>
      </c>
      <c r="C28" s="88">
        <v>135536.07816103924</v>
      </c>
      <c r="D28" s="88">
        <v>0</v>
      </c>
      <c r="E28" s="89">
        <f t="shared" si="0"/>
        <v>135536.07816103924</v>
      </c>
    </row>
    <row r="29" spans="2:5" x14ac:dyDescent="0.3">
      <c r="B29" s="1" t="s">
        <v>52</v>
      </c>
      <c r="C29" s="88">
        <v>14453.859210073762</v>
      </c>
      <c r="D29" s="88">
        <v>0</v>
      </c>
      <c r="E29" s="89">
        <f t="shared" si="0"/>
        <v>14453.859210073762</v>
      </c>
    </row>
    <row r="30" spans="2:5" x14ac:dyDescent="0.3">
      <c r="B30" s="1" t="s">
        <v>53</v>
      </c>
      <c r="C30" s="88">
        <v>51680.669744889761</v>
      </c>
      <c r="D30" s="88">
        <v>0</v>
      </c>
      <c r="E30" s="89">
        <f t="shared" si="0"/>
        <v>51680.669744889761</v>
      </c>
    </row>
    <row r="31" spans="2:5" x14ac:dyDescent="0.3">
      <c r="B31" s="1" t="s">
        <v>54</v>
      </c>
      <c r="C31" s="88">
        <v>14453.859210073762</v>
      </c>
      <c r="D31" s="88">
        <v>0</v>
      </c>
      <c r="E31" s="89">
        <f t="shared" si="0"/>
        <v>14453.859210073762</v>
      </c>
    </row>
    <row r="32" spans="2:5" x14ac:dyDescent="0.3">
      <c r="B32" s="1" t="s">
        <v>55</v>
      </c>
      <c r="C32" s="88">
        <v>20611.940380384898</v>
      </c>
      <c r="D32" s="88">
        <v>0</v>
      </c>
      <c r="E32" s="89">
        <f t="shared" si="0"/>
        <v>20611.940380384898</v>
      </c>
    </row>
    <row r="33" spans="2:5" x14ac:dyDescent="0.3">
      <c r="B33" s="1" t="s">
        <v>56</v>
      </c>
      <c r="C33" s="88">
        <v>17997.743134354907</v>
      </c>
      <c r="D33" s="88">
        <v>0</v>
      </c>
      <c r="E33" s="89">
        <f t="shared" si="0"/>
        <v>17997.743134354907</v>
      </c>
    </row>
    <row r="34" spans="2:5" x14ac:dyDescent="0.3">
      <c r="B34" s="1" t="s">
        <v>57</v>
      </c>
      <c r="C34" s="88">
        <v>68672.959071014309</v>
      </c>
      <c r="D34" s="88">
        <v>0</v>
      </c>
      <c r="E34" s="89">
        <f t="shared" si="0"/>
        <v>68672.959071014309</v>
      </c>
    </row>
    <row r="35" spans="2:5" x14ac:dyDescent="0.3">
      <c r="B35" s="1" t="s">
        <v>58</v>
      </c>
      <c r="C35" s="88">
        <v>19003.196942585269</v>
      </c>
      <c r="D35" s="88">
        <v>0</v>
      </c>
      <c r="E35" s="89">
        <f t="shared" ref="E35:E84" si="1">SUM(C35:D35)</f>
        <v>19003.196942585269</v>
      </c>
    </row>
    <row r="36" spans="2:5" x14ac:dyDescent="0.3">
      <c r="B36" s="1" t="s">
        <v>59</v>
      </c>
      <c r="C36" s="88">
        <v>14453.859210073762</v>
      </c>
      <c r="D36" s="88">
        <v>0</v>
      </c>
      <c r="E36" s="89">
        <f t="shared" si="1"/>
        <v>14453.859210073762</v>
      </c>
    </row>
    <row r="37" spans="2:5" x14ac:dyDescent="0.3">
      <c r="B37" s="1" t="s">
        <v>60</v>
      </c>
      <c r="C37" s="88">
        <v>140060.65643272386</v>
      </c>
      <c r="D37" s="88">
        <v>0</v>
      </c>
      <c r="E37" s="89">
        <f t="shared" si="1"/>
        <v>140060.65643272386</v>
      </c>
    </row>
    <row r="38" spans="2:5" x14ac:dyDescent="0.3">
      <c r="B38" s="1" t="s">
        <v>61</v>
      </c>
      <c r="C38" s="88">
        <v>227837.35349098872</v>
      </c>
      <c r="D38" s="88">
        <v>0</v>
      </c>
      <c r="E38" s="89">
        <f t="shared" si="1"/>
        <v>227837.35349098872</v>
      </c>
    </row>
    <row r="39" spans="2:5" x14ac:dyDescent="0.3">
      <c r="B39" s="1" t="s">
        <v>62</v>
      </c>
      <c r="C39" s="88">
        <v>99440.050847664126</v>
      </c>
      <c r="D39" s="88">
        <v>0</v>
      </c>
      <c r="E39" s="89">
        <f t="shared" si="1"/>
        <v>99440.050847664126</v>
      </c>
    </row>
    <row r="40" spans="2:5" x14ac:dyDescent="0.3">
      <c r="B40" s="1" t="s">
        <v>63</v>
      </c>
      <c r="C40" s="88">
        <v>60629.270789734575</v>
      </c>
      <c r="D40" s="88">
        <v>0</v>
      </c>
      <c r="E40" s="89">
        <f t="shared" si="1"/>
        <v>60629.270789734575</v>
      </c>
    </row>
    <row r="41" spans="2:5" x14ac:dyDescent="0.3">
      <c r="B41" s="1" t="s">
        <v>64</v>
      </c>
      <c r="C41" s="88">
        <v>211850.53242695375</v>
      </c>
      <c r="D41" s="88">
        <v>81126.856227014578</v>
      </c>
      <c r="E41" s="89">
        <f t="shared" si="1"/>
        <v>292977.38865396834</v>
      </c>
    </row>
    <row r="42" spans="2:5" x14ac:dyDescent="0.3">
      <c r="B42" s="1" t="s">
        <v>65</v>
      </c>
      <c r="C42" s="88">
        <v>329992.14262934815</v>
      </c>
      <c r="D42" s="88">
        <v>0</v>
      </c>
      <c r="E42" s="89">
        <f t="shared" si="1"/>
        <v>329992.14262934815</v>
      </c>
    </row>
    <row r="43" spans="2:5" x14ac:dyDescent="0.3">
      <c r="B43" s="1" t="s">
        <v>66</v>
      </c>
      <c r="C43" s="88">
        <v>64550.559431849957</v>
      </c>
      <c r="D43" s="88">
        <v>0</v>
      </c>
      <c r="E43" s="89">
        <f t="shared" si="1"/>
        <v>64550.559431849957</v>
      </c>
    </row>
    <row r="44" spans="2:5" x14ac:dyDescent="0.3">
      <c r="B44" s="1" t="s">
        <v>67</v>
      </c>
      <c r="C44" s="88">
        <v>18098.284179020178</v>
      </c>
      <c r="D44" s="88">
        <v>0</v>
      </c>
      <c r="E44" s="89">
        <f t="shared" si="1"/>
        <v>18098.284179020178</v>
      </c>
    </row>
    <row r="45" spans="2:5" x14ac:dyDescent="0.3">
      <c r="B45" s="1" t="s">
        <v>68</v>
      </c>
      <c r="C45" s="88">
        <v>93608.381179894088</v>
      </c>
      <c r="D45" s="88">
        <v>23966.576236011122</v>
      </c>
      <c r="E45" s="89">
        <f t="shared" si="1"/>
        <v>117574.95741590521</v>
      </c>
    </row>
    <row r="46" spans="2:5" x14ac:dyDescent="0.3">
      <c r="B46" s="1" t="s">
        <v>69</v>
      </c>
      <c r="C46" s="88">
        <v>17394.467958644847</v>
      </c>
      <c r="D46" s="88">
        <v>0</v>
      </c>
      <c r="E46" s="89">
        <f t="shared" si="1"/>
        <v>17394.467958644847</v>
      </c>
    </row>
    <row r="47" spans="2:5" x14ac:dyDescent="0.3">
      <c r="B47" s="1" t="s">
        <v>70</v>
      </c>
      <c r="C47" s="88">
        <v>83151.577741914924</v>
      </c>
      <c r="D47" s="88">
        <v>0</v>
      </c>
      <c r="E47" s="89">
        <f t="shared" si="1"/>
        <v>83151.577741914924</v>
      </c>
    </row>
    <row r="48" spans="2:5" x14ac:dyDescent="0.3">
      <c r="B48" s="1" t="s">
        <v>71</v>
      </c>
      <c r="C48" s="88">
        <v>507455.91777153249</v>
      </c>
      <c r="D48" s="88">
        <v>0</v>
      </c>
      <c r="E48" s="89">
        <f t="shared" si="1"/>
        <v>507455.91777153249</v>
      </c>
    </row>
    <row r="49" spans="2:5" x14ac:dyDescent="0.3">
      <c r="B49" s="1" t="s">
        <v>72</v>
      </c>
      <c r="C49" s="88">
        <v>14453.859210073762</v>
      </c>
      <c r="D49" s="88">
        <v>0</v>
      </c>
      <c r="E49" s="89">
        <f t="shared" si="1"/>
        <v>14453.859210073762</v>
      </c>
    </row>
    <row r="50" spans="2:5" x14ac:dyDescent="0.3">
      <c r="B50" s="1" t="s">
        <v>73</v>
      </c>
      <c r="C50" s="88">
        <v>169520.6423594291</v>
      </c>
      <c r="D50" s="88">
        <v>67783.356827132957</v>
      </c>
      <c r="E50" s="89">
        <f t="shared" si="1"/>
        <v>237303.99918656205</v>
      </c>
    </row>
    <row r="51" spans="2:5" x14ac:dyDescent="0.3">
      <c r="B51" s="1" t="s">
        <v>74</v>
      </c>
      <c r="C51" s="88">
        <v>58115.614588369855</v>
      </c>
      <c r="D51" s="88">
        <v>0</v>
      </c>
      <c r="E51" s="89">
        <f t="shared" si="1"/>
        <v>58115.614588369855</v>
      </c>
    </row>
    <row r="52" spans="2:5" x14ac:dyDescent="0.3">
      <c r="B52" s="1" t="s">
        <v>75</v>
      </c>
      <c r="C52" s="88">
        <v>23226.137626414889</v>
      </c>
      <c r="D52" s="88">
        <v>0</v>
      </c>
      <c r="E52" s="89">
        <f t="shared" si="1"/>
        <v>23226.137626414889</v>
      </c>
    </row>
    <row r="53" spans="2:5" x14ac:dyDescent="0.3">
      <c r="B53" s="1" t="s">
        <v>76</v>
      </c>
      <c r="C53" s="88">
        <v>2327238.9108655574</v>
      </c>
      <c r="D53" s="88">
        <v>347373.05306353187</v>
      </c>
      <c r="E53" s="89">
        <f t="shared" si="1"/>
        <v>2674611.9639290893</v>
      </c>
    </row>
    <row r="54" spans="2:5" x14ac:dyDescent="0.3">
      <c r="B54" s="1" t="s">
        <v>77</v>
      </c>
      <c r="C54" s="88">
        <v>28454.532118474872</v>
      </c>
      <c r="D54" s="88">
        <v>0</v>
      </c>
      <c r="E54" s="89">
        <f t="shared" si="1"/>
        <v>28454.532118474872</v>
      </c>
    </row>
    <row r="55" spans="2:5" x14ac:dyDescent="0.3">
      <c r="B55" s="1" t="s">
        <v>78</v>
      </c>
      <c r="C55" s="88">
        <v>14453.859210073762</v>
      </c>
      <c r="D55" s="88">
        <v>0</v>
      </c>
      <c r="E55" s="89">
        <f t="shared" si="1"/>
        <v>14453.859210073762</v>
      </c>
    </row>
    <row r="56" spans="2:5" x14ac:dyDescent="0.3">
      <c r="B56" s="1" t="s">
        <v>79</v>
      </c>
      <c r="C56" s="88">
        <v>99138.413259809109</v>
      </c>
      <c r="D56" s="88">
        <v>0</v>
      </c>
      <c r="E56" s="89">
        <f t="shared" si="1"/>
        <v>99138.413259809109</v>
      </c>
    </row>
    <row r="57" spans="2:5" x14ac:dyDescent="0.3">
      <c r="B57" s="1" t="s">
        <v>80</v>
      </c>
      <c r="C57" s="88">
        <v>14453.859210073762</v>
      </c>
      <c r="D57" s="88">
        <v>0</v>
      </c>
      <c r="E57" s="89">
        <f t="shared" si="1"/>
        <v>14453.859210073762</v>
      </c>
    </row>
    <row r="58" spans="2:5" x14ac:dyDescent="0.3">
      <c r="B58" s="1" t="s">
        <v>81</v>
      </c>
      <c r="C58" s="88">
        <v>42732.06870004494</v>
      </c>
      <c r="D58" s="88">
        <v>0</v>
      </c>
      <c r="E58" s="89">
        <f t="shared" si="1"/>
        <v>42732.06870004494</v>
      </c>
    </row>
    <row r="59" spans="2:5" x14ac:dyDescent="0.3">
      <c r="B59" s="1" t="s">
        <v>82</v>
      </c>
      <c r="C59" s="88">
        <v>14453.859210073762</v>
      </c>
      <c r="D59" s="88">
        <v>0</v>
      </c>
      <c r="E59" s="89">
        <f t="shared" si="1"/>
        <v>14453.859210073762</v>
      </c>
    </row>
    <row r="60" spans="2:5" x14ac:dyDescent="0.3">
      <c r="B60" s="1" t="s">
        <v>83</v>
      </c>
      <c r="C60" s="88">
        <v>16690.651738269516</v>
      </c>
      <c r="D60" s="88">
        <v>0</v>
      </c>
      <c r="E60" s="89">
        <f t="shared" si="1"/>
        <v>16690.651738269516</v>
      </c>
    </row>
    <row r="61" spans="2:5" x14ac:dyDescent="0.3">
      <c r="B61" s="1" t="s">
        <v>84</v>
      </c>
      <c r="C61" s="88">
        <v>14981.367255804615</v>
      </c>
      <c r="D61" s="88">
        <v>8890.1070166565132</v>
      </c>
      <c r="E61" s="89">
        <f t="shared" si="1"/>
        <v>23871.474272461128</v>
      </c>
    </row>
    <row r="62" spans="2:5" x14ac:dyDescent="0.3">
      <c r="B62" s="1" t="s">
        <v>85</v>
      </c>
      <c r="C62" s="88">
        <v>14453.859210073762</v>
      </c>
      <c r="D62" s="88">
        <v>0</v>
      </c>
      <c r="E62" s="89">
        <f t="shared" si="1"/>
        <v>14453.859210073762</v>
      </c>
    </row>
    <row r="63" spans="2:5" x14ac:dyDescent="0.3">
      <c r="B63" s="1" t="s">
        <v>86</v>
      </c>
      <c r="C63" s="88">
        <v>33783.467655200126</v>
      </c>
      <c r="D63" s="88">
        <v>0</v>
      </c>
      <c r="E63" s="89">
        <f t="shared" si="1"/>
        <v>33783.467655200126</v>
      </c>
    </row>
    <row r="64" spans="2:5" x14ac:dyDescent="0.3">
      <c r="B64" s="1" t="s">
        <v>87</v>
      </c>
      <c r="C64" s="88">
        <v>14453.859210073762</v>
      </c>
      <c r="D64" s="88">
        <v>0</v>
      </c>
      <c r="E64" s="89">
        <f t="shared" si="1"/>
        <v>14453.859210073762</v>
      </c>
    </row>
    <row r="65" spans="2:5" x14ac:dyDescent="0.3">
      <c r="B65" s="1" t="s">
        <v>88</v>
      </c>
      <c r="C65" s="88">
        <v>165599.35371731373</v>
      </c>
      <c r="D65" s="88">
        <v>0</v>
      </c>
      <c r="E65" s="89">
        <f t="shared" si="1"/>
        <v>165599.35371731373</v>
      </c>
    </row>
    <row r="66" spans="2:5" x14ac:dyDescent="0.3">
      <c r="B66" s="1" t="s">
        <v>89</v>
      </c>
      <c r="C66" s="88">
        <v>31672.004540214919</v>
      </c>
      <c r="D66" s="88">
        <v>0</v>
      </c>
      <c r="E66" s="89">
        <f t="shared" si="1"/>
        <v>31672.004540214919</v>
      </c>
    </row>
    <row r="67" spans="2:5" x14ac:dyDescent="0.3">
      <c r="B67" s="1" t="s">
        <v>90</v>
      </c>
      <c r="C67" s="88">
        <v>324462.1105494331</v>
      </c>
      <c r="D67" s="88">
        <v>76817.9321439505</v>
      </c>
      <c r="E67" s="89">
        <f t="shared" si="1"/>
        <v>401280.04269338358</v>
      </c>
    </row>
    <row r="68" spans="2:5" x14ac:dyDescent="0.3">
      <c r="B68" s="1" t="s">
        <v>91</v>
      </c>
      <c r="C68" s="88">
        <v>20511.399335719623</v>
      </c>
      <c r="D68" s="88">
        <v>0</v>
      </c>
      <c r="E68" s="89">
        <f t="shared" si="1"/>
        <v>20511.399335719623</v>
      </c>
    </row>
    <row r="69" spans="2:5" x14ac:dyDescent="0.3">
      <c r="B69" s="1" t="s">
        <v>92</v>
      </c>
      <c r="C69" s="88">
        <v>258503.9042229733</v>
      </c>
      <c r="D69" s="88">
        <v>98861.802082316121</v>
      </c>
      <c r="E69" s="89">
        <f t="shared" si="1"/>
        <v>357365.70630528941</v>
      </c>
    </row>
    <row r="70" spans="2:5" x14ac:dyDescent="0.3">
      <c r="B70" s="1" t="s">
        <v>332</v>
      </c>
      <c r="C70" s="88">
        <v>0</v>
      </c>
      <c r="D70" s="88">
        <v>173686.52653176594</v>
      </c>
      <c r="E70" s="89">
        <f t="shared" si="1"/>
        <v>173686.52653176594</v>
      </c>
    </row>
    <row r="71" spans="2:5" x14ac:dyDescent="0.3">
      <c r="B71" s="1" t="s">
        <v>333</v>
      </c>
      <c r="C71" s="88">
        <v>0</v>
      </c>
      <c r="D71" s="88">
        <v>135433.9414383758</v>
      </c>
      <c r="E71" s="89">
        <f t="shared" si="1"/>
        <v>135433.9414383758</v>
      </c>
    </row>
    <row r="72" spans="2:5" x14ac:dyDescent="0.3">
      <c r="B72" s="1" t="s">
        <v>334</v>
      </c>
      <c r="C72" s="88">
        <v>0</v>
      </c>
      <c r="D72" s="88">
        <v>68039.804304480291</v>
      </c>
      <c r="E72" s="89">
        <f t="shared" si="1"/>
        <v>68039.804304480291</v>
      </c>
    </row>
    <row r="73" spans="2:5" x14ac:dyDescent="0.3">
      <c r="B73" s="1" t="s">
        <v>335</v>
      </c>
      <c r="C73" s="88">
        <v>0</v>
      </c>
      <c r="D73" s="88">
        <v>62469.002685077059</v>
      </c>
      <c r="E73" s="89">
        <f t="shared" si="1"/>
        <v>62469.002685077059</v>
      </c>
    </row>
    <row r="74" spans="2:5" x14ac:dyDescent="0.3">
      <c r="B74" s="1" t="s">
        <v>336</v>
      </c>
      <c r="C74" s="88">
        <v>0</v>
      </c>
      <c r="D74" s="88">
        <v>46443.092995323772</v>
      </c>
      <c r="E74" s="89">
        <f t="shared" si="1"/>
        <v>46443.092995323772</v>
      </c>
    </row>
    <row r="75" spans="2:5" x14ac:dyDescent="0.3">
      <c r="B75" s="1" t="s">
        <v>337</v>
      </c>
      <c r="C75" s="88">
        <v>0</v>
      </c>
      <c r="D75" s="88">
        <v>40563.428113507289</v>
      </c>
      <c r="E75" s="89">
        <f t="shared" si="1"/>
        <v>40563.428113507289</v>
      </c>
    </row>
    <row r="76" spans="2:5" x14ac:dyDescent="0.3">
      <c r="B76" s="1" t="s">
        <v>338</v>
      </c>
      <c r="C76" s="88">
        <v>0</v>
      </c>
      <c r="D76" s="88">
        <v>38408.96607197525</v>
      </c>
      <c r="E76" s="89">
        <f t="shared" si="1"/>
        <v>38408.96607197525</v>
      </c>
    </row>
    <row r="77" spans="2:5" x14ac:dyDescent="0.3">
      <c r="B77" s="1" t="s">
        <v>339</v>
      </c>
      <c r="C77" s="88">
        <v>0</v>
      </c>
      <c r="D77" s="88">
        <v>13473.672485933772</v>
      </c>
      <c r="E77" s="89">
        <f t="shared" si="1"/>
        <v>13473.672485933772</v>
      </c>
    </row>
    <row r="78" spans="2:5" x14ac:dyDescent="0.3">
      <c r="B78" s="1" t="s">
        <v>340</v>
      </c>
      <c r="C78" s="88">
        <v>0</v>
      </c>
      <c r="D78" s="88">
        <v>8724.6290836384687</v>
      </c>
      <c r="E78" s="89">
        <f t="shared" si="1"/>
        <v>8724.6290836384687</v>
      </c>
    </row>
    <row r="79" spans="2:5" x14ac:dyDescent="0.3">
      <c r="B79" s="1" t="s">
        <v>341</v>
      </c>
      <c r="C79" s="88">
        <v>0</v>
      </c>
      <c r="D79" s="88">
        <v>7278.213328802748</v>
      </c>
      <c r="E79" s="89">
        <f t="shared" si="1"/>
        <v>7278.213328802748</v>
      </c>
    </row>
    <row r="80" spans="2:5" x14ac:dyDescent="0.3">
      <c r="B80" s="1" t="s">
        <v>342</v>
      </c>
      <c r="C80" s="88">
        <v>0</v>
      </c>
      <c r="D80" s="88">
        <v>7186.5940020139624</v>
      </c>
      <c r="E80" s="89">
        <f t="shared" si="1"/>
        <v>7186.5940020139624</v>
      </c>
    </row>
    <row r="81" spans="2:5" x14ac:dyDescent="0.3">
      <c r="B81" s="1" t="s">
        <v>343</v>
      </c>
      <c r="C81" s="88">
        <v>0</v>
      </c>
      <c r="D81" s="88">
        <v>5553.257492996865</v>
      </c>
      <c r="E81" s="89">
        <f t="shared" si="1"/>
        <v>5553.257492996865</v>
      </c>
    </row>
    <row r="82" spans="2:5" x14ac:dyDescent="0.3">
      <c r="B82" s="1" t="s">
        <v>344</v>
      </c>
      <c r="C82" s="88">
        <v>0</v>
      </c>
      <c r="D82" s="88">
        <v>4753.8653239364494</v>
      </c>
      <c r="E82" s="89">
        <f t="shared" si="1"/>
        <v>4753.8653239364494</v>
      </c>
    </row>
    <row r="83" spans="2:5" x14ac:dyDescent="0.3">
      <c r="B83" s="1" t="s">
        <v>345</v>
      </c>
      <c r="C83" s="88">
        <v>0</v>
      </c>
      <c r="D83" s="88">
        <v>1451.0488148843208</v>
      </c>
      <c r="E83" s="89">
        <f t="shared" si="1"/>
        <v>1451.0488148843208</v>
      </c>
    </row>
    <row r="84" spans="2:5" x14ac:dyDescent="0.3">
      <c r="B84" s="1" t="s">
        <v>346</v>
      </c>
      <c r="C84" s="90">
        <v>0</v>
      </c>
      <c r="D84" s="90">
        <v>1451.0488148843208</v>
      </c>
      <c r="E84" s="91">
        <f t="shared" si="1"/>
        <v>1451.0488148843208</v>
      </c>
    </row>
    <row r="85" spans="2:5" x14ac:dyDescent="0.3">
      <c r="C85" s="10">
        <f>SUM(C3:C84)</f>
        <v>10117576.161000004</v>
      </c>
      <c r="D85" s="10">
        <f>SUM(D3:D84)</f>
        <v>2168052.0345000005</v>
      </c>
      <c r="E85" s="89">
        <f>SUM(E3:E84)</f>
        <v>12285628.195500003</v>
      </c>
    </row>
    <row r="86" spans="2:5" x14ac:dyDescent="0.3">
      <c r="B86" s="1" t="s">
        <v>3</v>
      </c>
      <c r="E86" s="167">
        <v>2168052.0299999998</v>
      </c>
    </row>
    <row r="87" spans="2:5" x14ac:dyDescent="0.3">
      <c r="B87" s="1" t="s">
        <v>6</v>
      </c>
      <c r="E87" s="8">
        <f>SUM(E85:E86)</f>
        <v>14453680.225500003</v>
      </c>
    </row>
    <row r="88" spans="2:5" x14ac:dyDescent="0.3">
      <c r="B88" s="1" t="s">
        <v>347</v>
      </c>
      <c r="E88" s="178">
        <v>632035.4</v>
      </c>
    </row>
    <row r="89" spans="2:5" x14ac:dyDescent="0.3">
      <c r="B89" s="1" t="s">
        <v>348</v>
      </c>
      <c r="C89" s="92"/>
      <c r="E89" s="8">
        <f>SUM(E87:E88)</f>
        <v>15085715.625500003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O42"/>
  <sheetViews>
    <sheetView topLeftCell="J1" workbookViewId="0">
      <selection activeCell="R47" sqref="R47"/>
    </sheetView>
  </sheetViews>
  <sheetFormatPr defaultRowHeight="14.4" x14ac:dyDescent="0.3"/>
  <cols>
    <col min="1" max="1" width="15.33203125" customWidth="1"/>
    <col min="2" max="2" width="17" customWidth="1"/>
    <col min="3" max="3" width="18.5546875" customWidth="1"/>
    <col min="4" max="7" width="19.6640625" customWidth="1"/>
    <col min="8" max="8" width="20.109375" customWidth="1"/>
    <col min="9" max="9" width="24.33203125" customWidth="1"/>
    <col min="10" max="13" width="21.6640625" customWidth="1"/>
    <col min="14" max="14" width="22" customWidth="1"/>
    <col min="15" max="15" width="21.88671875" customWidth="1"/>
    <col min="16" max="16" width="20.33203125" customWidth="1"/>
    <col min="17" max="17" width="17.44140625" customWidth="1"/>
    <col min="18" max="19" width="24.33203125" customWidth="1"/>
    <col min="20" max="20" width="23.88671875" customWidth="1"/>
    <col min="21" max="23" width="20" customWidth="1"/>
    <col min="24" max="24" width="20.88671875" customWidth="1"/>
    <col min="25" max="25" width="19" customWidth="1"/>
    <col min="26" max="26" width="15.6640625" customWidth="1"/>
  </cols>
  <sheetData>
    <row r="1" spans="1:41" ht="15.6" x14ac:dyDescent="0.3">
      <c r="A1" s="1" t="s">
        <v>0</v>
      </c>
      <c r="B1" s="1" t="s">
        <v>1</v>
      </c>
      <c r="C1" s="1" t="s">
        <v>12</v>
      </c>
      <c r="D1" s="1" t="s">
        <v>13</v>
      </c>
      <c r="E1" s="1" t="s">
        <v>14</v>
      </c>
      <c r="F1" s="1" t="s">
        <v>15</v>
      </c>
      <c r="G1" s="1" t="s">
        <v>16</v>
      </c>
      <c r="H1" s="1" t="s">
        <v>17</v>
      </c>
      <c r="I1" s="1" t="s">
        <v>7</v>
      </c>
      <c r="J1" s="1" t="s">
        <v>8</v>
      </c>
      <c r="K1" s="1" t="s">
        <v>9</v>
      </c>
      <c r="L1" s="1" t="s">
        <v>10</v>
      </c>
      <c r="M1" s="1" t="s">
        <v>11</v>
      </c>
      <c r="N1" s="1" t="s">
        <v>2</v>
      </c>
      <c r="O1" s="1" t="s">
        <v>3</v>
      </c>
      <c r="P1" s="1" t="s">
        <v>4</v>
      </c>
      <c r="Q1" s="1" t="s">
        <v>5</v>
      </c>
      <c r="R1" s="1" t="s">
        <v>18</v>
      </c>
      <c r="S1" s="1" t="s">
        <v>19</v>
      </c>
      <c r="T1" s="3" t="s">
        <v>20</v>
      </c>
      <c r="U1" s="3" t="s">
        <v>21</v>
      </c>
      <c r="V1" s="3" t="s">
        <v>228</v>
      </c>
      <c r="W1" s="3" t="s">
        <v>229</v>
      </c>
      <c r="X1" s="3" t="s">
        <v>22</v>
      </c>
      <c r="Y1" s="3" t="s">
        <v>23</v>
      </c>
      <c r="Z1" t="s">
        <v>425</v>
      </c>
    </row>
    <row r="2" spans="1:41" s="9" customFormat="1" ht="15.6" x14ac:dyDescent="0.3">
      <c r="A2" s="3">
        <v>1</v>
      </c>
      <c r="B2" s="3">
        <v>2024</v>
      </c>
      <c r="C2" s="161">
        <f>+C34/2</f>
        <v>7055845.6299999999</v>
      </c>
      <c r="D2" s="161">
        <f>+E34/2</f>
        <v>7140926.8149999995</v>
      </c>
      <c r="E2" s="161">
        <f>+K34/2</f>
        <v>3469837.04</v>
      </c>
      <c r="F2" s="161">
        <f>+I34/2</f>
        <v>4222920.9800000004</v>
      </c>
      <c r="G2" s="164">
        <v>119363767.41345163</v>
      </c>
      <c r="H2" s="161">
        <f>SUM(Table14[[#This Row],[Teva]:[Walmart]])</f>
        <v>141253297.87845162</v>
      </c>
      <c r="I2" s="4">
        <f>$I$17*0.2</f>
        <v>603063.87246296811</v>
      </c>
      <c r="J2" s="4">
        <f>$J$17*0.2</f>
        <v>490475.23348358314</v>
      </c>
      <c r="K2" s="4">
        <f>$K$17*0.2</f>
        <v>190755.16935082444</v>
      </c>
      <c r="L2" s="4">
        <f>$L$17*0.2</f>
        <v>255025.79620044871</v>
      </c>
      <c r="M2" s="4">
        <f>$M$17*0.4</f>
        <v>679265.975383766</v>
      </c>
      <c r="N2" s="4">
        <f>Table14[[#This Row],[Pre Fee Total]]-Table14[[#This Row],[Teva Attorney Fees]]-Table14[[#This Row],[Allergan Attorney Fees ]]-Table14[[#This Row],[Walgreens Attorney Fees]]-Table14[[#This Row],[CVS Attorney Fees]]-Table14[[#This Row],[Walmart Attorney Fees]]</f>
        <v>139034711.83157003</v>
      </c>
      <c r="O2" s="4">
        <f>Table14[[#This Row],[Total Less Fees]]*0.15</f>
        <v>20855206.774735503</v>
      </c>
      <c r="P2" s="4">
        <f>Table14[[#This Row],[Total Less Fees]]*0.7</f>
        <v>97324298.282099009</v>
      </c>
      <c r="Q2" s="4">
        <f>Table14[[#This Row],[Total Less Fees]]*0.15</f>
        <v>20855206.774735503</v>
      </c>
      <c r="R2" s="4">
        <f>((Table14[[#This Row],[Teva]]+Table14[[#This Row],[Allergan]])-(Table14[[#This Row],[Teva Attorney Fees]]+Table14[[#This Row],[Allergan Attorney Fees ]]))*0.15</f>
        <v>1965485.0008580172</v>
      </c>
      <c r="S2" s="4">
        <f>((Table14[[#This Row],[Walgreens]]+Table14[[#This Row],[CVS]]+Table14[[#This Row],[Walmart]])-(Table14[[#This Row],[Walgreens Attorney Fees]]+Table14[[#This Row],[CVS Attorney Fees]]+Table14[[#This Row],[Walmart Attorney Fees]]))*0.15</f>
        <v>18889721.773877487</v>
      </c>
      <c r="T2" s="9">
        <f>((Table14[[#This Row],[Teva]]-Table14[[#This Row],[Teva Attorney Fees]])*0.15)+((Table14[[#This Row],[Allergan]]-Table14[[#This Row],[Allergan Attorney Fees ]])*0.15)+((Table14[[#This Row],[Walmart]]-Table14[[#This Row],[Walmart Attorney Fees]])*0.15)</f>
        <v>19768160.216568194</v>
      </c>
      <c r="U2" s="9">
        <v>5917200</v>
      </c>
      <c r="V2" s="9">
        <f>Table14[[#This Row],[Subdivision Escrow Amount]]-W2</f>
        <v>4873602.1164021166</v>
      </c>
      <c r="W2" s="9">
        <f>Table14[[#This Row],[Subdivision Escrow Amount]]/5.67</f>
        <v>1043597.8835978836</v>
      </c>
      <c r="X2" s="9">
        <f>(Table14[[#This Row],[Teva Attorney Fees]]*0.15)+(Table14[[#This Row],[Allergan Attorney Fees ]]*0.15)+(Table14[[#This Row],[Walmart Attorney Fees]]*0.15)+(6000000*0.0138)</f>
        <v>348720.76219954761</v>
      </c>
      <c r="Y2" s="9">
        <f t="shared" ref="Y2:Y16" si="0">SUM(T2,U2,X2)</f>
        <v>26034080.978767741</v>
      </c>
      <c r="Z2" s="151"/>
      <c r="AB2" s="165" t="s">
        <v>447</v>
      </c>
      <c r="AC2" s="165"/>
      <c r="AD2" s="165"/>
      <c r="AE2" s="165"/>
      <c r="AF2" s="165"/>
      <c r="AG2" s="165"/>
      <c r="AH2" s="165"/>
      <c r="AI2" s="165"/>
      <c r="AJ2" s="165"/>
      <c r="AK2" s="165"/>
      <c r="AL2" s="165"/>
      <c r="AM2" s="165"/>
      <c r="AN2" s="165"/>
      <c r="AO2" s="165"/>
    </row>
    <row r="3" spans="1:41" s="8" customFormat="1" ht="15.6" x14ac:dyDescent="0.3">
      <c r="A3" s="1">
        <v>2</v>
      </c>
      <c r="B3" s="2">
        <v>46006</v>
      </c>
      <c r="C3" s="4">
        <v>13189863.130000001</v>
      </c>
      <c r="D3" s="167">
        <v>13976784.039999999</v>
      </c>
      <c r="E3" s="167">
        <v>12470599.57</v>
      </c>
      <c r="F3" s="167">
        <v>9828174.6300000008</v>
      </c>
      <c r="G3" s="164">
        <v>0</v>
      </c>
      <c r="H3" s="4">
        <f>SUM(Table14[[#This Row],[Teva]:[Walmart]])</f>
        <v>49465421.370000005</v>
      </c>
      <c r="I3" s="4">
        <f t="shared" ref="I3:I6" si="1">$I$17*0.2</f>
        <v>603063.87246296811</v>
      </c>
      <c r="J3" s="4">
        <f t="shared" ref="J3:J6" si="2">$J$17*0.2</f>
        <v>490475.23348358314</v>
      </c>
      <c r="K3" s="4">
        <f t="shared" ref="K3:K6" si="3">$K$17*0.2</f>
        <v>190755.16935082444</v>
      </c>
      <c r="L3" s="4">
        <f t="shared" ref="L3:L6" si="4">$L$17*0.2</f>
        <v>255025.79620044871</v>
      </c>
      <c r="M3" s="4">
        <f>$M$17*0</f>
        <v>0</v>
      </c>
      <c r="N3" s="4">
        <f>Table14[[#This Row],[Pre Fee Total]]-Table14[[#This Row],[Teva Attorney Fees]]-Table14[[#This Row],[Allergan Attorney Fees ]]-Table14[[#This Row],[Walgreens Attorney Fees]]-Table14[[#This Row],[CVS Attorney Fees]]-Table14[[#This Row],[Walmart Attorney Fees]]</f>
        <v>47926101.298502184</v>
      </c>
      <c r="O3" s="4">
        <f>Table14[[#This Row],[Total Less Fees]]*0.15</f>
        <v>7188915.1947753271</v>
      </c>
      <c r="P3" s="4">
        <f>Table14[[#This Row],[Total Less Fees]]*0.7</f>
        <v>33548270.908951528</v>
      </c>
      <c r="Q3" s="4">
        <f>Table14[[#This Row],[Total Less Fees]]*0.15</f>
        <v>7188915.1947753271</v>
      </c>
      <c r="R3" s="4">
        <f>((Table14[[#This Row],[Teva]]+Table14[[#This Row],[Allergan]])-(Table14[[#This Row],[Teva Attorney Fees]]+Table14[[#This Row],[Allergan Attorney Fees ]]))*0.15</f>
        <v>3910966.2096080175</v>
      </c>
      <c r="S3" s="4">
        <f>((Table14[[#This Row],[Walgreens]]+Table14[[#This Row],[CVS]]+Table14[[#This Row],[Walmart]])-(Table14[[#This Row],[Walgreens Attorney Fees]]+Table14[[#This Row],[CVS Attorney Fees]]+Table14[[#This Row],[Walmart Attorney Fees]]))*0.15</f>
        <v>3277948.9851673096</v>
      </c>
      <c r="T3" s="8">
        <f>((Table14[[#This Row],[Teva]]-Table14[[#This Row],[Teva Attorney Fees]])*0.15)+((Table14[[#This Row],[Allergan]]-Table14[[#This Row],[Allergan Attorney Fees ]])*0.15)+((Table14[[#This Row],[Walmart]]-Table14[[#This Row],[Walmart Attorney Fees]])*0.15)</f>
        <v>3910966.2096080175</v>
      </c>
      <c r="V3" s="8">
        <f>Table14[[#This Row],[Subdivision Escrow Amount]]-W3</f>
        <v>0</v>
      </c>
      <c r="W3" s="8">
        <f>Table14[[#This Row],[Subdivision Escrow Amount]]/5.67</f>
        <v>0</v>
      </c>
      <c r="X3" s="8">
        <f>(Table14[[#This Row],[Teva Attorney Fees]]*0.15)+(Table14[[#This Row],[Allergan Attorney Fees ]]*0.15)+(Table14[[#This Row],[Walmart Attorney Fees]]*0.15)</f>
        <v>164030.86589198268</v>
      </c>
      <c r="Y3" s="8">
        <f t="shared" si="0"/>
        <v>4074997.0755000003</v>
      </c>
      <c r="Z3" s="152"/>
      <c r="AB3" s="163" t="s">
        <v>449</v>
      </c>
      <c r="AC3" s="163"/>
      <c r="AD3" s="163"/>
      <c r="AE3" s="163"/>
      <c r="AF3" s="163"/>
      <c r="AG3" s="163"/>
      <c r="AH3" s="163"/>
      <c r="AI3" s="163"/>
      <c r="AJ3" s="163"/>
      <c r="AK3" s="163"/>
      <c r="AL3" s="163"/>
      <c r="AM3" s="163"/>
      <c r="AN3" s="163"/>
      <c r="AO3" s="163"/>
    </row>
    <row r="4" spans="1:41" s="7" customFormat="1" ht="15.6" x14ac:dyDescent="0.3">
      <c r="A4" s="1">
        <v>3</v>
      </c>
      <c r="B4" s="2">
        <v>46371</v>
      </c>
      <c r="C4" s="163">
        <v>14111691.26</v>
      </c>
      <c r="D4" s="163">
        <v>14281853.630000001</v>
      </c>
      <c r="E4" s="163">
        <v>6939674.0800000001</v>
      </c>
      <c r="F4" s="163">
        <v>8445841.9600000009</v>
      </c>
      <c r="G4" s="24">
        <v>922915.72742359492</v>
      </c>
      <c r="H4" s="163">
        <f>SUM(Table14[[#This Row],[Teva]:[Walmart]])</f>
        <v>44701976.657423593</v>
      </c>
      <c r="I4" s="4">
        <f t="shared" si="1"/>
        <v>603063.87246296811</v>
      </c>
      <c r="J4" s="4">
        <f t="shared" si="2"/>
        <v>490475.23348358314</v>
      </c>
      <c r="K4" s="4">
        <f t="shared" si="3"/>
        <v>190755.16935082444</v>
      </c>
      <c r="L4" s="4">
        <f t="shared" si="4"/>
        <v>255025.79620044871</v>
      </c>
      <c r="M4" s="4">
        <f t="shared" ref="M4:M6" si="5">$M$17*0.2</f>
        <v>339632.987691883</v>
      </c>
      <c r="N4" s="8">
        <f>Table14[[#This Row],[Pre Fee Total]]-Table14[[#This Row],[Teva Attorney Fees]]-Table14[[#This Row],[Allergan Attorney Fees ]]-Table14[[#This Row],[Walgreens Attorney Fees]]-Table14[[#This Row],[CVS Attorney Fees]]-Table14[[#This Row],[Walmart Attorney Fees]]</f>
        <v>42823023.598233894</v>
      </c>
      <c r="O4" s="8">
        <f>Table14[[#This Row],[Total Less Fees]]*0.15</f>
        <v>6423453.5397350835</v>
      </c>
      <c r="P4" s="8">
        <f>Table14[[#This Row],[Total Less Fees]]*0.7</f>
        <v>29976116.518763725</v>
      </c>
      <c r="Q4" s="8">
        <f>Table14[[#This Row],[Total Less Fees]]*0.15</f>
        <v>6423453.5397350835</v>
      </c>
      <c r="R4" s="8">
        <f>((Table14[[#This Row],[Teva]]+Table14[[#This Row],[Allergan]])-(Table14[[#This Row],[Teva Attorney Fees]]+Table14[[#This Row],[Allergan Attorney Fees ]]))*0.15</f>
        <v>4095000.8676080173</v>
      </c>
      <c r="S4" s="89">
        <f>((Table14[[#This Row],[Walgreens]]+Table14[[#This Row],[CVS]]+Table14[[#This Row],[Walmart]])-(Table14[[#This Row],[Walgreens Attorney Fees]]+Table14[[#This Row],[CVS Attorney Fees]]+Table14[[#This Row],[Walmart Attorney Fees]]))*0.15</f>
        <v>2328452.6721270657</v>
      </c>
      <c r="T4" s="9">
        <f>((Table14[[#This Row],[Teva]]-Table14[[#This Row],[Teva Attorney Fees]])*0.15)+((Table14[[#This Row],[Allergan]]-Table14[[#This Row],[Allergan Attorney Fees ]])*0.15)+((Table14[[#This Row],[Walmart]]-Table14[[#This Row],[Walmart Attorney Fees]])*0.15)</f>
        <v>4182493.2785677742</v>
      </c>
      <c r="U4" s="9"/>
      <c r="V4" s="9">
        <f>Table14[[#This Row],[Subdivision Escrow Amount]]-W4</f>
        <v>0</v>
      </c>
      <c r="W4" s="9">
        <f>Table14[[#This Row],[Subdivision Escrow Amount]]/5.67</f>
        <v>0</v>
      </c>
      <c r="X4" s="9">
        <f>(Table14[[#This Row],[Teva Attorney Fees]]*0.15)+(Table14[[#This Row],[Allergan Attorney Fees ]]*0.15)+(Table14[[#This Row],[Walmart Attorney Fees]]*0.15)</f>
        <v>214975.81404576515</v>
      </c>
      <c r="Y4" s="9">
        <f t="shared" si="0"/>
        <v>4397469.0926135397</v>
      </c>
      <c r="Z4" s="151">
        <v>3992734.16</v>
      </c>
      <c r="AB4" s="166"/>
      <c r="AC4" s="166"/>
      <c r="AD4" s="166"/>
      <c r="AE4" s="166"/>
      <c r="AF4" s="166"/>
      <c r="AG4" s="166"/>
      <c r="AH4" s="166"/>
      <c r="AI4" s="166"/>
      <c r="AJ4" s="166"/>
      <c r="AK4" s="166"/>
      <c r="AL4" s="166"/>
      <c r="AM4" s="166"/>
      <c r="AN4" s="166"/>
      <c r="AO4" s="166"/>
    </row>
    <row r="5" spans="1:41" s="7" customFormat="1" ht="15.6" x14ac:dyDescent="0.3">
      <c r="A5" s="1">
        <v>4</v>
      </c>
      <c r="B5" s="2">
        <v>46736</v>
      </c>
      <c r="C5" s="8">
        <v>10396000.192104774</v>
      </c>
      <c r="D5" s="8">
        <v>11793005.910887336</v>
      </c>
      <c r="E5" s="8">
        <v>6237776.3067822102</v>
      </c>
      <c r="F5" s="8">
        <v>10420025.759128511</v>
      </c>
      <c r="G5" s="24">
        <v>922915.72742359492</v>
      </c>
      <c r="H5" s="8">
        <f>SUM(Table14[[#This Row],[Teva]:[Walmart]])</f>
        <v>39769723.896326423</v>
      </c>
      <c r="I5" s="4">
        <f t="shared" si="1"/>
        <v>603063.87246296811</v>
      </c>
      <c r="J5" s="4">
        <f t="shared" si="2"/>
        <v>490475.23348358314</v>
      </c>
      <c r="K5" s="4">
        <f t="shared" si="3"/>
        <v>190755.16935082444</v>
      </c>
      <c r="L5" s="4">
        <f t="shared" si="4"/>
        <v>255025.79620044871</v>
      </c>
      <c r="M5" s="4">
        <f t="shared" si="5"/>
        <v>339632.987691883</v>
      </c>
      <c r="N5" s="8">
        <f>Table14[[#This Row],[Pre Fee Total]]-Table14[[#This Row],[Teva Attorney Fees]]-Table14[[#This Row],[Allergan Attorney Fees ]]-Table14[[#This Row],[Walgreens Attorney Fees]]-Table14[[#This Row],[CVS Attorney Fees]]-Table14[[#This Row],[Walmart Attorney Fees]]</f>
        <v>37890770.837136716</v>
      </c>
      <c r="O5" s="8">
        <f>Table14[[#This Row],[Total Less Fees]]*0.15</f>
        <v>5683615.6255705068</v>
      </c>
      <c r="P5" s="8">
        <f>Table14[[#This Row],[Total Less Fees]]*0.7</f>
        <v>26523539.5859957</v>
      </c>
      <c r="Q5" s="8">
        <f>Table14[[#This Row],[Total Less Fees]]*0.15</f>
        <v>5683615.6255705068</v>
      </c>
      <c r="R5" s="8">
        <f>((Table14[[#This Row],[Teva]]+Table14[[#This Row],[Allergan]])-(Table14[[#This Row],[Teva Attorney Fees]]+Table14[[#This Row],[Allergan Attorney Fees ]]))*0.15</f>
        <v>3164320.0495568337</v>
      </c>
      <c r="S5" s="8">
        <f>((Table14[[#This Row],[Walgreens]]+Table14[[#This Row],[CVS]]+Table14[[#This Row],[Walmart]])-(Table14[[#This Row],[Walgreens Attorney Fees]]+Table14[[#This Row],[CVS Attorney Fees]]+Table14[[#This Row],[Walmart Attorney Fees]]))*0.15</f>
        <v>2519295.576013674</v>
      </c>
      <c r="T5" s="9">
        <f>((Table14[[#This Row],[Teva]]-Table14[[#This Row],[Teva Attorney Fees]])*0.15)+((Table14[[#This Row],[Allergan]]-Table14[[#This Row],[Allergan Attorney Fees ]])*0.15)+((Table14[[#This Row],[Walmart]]-Table14[[#This Row],[Walmart Attorney Fees]])*0.15)</f>
        <v>3251812.4605165906</v>
      </c>
      <c r="U5" s="9"/>
      <c r="V5" s="9">
        <f>Table14[[#This Row],[Subdivision Escrow Amount]]-W5</f>
        <v>0</v>
      </c>
      <c r="W5" s="9">
        <f>Table14[[#This Row],[Subdivision Escrow Amount]]/5.67</f>
        <v>0</v>
      </c>
      <c r="X5" s="9">
        <f>(Table14[[#This Row],[Teva Attorney Fees]]*0.15)+(Table14[[#This Row],[Allergan Attorney Fees ]]*0.15)+(Table14[[#This Row],[Walmart Attorney Fees]]*0.15)</f>
        <v>214975.81404576515</v>
      </c>
      <c r="Y5" s="9">
        <f t="shared" si="0"/>
        <v>3466788.2745623556</v>
      </c>
      <c r="Z5" s="151"/>
      <c r="AB5" s="166"/>
      <c r="AC5" s="166"/>
      <c r="AD5" s="166"/>
      <c r="AE5" s="166"/>
      <c r="AF5" s="166"/>
      <c r="AG5" s="166"/>
      <c r="AH5" s="166"/>
      <c r="AI5" s="166"/>
      <c r="AJ5" s="166"/>
      <c r="AK5" s="166"/>
      <c r="AL5" s="166"/>
      <c r="AM5" s="166"/>
      <c r="AN5" s="166"/>
      <c r="AO5" s="166"/>
    </row>
    <row r="6" spans="1:41" s="7" customFormat="1" ht="15.6" x14ac:dyDescent="0.3">
      <c r="A6" s="1">
        <v>5</v>
      </c>
      <c r="B6" s="2">
        <v>47102</v>
      </c>
      <c r="C6" s="8">
        <v>10396000.192104774</v>
      </c>
      <c r="D6" s="8">
        <v>11793005.910887336</v>
      </c>
      <c r="E6" s="8">
        <v>6237776.3067822102</v>
      </c>
      <c r="F6" s="8">
        <v>10420025.759128511</v>
      </c>
      <c r="G6" s="24">
        <v>922915.72742359492</v>
      </c>
      <c r="H6" s="8">
        <f>SUM(Table14[[#This Row],[Teva]:[Walmart]])</f>
        <v>39769723.896326423</v>
      </c>
      <c r="I6" s="4">
        <f t="shared" si="1"/>
        <v>603063.87246296811</v>
      </c>
      <c r="J6" s="4">
        <f t="shared" si="2"/>
        <v>490475.23348358314</v>
      </c>
      <c r="K6" s="4">
        <f t="shared" si="3"/>
        <v>190755.16935082444</v>
      </c>
      <c r="L6" s="4">
        <f t="shared" si="4"/>
        <v>255025.79620044871</v>
      </c>
      <c r="M6" s="4">
        <f t="shared" si="5"/>
        <v>339632.987691883</v>
      </c>
      <c r="N6" s="8">
        <f>Table14[[#This Row],[Pre Fee Total]]-Table14[[#This Row],[Teva Attorney Fees]]-Table14[[#This Row],[Allergan Attorney Fees ]]-Table14[[#This Row],[Walgreens Attorney Fees]]-Table14[[#This Row],[CVS Attorney Fees]]-Table14[[#This Row],[Walmart Attorney Fees]]</f>
        <v>37890770.837136716</v>
      </c>
      <c r="O6" s="8">
        <f>Table14[[#This Row],[Total Less Fees]]*0.15</f>
        <v>5683615.6255705068</v>
      </c>
      <c r="P6" s="8">
        <f>Table14[[#This Row],[Total Less Fees]]*0.7</f>
        <v>26523539.5859957</v>
      </c>
      <c r="Q6" s="8">
        <f>Table14[[#This Row],[Total Less Fees]]*0.15</f>
        <v>5683615.6255705068</v>
      </c>
      <c r="R6" s="8">
        <f>((Table14[[#This Row],[Teva]]+Table14[[#This Row],[Allergan]])-(Table14[[#This Row],[Teva Attorney Fees]]+Table14[[#This Row],[Allergan Attorney Fees ]]))*0.15</f>
        <v>3164320.0495568337</v>
      </c>
      <c r="S6" s="8">
        <f>((Table14[[#This Row],[Walgreens]]+Table14[[#This Row],[CVS]]+Table14[[#This Row],[Walmart]])-(Table14[[#This Row],[Walgreens Attorney Fees]]+Table14[[#This Row],[CVS Attorney Fees]]+Table14[[#This Row],[Walmart Attorney Fees]]))*0.15</f>
        <v>2519295.576013674</v>
      </c>
      <c r="T6" s="9">
        <f>((Table14[[#This Row],[Teva]]-Table14[[#This Row],[Teva Attorney Fees]])*0.15)+((Table14[[#This Row],[Allergan]]-Table14[[#This Row],[Allergan Attorney Fees ]])*0.15)+((Table14[[#This Row],[Walmart]]-Table14[[#This Row],[Walmart Attorney Fees]])*0.15)</f>
        <v>3251812.4605165906</v>
      </c>
      <c r="U6" s="9"/>
      <c r="V6" s="9">
        <f>Table14[[#This Row],[Subdivision Escrow Amount]]-W6</f>
        <v>0</v>
      </c>
      <c r="W6" s="9">
        <f>Table14[[#This Row],[Subdivision Escrow Amount]]/5.67</f>
        <v>0</v>
      </c>
      <c r="X6" s="9">
        <f>(Table14[[#This Row],[Teva Attorney Fees]]*0.15)+(Table14[[#This Row],[Allergan Attorney Fees ]]*0.15)+(Table14[[#This Row],[Walmart Attorney Fees]]*0.15)</f>
        <v>214975.81404576515</v>
      </c>
      <c r="Y6" s="9">
        <f t="shared" si="0"/>
        <v>3466788.2745623556</v>
      </c>
      <c r="Z6" s="151"/>
      <c r="AB6" s="166"/>
      <c r="AC6" s="166"/>
      <c r="AD6" s="166"/>
      <c r="AE6" s="166"/>
      <c r="AF6" s="166"/>
      <c r="AG6" s="166"/>
      <c r="AH6" s="166"/>
      <c r="AI6" s="166"/>
      <c r="AJ6" s="166"/>
      <c r="AK6" s="166"/>
      <c r="AL6" s="166"/>
      <c r="AM6" s="166"/>
      <c r="AN6" s="166"/>
      <c r="AO6" s="166"/>
    </row>
    <row r="7" spans="1:41" s="7" customFormat="1" ht="15.6" x14ac:dyDescent="0.3">
      <c r="A7" s="1">
        <v>6</v>
      </c>
      <c r="B7" s="2">
        <v>47467</v>
      </c>
      <c r="C7" s="8">
        <v>10396000.192104774</v>
      </c>
      <c r="D7" s="8">
        <v>11793005.910887336</v>
      </c>
      <c r="E7" s="8">
        <v>8269933.0440857112</v>
      </c>
      <c r="F7" s="8">
        <v>12304872.975783542</v>
      </c>
      <c r="G7" s="24">
        <v>922915.72742359492</v>
      </c>
      <c r="H7" s="8">
        <f>SUM(Table14[[#This Row],[Teva]:[Walmart]])</f>
        <v>43686727.850284956</v>
      </c>
      <c r="I7" s="8"/>
      <c r="J7" s="8"/>
      <c r="K7" s="8"/>
      <c r="L7" s="8"/>
      <c r="M7" s="8"/>
      <c r="N7" s="8">
        <f>Table14[[#This Row],[Pre Fee Total]]-Table14[[#This Row],[Teva Attorney Fees]]-Table14[[#This Row],[Allergan Attorney Fees ]]-Table14[[#This Row],[Walgreens Attorney Fees]]-Table14[[#This Row],[CVS Attorney Fees]]-Table14[[#This Row],[Walmart Attorney Fees]]</f>
        <v>43686727.850284956</v>
      </c>
      <c r="O7" s="8">
        <f>Table14[[#This Row],[Total Less Fees]]*0.15</f>
        <v>6553009.1775427433</v>
      </c>
      <c r="P7" s="8">
        <f>Table14[[#This Row],[Total Less Fees]]*0.7</f>
        <v>30580709.495199468</v>
      </c>
      <c r="Q7" s="8">
        <f>Table14[[#This Row],[Total Less Fees]]*0.15</f>
        <v>6553009.1775427433</v>
      </c>
      <c r="R7" s="8">
        <f>((Table14[[#This Row],[Teva]]+Table14[[#This Row],[Allergan]])-(Table14[[#This Row],[Teva Attorney Fees]]+Table14[[#This Row],[Allergan Attorney Fees ]]))*0.15</f>
        <v>3328350.9154488165</v>
      </c>
      <c r="S7" s="8">
        <f>((Table14[[#This Row],[Walgreens]]+Table14[[#This Row],[CVS]]+Table14[[#This Row],[Walmart]])-(Table14[[#This Row],[Walgreens Attorney Fees]]+Table14[[#This Row],[CVS Attorney Fees]]+Table14[[#This Row],[Walmart Attorney Fees]]))*0.15</f>
        <v>3224658.2620939268</v>
      </c>
      <c r="T7" s="9">
        <f>((Table14[[#This Row],[Teva]]-Table14[[#This Row],[Teva Attorney Fees]])*0.15)+((Table14[[#This Row],[Allergan]]-Table14[[#This Row],[Allergan Attorney Fees ]])*0.15)+((Table14[[#This Row],[Walmart]]-Table14[[#This Row],[Walmart Attorney Fees]])*0.15)</f>
        <v>3466788.2745623556</v>
      </c>
      <c r="U7" s="9"/>
      <c r="V7" s="9">
        <f>Table14[[#This Row],[Subdivision Escrow Amount]]-W7</f>
        <v>0</v>
      </c>
      <c r="W7" s="9">
        <f>Table14[[#This Row],[Subdivision Escrow Amount]]/5.67</f>
        <v>0</v>
      </c>
      <c r="X7" s="9"/>
      <c r="Y7" s="9">
        <f t="shared" si="0"/>
        <v>3466788.2745623556</v>
      </c>
      <c r="Z7" s="151"/>
    </row>
    <row r="8" spans="1:41" s="7" customFormat="1" ht="15.6" x14ac:dyDescent="0.3">
      <c r="A8" s="1">
        <v>7</v>
      </c>
      <c r="B8" s="2">
        <v>47832</v>
      </c>
      <c r="C8" s="8">
        <v>10396000.192104772</v>
      </c>
      <c r="D8" s="8">
        <v>11793005.910887336</v>
      </c>
      <c r="E8" s="8">
        <v>8269933.0440857112</v>
      </c>
      <c r="F8" s="8">
        <v>11784284.816807389</v>
      </c>
      <c r="G8" s="24"/>
      <c r="H8" s="8">
        <f>SUM(Table14[[#This Row],[Teva]:[Walmart]])</f>
        <v>42243223.96388521</v>
      </c>
      <c r="I8" s="8"/>
      <c r="J8" s="8"/>
      <c r="K8" s="8"/>
      <c r="L8" s="8"/>
      <c r="M8" s="8"/>
      <c r="N8" s="8">
        <f>Table14[[#This Row],[Pre Fee Total]]-Table14[[#This Row],[Teva Attorney Fees]]-Table14[[#This Row],[Allergan Attorney Fees ]]-Table14[[#This Row],[Walgreens Attorney Fees]]-Table14[[#This Row],[CVS Attorney Fees]]-Table14[[#This Row],[Walmart Attorney Fees]]</f>
        <v>42243223.96388521</v>
      </c>
      <c r="O8" s="8">
        <f>Table14[[#This Row],[Total Less Fees]]*0.15</f>
        <v>6336483.5945827812</v>
      </c>
      <c r="P8" s="8">
        <f>Table14[[#This Row],[Total Less Fees]]*0.7</f>
        <v>29570256.774719644</v>
      </c>
      <c r="Q8" s="8">
        <f>Table14[[#This Row],[Total Less Fees]]*0.15</f>
        <v>6336483.5945827812</v>
      </c>
      <c r="R8" s="8">
        <f>((Table14[[#This Row],[Teva]]+Table14[[#This Row],[Allergan]])-(Table14[[#This Row],[Teva Attorney Fees]]+Table14[[#This Row],[Allergan Attorney Fees ]]))*0.15</f>
        <v>3328350.9154488165</v>
      </c>
      <c r="S8" s="8">
        <f>((Table14[[#This Row],[Walgreens]]+Table14[[#This Row],[CVS]]+Table14[[#This Row],[Walmart]])-(Table14[[#This Row],[Walgreens Attorney Fees]]+Table14[[#This Row],[CVS Attorney Fees]]+Table14[[#This Row],[Walmart Attorney Fees]]))*0.15</f>
        <v>3008132.6791339652</v>
      </c>
      <c r="T8" s="9">
        <f>((Table14[[#This Row],[Teva]]-Table14[[#This Row],[Teva Attorney Fees]])*0.15)+((Table14[[#This Row],[Allergan]]-Table14[[#This Row],[Allergan Attorney Fees ]])*0.15)+((Table14[[#This Row],[Walmart]]-Table14[[#This Row],[Walmart Attorney Fees]])*0.15)</f>
        <v>3328350.9154488165</v>
      </c>
      <c r="U8" s="9"/>
      <c r="V8" s="9">
        <f>Table14[[#This Row],[Subdivision Escrow Amount]]-W8</f>
        <v>0</v>
      </c>
      <c r="W8" s="9">
        <f>Table14[[#This Row],[Subdivision Escrow Amount]]/5.67</f>
        <v>0</v>
      </c>
      <c r="X8" s="9"/>
      <c r="Y8" s="9">
        <f t="shared" si="0"/>
        <v>3328350.9154488165</v>
      </c>
      <c r="Z8" s="151"/>
    </row>
    <row r="9" spans="1:41" s="7" customFormat="1" ht="15.6" x14ac:dyDescent="0.3">
      <c r="A9" s="1">
        <v>8</v>
      </c>
      <c r="B9" s="2">
        <v>48197</v>
      </c>
      <c r="C9" s="8">
        <v>10396000.192104772</v>
      </c>
      <c r="D9" s="8"/>
      <c r="E9" s="8">
        <v>10544770.375213776</v>
      </c>
      <c r="F9" s="8">
        <v>11263696.657831237</v>
      </c>
      <c r="G9" s="24"/>
      <c r="H9" s="8">
        <f>SUM(Table14[[#This Row],[Teva]:[Walmart]])</f>
        <v>32204467.225149784</v>
      </c>
      <c r="I9" s="8"/>
      <c r="J9" s="8"/>
      <c r="K9" s="8"/>
      <c r="L9" s="8"/>
      <c r="M9" s="8"/>
      <c r="N9" s="8">
        <f>Table14[[#This Row],[Pre Fee Total]]-Table14[[#This Row],[Teva Attorney Fees]]-Table14[[#This Row],[Allergan Attorney Fees ]]-Table14[[#This Row],[Walgreens Attorney Fees]]-Table14[[#This Row],[CVS Attorney Fees]]-Table14[[#This Row],[Walmart Attorney Fees]]</f>
        <v>32204467.225149784</v>
      </c>
      <c r="O9" s="8">
        <f>Table14[[#This Row],[Total Less Fees]]*0.15</f>
        <v>4830670.0837724674</v>
      </c>
      <c r="P9" s="8">
        <f>Table14[[#This Row],[Total Less Fees]]*0.7</f>
        <v>22543127.057604849</v>
      </c>
      <c r="Q9" s="8">
        <f>Table14[[#This Row],[Total Less Fees]]*0.15</f>
        <v>4830670.0837724674</v>
      </c>
      <c r="R9" s="8">
        <f>((Table14[[#This Row],[Teva]]+Table14[[#This Row],[Allergan]])-(Table14[[#This Row],[Teva Attorney Fees]]+Table14[[#This Row],[Allergan Attorney Fees ]]))*0.15</f>
        <v>1559400.0288157158</v>
      </c>
      <c r="S9" s="8">
        <f>((Table14[[#This Row],[Walgreens]]+Table14[[#This Row],[CVS]]+Table14[[#This Row],[Walmart]])-(Table14[[#This Row],[Walgreens Attorney Fees]]+Table14[[#This Row],[CVS Attorney Fees]]+Table14[[#This Row],[Walmart Attorney Fees]]))*0.15</f>
        <v>3271270.0549567519</v>
      </c>
      <c r="T9" s="9">
        <f>((Table14[[#This Row],[Teva]]-Table14[[#This Row],[Teva Attorney Fees]])*0.15)+((Table14[[#This Row],[Allergan]]-Table14[[#This Row],[Allergan Attorney Fees ]])*0.15)+((Table14[[#This Row],[Walmart]]-Table14[[#This Row],[Walmart Attorney Fees]])*0.15)</f>
        <v>1559400.0288157158</v>
      </c>
      <c r="U9" s="9"/>
      <c r="V9" s="9">
        <f>Table14[[#This Row],[Subdivision Escrow Amount]]-W9</f>
        <v>0</v>
      </c>
      <c r="W9" s="9">
        <f>Table14[[#This Row],[Subdivision Escrow Amount]]/5.67</f>
        <v>0</v>
      </c>
      <c r="X9" s="9"/>
      <c r="Y9" s="9">
        <f t="shared" si="0"/>
        <v>1559400.0288157158</v>
      </c>
      <c r="Z9" s="151"/>
    </row>
    <row r="10" spans="1:41" s="7" customFormat="1" ht="15.6" x14ac:dyDescent="0.3">
      <c r="A10" s="1">
        <v>9</v>
      </c>
      <c r="B10" s="2">
        <v>48563</v>
      </c>
      <c r="C10" s="8">
        <v>10396000.192104772</v>
      </c>
      <c r="D10" s="8"/>
      <c r="E10" s="8">
        <v>10544770.375213776</v>
      </c>
      <c r="F10" s="8">
        <v>11255434.610461835</v>
      </c>
      <c r="G10" s="24"/>
      <c r="H10" s="8">
        <f>SUM(Table14[[#This Row],[Teva]:[Walmart]])</f>
        <v>32196205.177780382</v>
      </c>
      <c r="I10" s="8"/>
      <c r="J10" s="8"/>
      <c r="K10" s="8"/>
      <c r="L10" s="8"/>
      <c r="M10" s="8"/>
      <c r="N10" s="8">
        <f>Table14[[#This Row],[Pre Fee Total]]-Table14[[#This Row],[Teva Attorney Fees]]-Table14[[#This Row],[Allergan Attorney Fees ]]-Table14[[#This Row],[Walgreens Attorney Fees]]-Table14[[#This Row],[CVS Attorney Fees]]-Table14[[#This Row],[Walmart Attorney Fees]]</f>
        <v>32196205.177780382</v>
      </c>
      <c r="O10" s="8">
        <f>Table14[[#This Row],[Total Less Fees]]*0.15</f>
        <v>4829430.7766670575</v>
      </c>
      <c r="P10" s="8">
        <f>Table14[[#This Row],[Total Less Fees]]*0.7</f>
        <v>22537343.624446265</v>
      </c>
      <c r="Q10" s="8">
        <f>Table14[[#This Row],[Total Less Fees]]*0.15</f>
        <v>4829430.7766670575</v>
      </c>
      <c r="R10" s="8">
        <f>((Table14[[#This Row],[Teva]]+Table14[[#This Row],[Allergan]])-(Table14[[#This Row],[Teva Attorney Fees]]+Table14[[#This Row],[Allergan Attorney Fees ]]))*0.15</f>
        <v>1559400.0288157158</v>
      </c>
      <c r="S10" s="8">
        <f>((Table14[[#This Row],[Walgreens]]+Table14[[#This Row],[CVS]]+Table14[[#This Row],[Walmart]])-(Table14[[#This Row],[Walgreens Attorney Fees]]+Table14[[#This Row],[CVS Attorney Fees]]+Table14[[#This Row],[Walmart Attorney Fees]]))*0.15</f>
        <v>3270030.7478513415</v>
      </c>
      <c r="T10" s="9">
        <f>((Table14[[#This Row],[Teva]]-Table14[[#This Row],[Teva Attorney Fees]])*0.15)+((Table14[[#This Row],[Allergan]]-Table14[[#This Row],[Allergan Attorney Fees ]])*0.15)+((Table14[[#This Row],[Walmart]]-Table14[[#This Row],[Walmart Attorney Fees]])*0.15)</f>
        <v>1559400.0288157158</v>
      </c>
      <c r="U10" s="9"/>
      <c r="V10" s="9">
        <f>Table14[[#This Row],[Subdivision Escrow Amount]]-W10</f>
        <v>0</v>
      </c>
      <c r="W10" s="9">
        <f>Table14[[#This Row],[Subdivision Escrow Amount]]/5.67</f>
        <v>0</v>
      </c>
      <c r="X10" s="9"/>
      <c r="Y10" s="9">
        <f t="shared" si="0"/>
        <v>1559400.0288157158</v>
      </c>
      <c r="Z10" s="151"/>
    </row>
    <row r="11" spans="1:41" s="7" customFormat="1" ht="15.6" x14ac:dyDescent="0.3">
      <c r="A11" s="1">
        <v>10</v>
      </c>
      <c r="B11" s="2">
        <v>48928</v>
      </c>
      <c r="C11" s="8">
        <v>10396000.192104772</v>
      </c>
      <c r="D11" s="8"/>
      <c r="E11" s="8">
        <v>10544770.375213776</v>
      </c>
      <c r="F11" s="8">
        <v>11255434.628814805</v>
      </c>
      <c r="G11" s="8"/>
      <c r="H11" s="8">
        <f>SUM(Table14[[#This Row],[Teva]:[Walmart]])</f>
        <v>32196205.196133353</v>
      </c>
      <c r="I11" s="8"/>
      <c r="J11" s="8"/>
      <c r="K11" s="8"/>
      <c r="L11" s="8"/>
      <c r="M11" s="8"/>
      <c r="N11" s="8">
        <f>Table14[[#This Row],[Pre Fee Total]]-Table14[[#This Row],[Teva Attorney Fees]]-Table14[[#This Row],[Allergan Attorney Fees ]]-Table14[[#This Row],[Walgreens Attorney Fees]]-Table14[[#This Row],[CVS Attorney Fees]]-Table14[[#This Row],[Walmart Attorney Fees]]</f>
        <v>32196205.196133353</v>
      </c>
      <c r="O11" s="8">
        <f>Table14[[#This Row],[Total Less Fees]]*0.15</f>
        <v>4829430.7794200024</v>
      </c>
      <c r="P11" s="8">
        <f>Table14[[#This Row],[Total Less Fees]]*0.7</f>
        <v>22537343.637293346</v>
      </c>
      <c r="Q11" s="8">
        <f>Table14[[#This Row],[Total Less Fees]]*0.15</f>
        <v>4829430.7794200024</v>
      </c>
      <c r="R11" s="8">
        <f>((Table14[[#This Row],[Teva]]+Table14[[#This Row],[Allergan]])-(Table14[[#This Row],[Teva Attorney Fees]]+Table14[[#This Row],[Allergan Attorney Fees ]]))*0.15</f>
        <v>1559400.0288157158</v>
      </c>
      <c r="S11" s="8">
        <f>((Table14[[#This Row],[Walgreens]]+Table14[[#This Row],[CVS]]+Table14[[#This Row],[Walmart]])-(Table14[[#This Row],[Walgreens Attorney Fees]]+Table14[[#This Row],[CVS Attorney Fees]]+Table14[[#This Row],[Walmart Attorney Fees]]))*0.15</f>
        <v>3270030.7506042873</v>
      </c>
      <c r="T11" s="9">
        <f>((Table14[[#This Row],[Teva]]-Table14[[#This Row],[Teva Attorney Fees]])*0.15)+((Table14[[#This Row],[Allergan]]-Table14[[#This Row],[Allergan Attorney Fees ]])*0.15)+((Table14[[#This Row],[Walmart]]-Table14[[#This Row],[Walmart Attorney Fees]])*0.15)</f>
        <v>1559400.0288157158</v>
      </c>
      <c r="U11" s="9"/>
      <c r="V11" s="9">
        <f>Table14[[#This Row],[Subdivision Escrow Amount]]-W11</f>
        <v>0</v>
      </c>
      <c r="W11" s="9">
        <f>Table14[[#This Row],[Subdivision Escrow Amount]]/5.67</f>
        <v>0</v>
      </c>
      <c r="X11" s="9"/>
      <c r="Y11" s="9">
        <f t="shared" si="0"/>
        <v>1559400.0288157158</v>
      </c>
      <c r="Z11" s="151"/>
    </row>
    <row r="12" spans="1:41" s="7" customFormat="1" ht="15.6" x14ac:dyDescent="0.3">
      <c r="A12" s="1">
        <v>11</v>
      </c>
      <c r="B12" s="2">
        <v>49293</v>
      </c>
      <c r="C12" s="8">
        <v>10396000.192104774</v>
      </c>
      <c r="D12" s="8"/>
      <c r="E12" s="8">
        <v>10544770.375213776</v>
      </c>
      <c r="F12" s="8"/>
      <c r="G12" s="8"/>
      <c r="H12" s="8">
        <f>SUM(Table14[[#This Row],[Teva]:[Walmart]])</f>
        <v>20940770.567318551</v>
      </c>
      <c r="I12" s="8"/>
      <c r="J12" s="8"/>
      <c r="K12" s="8"/>
      <c r="L12" s="8"/>
      <c r="M12" s="8"/>
      <c r="N12" s="8">
        <f>Table14[[#This Row],[Pre Fee Total]]-Table14[[#This Row],[Teva Attorney Fees]]-Table14[[#This Row],[Allergan Attorney Fees ]]-Table14[[#This Row],[Walgreens Attorney Fees]]-Table14[[#This Row],[CVS Attorney Fees]]-Table14[[#This Row],[Walmart Attorney Fees]]</f>
        <v>20940770.567318551</v>
      </c>
      <c r="O12" s="8">
        <f>Table14[[#This Row],[Total Less Fees]]*0.15</f>
        <v>3141115.5850977828</v>
      </c>
      <c r="P12" s="8">
        <f>Table14[[#This Row],[Total Less Fees]]*0.7</f>
        <v>14658539.397122985</v>
      </c>
      <c r="Q12" s="8">
        <f>Table14[[#This Row],[Total Less Fees]]*0.15</f>
        <v>3141115.5850977828</v>
      </c>
      <c r="R12" s="8">
        <f>((Table14[[#This Row],[Teva]]+Table14[[#This Row],[Allergan]])-(Table14[[#This Row],[Teva Attorney Fees]]+Table14[[#This Row],[Allergan Attorney Fees ]]))*0.15</f>
        <v>1559400.028815716</v>
      </c>
      <c r="S12" s="8">
        <f>((Table14[[#This Row],[Walgreens]]+Table14[[#This Row],[CVS]]+Table14[[#This Row],[Walmart]])-(Table14[[#This Row],[Walgreens Attorney Fees]]+Table14[[#This Row],[CVS Attorney Fees]]+Table14[[#This Row],[Walmart Attorney Fees]]))*0.15</f>
        <v>1581715.5562820663</v>
      </c>
      <c r="T12" s="9">
        <f>((Table14[[#This Row],[Teva]]-Table14[[#This Row],[Teva Attorney Fees]])*0.15)+((Table14[[#This Row],[Allergan]]-Table14[[#This Row],[Allergan Attorney Fees ]])*0.15)+((Table14[[#This Row],[Walmart]]-Table14[[#This Row],[Walmart Attorney Fees]])*0.15)</f>
        <v>1559400.028815716</v>
      </c>
      <c r="U12" s="9"/>
      <c r="V12" s="9">
        <f>Table14[[#This Row],[Subdivision Escrow Amount]]-W12</f>
        <v>0</v>
      </c>
      <c r="W12" s="9">
        <f>Table14[[#This Row],[Subdivision Escrow Amount]]/5.67</f>
        <v>0</v>
      </c>
      <c r="X12" s="9"/>
      <c r="Y12" s="9">
        <f t="shared" si="0"/>
        <v>1559400.028815716</v>
      </c>
      <c r="Z12" s="151"/>
    </row>
    <row r="13" spans="1:41" s="7" customFormat="1" ht="15.6" x14ac:dyDescent="0.3">
      <c r="A13" s="1">
        <v>12</v>
      </c>
      <c r="B13" s="2">
        <v>49658</v>
      </c>
      <c r="C13" s="8">
        <v>10396000.192104774</v>
      </c>
      <c r="D13" s="8"/>
      <c r="E13" s="8">
        <v>10544770.375213776</v>
      </c>
      <c r="F13" s="8"/>
      <c r="G13" s="8"/>
      <c r="H13" s="8">
        <f>SUM(Table14[[#This Row],[Teva]:[Walmart]])</f>
        <v>20940770.567318551</v>
      </c>
      <c r="I13" s="8"/>
      <c r="J13" s="8"/>
      <c r="K13" s="8"/>
      <c r="L13" s="8"/>
      <c r="M13" s="8"/>
      <c r="N13" s="8">
        <f>Table14[[#This Row],[Pre Fee Total]]-Table14[[#This Row],[Teva Attorney Fees]]-Table14[[#This Row],[Allergan Attorney Fees ]]-Table14[[#This Row],[Walgreens Attorney Fees]]-Table14[[#This Row],[CVS Attorney Fees]]-Table14[[#This Row],[Walmart Attorney Fees]]</f>
        <v>20940770.567318551</v>
      </c>
      <c r="O13" s="8">
        <f>Table14[[#This Row],[Total Less Fees]]*0.15</f>
        <v>3141115.5850977828</v>
      </c>
      <c r="P13" s="8">
        <f>Table14[[#This Row],[Total Less Fees]]*0.7</f>
        <v>14658539.397122985</v>
      </c>
      <c r="Q13" s="8">
        <f>Table14[[#This Row],[Total Less Fees]]*0.15</f>
        <v>3141115.5850977828</v>
      </c>
      <c r="R13" s="8">
        <f>((Table14[[#This Row],[Teva]]+Table14[[#This Row],[Allergan]])-(Table14[[#This Row],[Teva Attorney Fees]]+Table14[[#This Row],[Allergan Attorney Fees ]]))*0.15</f>
        <v>1559400.028815716</v>
      </c>
      <c r="S13" s="8">
        <f>((Table14[[#This Row],[Walgreens]]+Table14[[#This Row],[CVS]]+Table14[[#This Row],[Walmart]])-(Table14[[#This Row],[Walgreens Attorney Fees]]+Table14[[#This Row],[CVS Attorney Fees]]+Table14[[#This Row],[Walmart Attorney Fees]]))*0.15</f>
        <v>1581715.5562820663</v>
      </c>
      <c r="T13" s="9">
        <f>((Table14[[#This Row],[Teva]]-Table14[[#This Row],[Teva Attorney Fees]])*0.15)+((Table14[[#This Row],[Allergan]]-Table14[[#This Row],[Allergan Attorney Fees ]])*0.15)+((Table14[[#This Row],[Walmart]]-Table14[[#This Row],[Walmart Attorney Fees]])*0.15)</f>
        <v>1559400.028815716</v>
      </c>
      <c r="U13" s="9"/>
      <c r="V13" s="9">
        <f>Table14[[#This Row],[Subdivision Escrow Amount]]-W13</f>
        <v>0</v>
      </c>
      <c r="W13" s="9">
        <f>Table14[[#This Row],[Subdivision Escrow Amount]]/5.67</f>
        <v>0</v>
      </c>
      <c r="X13" s="9"/>
      <c r="Y13" s="9">
        <f t="shared" si="0"/>
        <v>1559400.028815716</v>
      </c>
      <c r="Z13" s="151"/>
    </row>
    <row r="14" spans="1:41" s="7" customFormat="1" ht="15.6" x14ac:dyDescent="0.3">
      <c r="A14" s="1">
        <v>13</v>
      </c>
      <c r="B14" s="2">
        <v>50024</v>
      </c>
      <c r="C14" s="8">
        <v>10396000.192104774</v>
      </c>
      <c r="D14" s="8"/>
      <c r="E14" s="8">
        <v>10544770.375213776</v>
      </c>
      <c r="F14" s="8"/>
      <c r="G14" s="8"/>
      <c r="H14" s="8">
        <f>SUM(Table14[[#This Row],[Teva]:[Walmart]])</f>
        <v>20940770.567318551</v>
      </c>
      <c r="I14" s="8"/>
      <c r="J14" s="8"/>
      <c r="K14" s="8"/>
      <c r="L14" s="8"/>
      <c r="M14" s="8"/>
      <c r="N14" s="8">
        <f>Table14[[#This Row],[Pre Fee Total]]-Table14[[#This Row],[Teva Attorney Fees]]-Table14[[#This Row],[Allergan Attorney Fees ]]-Table14[[#This Row],[Walgreens Attorney Fees]]-Table14[[#This Row],[CVS Attorney Fees]]-Table14[[#This Row],[Walmart Attorney Fees]]</f>
        <v>20940770.567318551</v>
      </c>
      <c r="O14" s="8">
        <f>Table14[[#This Row],[Total Less Fees]]*0.15</f>
        <v>3141115.5850977828</v>
      </c>
      <c r="P14" s="8">
        <f>Table14[[#This Row],[Total Less Fees]]*0.7</f>
        <v>14658539.397122985</v>
      </c>
      <c r="Q14" s="8">
        <f>Table14[[#This Row],[Total Less Fees]]*0.15</f>
        <v>3141115.5850977828</v>
      </c>
      <c r="R14" s="8">
        <f>((Table14[[#This Row],[Teva]]+Table14[[#This Row],[Allergan]])-(Table14[[#This Row],[Teva Attorney Fees]]+Table14[[#This Row],[Allergan Attorney Fees ]]))*0.15</f>
        <v>1559400.028815716</v>
      </c>
      <c r="S14" s="8">
        <f>((Table14[[#This Row],[Walgreens]]+Table14[[#This Row],[CVS]]+Table14[[#This Row],[Walmart]])-(Table14[[#This Row],[Walgreens Attorney Fees]]+Table14[[#This Row],[CVS Attorney Fees]]+Table14[[#This Row],[Walmart Attorney Fees]]))*0.15</f>
        <v>1581715.5562820663</v>
      </c>
      <c r="T14" s="9">
        <f>((Table14[[#This Row],[Teva]]-Table14[[#This Row],[Teva Attorney Fees]])*0.15)+((Table14[[#This Row],[Allergan]]-Table14[[#This Row],[Allergan Attorney Fees ]])*0.15)+((Table14[[#This Row],[Walmart]]-Table14[[#This Row],[Walmart Attorney Fees]])*0.15)</f>
        <v>1559400.028815716</v>
      </c>
      <c r="U14" s="9"/>
      <c r="V14" s="9">
        <f>Table14[[#This Row],[Subdivision Escrow Amount]]-W14</f>
        <v>0</v>
      </c>
      <c r="W14" s="9">
        <f>Table14[[#This Row],[Subdivision Escrow Amount]]/5.67</f>
        <v>0</v>
      </c>
      <c r="X14" s="9"/>
      <c r="Y14" s="9">
        <f t="shared" si="0"/>
        <v>1559400.028815716</v>
      </c>
      <c r="Z14" s="151"/>
    </row>
    <row r="15" spans="1:41" s="7" customFormat="1" ht="15.6" x14ac:dyDescent="0.3">
      <c r="A15" s="1">
        <v>14</v>
      </c>
      <c r="B15" s="2">
        <v>50389</v>
      </c>
      <c r="C15" s="8"/>
      <c r="D15" s="8"/>
      <c r="E15" s="8">
        <v>10544770.375213776</v>
      </c>
      <c r="F15" s="8"/>
      <c r="G15" s="8"/>
      <c r="H15" s="8">
        <f>SUM(Table14[[#This Row],[Teva]:[Walmart]])</f>
        <v>10544770.375213776</v>
      </c>
      <c r="I15" s="8"/>
      <c r="J15" s="8"/>
      <c r="K15" s="8"/>
      <c r="L15" s="8"/>
      <c r="M15" s="8"/>
      <c r="N15" s="8">
        <f>Table14[[#This Row],[Pre Fee Total]]-Table14[[#This Row],[Teva Attorney Fees]]-Table14[[#This Row],[Allergan Attorney Fees ]]-Table14[[#This Row],[Walgreens Attorney Fees]]-Table14[[#This Row],[CVS Attorney Fees]]-Table14[[#This Row],[Walmart Attorney Fees]]</f>
        <v>10544770.375213776</v>
      </c>
      <c r="O15" s="8">
        <f>Table14[[#This Row],[Total Less Fees]]*0.15</f>
        <v>1581715.5562820663</v>
      </c>
      <c r="P15" s="8">
        <f>Table14[[#This Row],[Total Less Fees]]*0.7</f>
        <v>7381339.2626496423</v>
      </c>
      <c r="Q15" s="8">
        <f>Table14[[#This Row],[Total Less Fees]]*0.15</f>
        <v>1581715.5562820663</v>
      </c>
      <c r="R15" s="8">
        <f>((Table14[[#This Row],[Teva]]+Table14[[#This Row],[Allergan]])-(Table14[[#This Row],[Teva Attorney Fees]]+Table14[[#This Row],[Allergan Attorney Fees ]]))*0.15</f>
        <v>0</v>
      </c>
      <c r="S15" s="8">
        <f>((Table14[[#This Row],[Walgreens]]+Table14[[#This Row],[CVS]]+Table14[[#This Row],[Walmart]])-(Table14[[#This Row],[Walgreens Attorney Fees]]+Table14[[#This Row],[CVS Attorney Fees]]+Table14[[#This Row],[Walmart Attorney Fees]]))*0.15</f>
        <v>1581715.5562820663</v>
      </c>
      <c r="T15" s="9">
        <f>((Table14[[#This Row],[Teva]]-Table14[[#This Row],[Teva Attorney Fees]])*0.15)+((Table14[[#This Row],[Allergan]]-Table14[[#This Row],[Allergan Attorney Fees ]])*0.15)+((Table14[[#This Row],[Walmart]]-Table14[[#This Row],[Walmart Attorney Fees]])*0.15)</f>
        <v>0</v>
      </c>
      <c r="U15" s="9"/>
      <c r="V15" s="9">
        <f>Table14[[#This Row],[Subdivision Escrow Amount]]-W15</f>
        <v>0</v>
      </c>
      <c r="W15" s="9">
        <f>Table14[[#This Row],[Subdivision Escrow Amount]]/5.67</f>
        <v>0</v>
      </c>
      <c r="X15" s="9"/>
      <c r="Y15" s="9">
        <f t="shared" si="0"/>
        <v>0</v>
      </c>
      <c r="Z15" s="151"/>
    </row>
    <row r="16" spans="1:41" s="7" customFormat="1" ht="15.6" x14ac:dyDescent="0.3">
      <c r="A16" s="1">
        <v>15</v>
      </c>
      <c r="B16" s="2">
        <v>50754</v>
      </c>
      <c r="C16" s="8"/>
      <c r="D16" s="8"/>
      <c r="E16" s="8">
        <v>10544770.375213776</v>
      </c>
      <c r="F16" s="8"/>
      <c r="G16" s="8"/>
      <c r="H16" s="8">
        <f>SUM(Table14[[#This Row],[Teva]:[Walmart]])</f>
        <v>10544770.375213776</v>
      </c>
      <c r="I16" s="8"/>
      <c r="J16" s="8"/>
      <c r="K16" s="8"/>
      <c r="L16" s="8"/>
      <c r="M16" s="8"/>
      <c r="N16" s="8">
        <f>Table14[[#This Row],[Pre Fee Total]]-Table14[[#This Row],[Teva Attorney Fees]]-Table14[[#This Row],[Allergan Attorney Fees ]]-Table14[[#This Row],[Walgreens Attorney Fees]]-Table14[[#This Row],[CVS Attorney Fees]]-Table14[[#This Row],[Walmart Attorney Fees]]</f>
        <v>10544770.375213776</v>
      </c>
      <c r="O16" s="8">
        <f>Table14[[#This Row],[Total Less Fees]]*0.15</f>
        <v>1581715.5562820663</v>
      </c>
      <c r="P16" s="8">
        <f>Table14[[#This Row],[Total Less Fees]]*0.7</f>
        <v>7381339.2626496423</v>
      </c>
      <c r="Q16" s="8">
        <f>Table14[[#This Row],[Total Less Fees]]*0.15</f>
        <v>1581715.5562820663</v>
      </c>
      <c r="R16" s="8">
        <f>((Table14[[#This Row],[Teva]]+Table14[[#This Row],[Allergan]])-(Table14[[#This Row],[Teva Attorney Fees]]+Table14[[#This Row],[Allergan Attorney Fees ]]))*0.15</f>
        <v>0</v>
      </c>
      <c r="S16" s="8">
        <f>((Table14[[#This Row],[Walgreens]]+Table14[[#This Row],[CVS]]+Table14[[#This Row],[Walmart]])-(Table14[[#This Row],[Walgreens Attorney Fees]]+Table14[[#This Row],[CVS Attorney Fees]]+Table14[[#This Row],[Walmart Attorney Fees]]))*0.15</f>
        <v>1581715.5562820663</v>
      </c>
      <c r="T16" s="9">
        <f>((Table14[[#This Row],[Teva]]-Table14[[#This Row],[Teva Attorney Fees]])*0.15)+((Table14[[#This Row],[Allergan]]-Table14[[#This Row],[Allergan Attorney Fees ]])*0.15)+((Table14[[#This Row],[Walmart]]-Table14[[#This Row],[Walmart Attorney Fees]])*0.15)</f>
        <v>0</v>
      </c>
      <c r="U16" s="9"/>
      <c r="V16" s="9">
        <f>Table14[[#This Row],[Subdivision Escrow Amount]]-W16</f>
        <v>0</v>
      </c>
      <c r="W16" s="9">
        <f>Table14[[#This Row],[Subdivision Escrow Amount]]/5.67</f>
        <v>0</v>
      </c>
      <c r="X16" s="9"/>
      <c r="Y16" s="9">
        <f t="shared" si="0"/>
        <v>0</v>
      </c>
      <c r="Z16" s="151"/>
    </row>
    <row r="17" spans="1:26" s="7" customFormat="1" ht="15.6" x14ac:dyDescent="0.3">
      <c r="A17" s="8" t="s">
        <v>6</v>
      </c>
      <c r="B17" s="8"/>
      <c r="C17" s="8">
        <f>SUM(C2:C16)</f>
        <v>138317401.94104773</v>
      </c>
      <c r="D17" s="8">
        <f>SUM(D2:D16)</f>
        <v>82571588.128549337</v>
      </c>
      <c r="E17" s="8">
        <f>SUM(E2:E16)</f>
        <v>136253692.39344603</v>
      </c>
      <c r="F17" s="8">
        <f>SUM(F2:F16)</f>
        <v>101200712.77795583</v>
      </c>
      <c r="G17" s="8">
        <f>SUM(G2:G16)</f>
        <v>123055430.323146</v>
      </c>
      <c r="H17" s="8">
        <f>SUM(Table14[[#This Row],[Teva]:[Walmart]])</f>
        <v>581398825.56414497</v>
      </c>
      <c r="I17" s="8">
        <f>Table14[[#This Row],[Teva]]*0.0218</f>
        <v>3015319.3623148403</v>
      </c>
      <c r="J17" s="8">
        <f>Table14[[#This Row],[Allergan]]*(0.0297)</f>
        <v>2452376.1674179155</v>
      </c>
      <c r="K17" s="8">
        <f>Table14[[#This Row],[Walgreens]]*0.007</f>
        <v>953775.84675412218</v>
      </c>
      <c r="L17" s="8">
        <f>SUM(Table14[[#This Row],[CVS]]*0.0126)</f>
        <v>1275128.9810022435</v>
      </c>
      <c r="M17" s="8">
        <f>Table14[[#This Row],[Walmart]]*0.0138</f>
        <v>1698164.9384594148</v>
      </c>
      <c r="N17" s="8">
        <f>Table14[[#This Row],[Pre Fee Total]]-Table14[[#This Row],[Teva Attorney Fees]]-Table14[[#This Row],[Allergan Attorney Fees ]]-Table14[[#This Row],[Walgreens Attorney Fees]]-Table14[[#This Row],[CVS Attorney Fees]]-Table14[[#This Row],[Walmart Attorney Fees]]</f>
        <v>572004060.26819658</v>
      </c>
      <c r="O17" s="8">
        <f>Table14[[#This Row],[Total Less Fees]]*0.15</f>
        <v>85800609.040229484</v>
      </c>
      <c r="P17" s="8">
        <f>Table14[[#This Row],[Total Less Fees]]*0.7</f>
        <v>400402842.18773758</v>
      </c>
      <c r="Q17" s="8">
        <f>Table14[[#This Row],[Total Less Fees]]*0.15</f>
        <v>85800609.040229484</v>
      </c>
      <c r="R17" s="8">
        <f>((Table14[[#This Row],[Teva]]+Table14[[#This Row],[Allergan]])-(Table14[[#This Row],[Teva Attorney Fees]]+Table14[[#This Row],[Allergan Attorney Fees ]]))*0.15</f>
        <v>32313194.180979643</v>
      </c>
      <c r="S17" s="8">
        <f>((Table14[[#This Row],[Walgreens]]+Table14[[#This Row],[CVS]]+Table14[[#This Row],[Walmart]])-(Table14[[#This Row],[Walgreens Attorney Fees]]+Table14[[#This Row],[CVS Attorney Fees]]+Table14[[#This Row],[Walmart Attorney Fees]]))*0.15</f>
        <v>53487414.859249808</v>
      </c>
      <c r="T17" s="9">
        <f>((C17-I17)*0.15)+((D17-J17)*0.15)+((G17-M17)*0.15)</f>
        <v>50516783.988682628</v>
      </c>
      <c r="U17" s="9">
        <f>6000000-(6000000*0.0138)</f>
        <v>5917200</v>
      </c>
      <c r="V17" s="9">
        <f>Table14[[#This Row],[Subdivision Escrow Amount]]-W17</f>
        <v>4873602.1164021166</v>
      </c>
      <c r="W17" s="9">
        <f>Table14[[#This Row],[Subdivision Escrow Amount]]/5.67</f>
        <v>1043597.8835978836</v>
      </c>
      <c r="X17" s="9">
        <f>(Table14[[#This Row],[Teva Attorney Fees]]*0.15)+(Table14[[#This Row],[Allergan Attorney Fees ]]*0.15)+(Table14[[#This Row],[Walmart Attorney Fees]]*0.15)+(6000000*0.0138)</f>
        <v>1157679.0702288256</v>
      </c>
      <c r="Y17" s="9">
        <f>SUM(T17,U17,X17)</f>
        <v>57591663.05891145</v>
      </c>
      <c r="Z17" s="151"/>
    </row>
    <row r="18" spans="1:26" ht="15.6" x14ac:dyDescent="0.3">
      <c r="T18" s="3"/>
      <c r="U18" s="3"/>
      <c r="V18" s="3"/>
      <c r="W18" s="3"/>
      <c r="X18" s="3"/>
      <c r="Y18" s="3"/>
    </row>
    <row r="19" spans="1:26" ht="15.6" x14ac:dyDescent="0.3">
      <c r="A19" t="s">
        <v>237</v>
      </c>
      <c r="I19" s="42"/>
      <c r="J19" s="155" t="s">
        <v>317</v>
      </c>
      <c r="K19" s="42"/>
      <c r="T19" s="3"/>
      <c r="U19" s="3"/>
      <c r="V19" s="3"/>
      <c r="W19" s="3"/>
      <c r="X19" s="156"/>
      <c r="Y19" s="3"/>
    </row>
    <row r="20" spans="1:26" ht="15.6" x14ac:dyDescent="0.3">
      <c r="D20" s="15" t="s">
        <v>309</v>
      </c>
      <c r="E20" s="42"/>
      <c r="H20" s="155"/>
      <c r="I20" s="155" t="s">
        <v>242</v>
      </c>
      <c r="J20" s="43" t="s">
        <v>3</v>
      </c>
      <c r="K20" s="43" t="s">
        <v>294</v>
      </c>
      <c r="S20" s="7"/>
      <c r="T20" s="3"/>
      <c r="U20" s="3"/>
      <c r="V20" s="3"/>
      <c r="W20" s="3"/>
      <c r="X20" s="3"/>
      <c r="Y20" s="153" t="s">
        <v>426</v>
      </c>
    </row>
    <row r="21" spans="1:26" ht="15.6" x14ac:dyDescent="0.3">
      <c r="D21" s="7">
        <f>+H4</f>
        <v>44701976.657423593</v>
      </c>
      <c r="E21" t="s">
        <v>431</v>
      </c>
      <c r="H21" s="7" t="s">
        <v>242</v>
      </c>
      <c r="I21" s="48">
        <f>+D24</f>
        <v>36399570.058498807</v>
      </c>
      <c r="J21" s="48">
        <f>+D23</f>
        <v>6423453.5397350835</v>
      </c>
      <c r="K21" s="48">
        <f>+D22</f>
        <v>1878953.0591897075</v>
      </c>
      <c r="T21" s="3"/>
      <c r="U21" s="3"/>
      <c r="V21" s="3"/>
      <c r="W21" s="3"/>
      <c r="X21" s="3"/>
      <c r="Y21" s="3"/>
    </row>
    <row r="22" spans="1:26" ht="15.6" x14ac:dyDescent="0.3">
      <c r="D22" s="7">
        <f>+I4+J4+K4+L4+M4</f>
        <v>1878953.0591897075</v>
      </c>
      <c r="E22" t="s">
        <v>314</v>
      </c>
      <c r="F22" s="7"/>
      <c r="H22" s="7" t="s">
        <v>320</v>
      </c>
      <c r="I22" s="48"/>
      <c r="J22" s="48">
        <f>-+T4</f>
        <v>-4182493.2785677742</v>
      </c>
      <c r="K22" s="48">
        <f>-+X4</f>
        <v>-214975.81404576515</v>
      </c>
      <c r="S22" s="7"/>
      <c r="T22" s="9"/>
      <c r="U22" s="3"/>
      <c r="V22" s="3"/>
      <c r="W22" s="3"/>
      <c r="X22" s="3"/>
      <c r="Y22" s="9" t="s">
        <v>427</v>
      </c>
      <c r="Z22" s="17">
        <v>2097206.6</v>
      </c>
    </row>
    <row r="23" spans="1:26" ht="15.6" x14ac:dyDescent="0.3">
      <c r="D23" s="7">
        <f>+O4</f>
        <v>6423453.5397350835</v>
      </c>
      <c r="E23" t="s">
        <v>315</v>
      </c>
      <c r="H23" s="7" t="s">
        <v>316</v>
      </c>
      <c r="I23" s="48"/>
      <c r="J23" s="48">
        <f>-+D39-K23</f>
        <v>396640.23396126874</v>
      </c>
      <c r="K23" s="48">
        <f>-+D39*0.02</f>
        <v>8094.6986522707903</v>
      </c>
      <c r="S23" s="7"/>
      <c r="T23" s="3"/>
      <c r="U23" s="3"/>
      <c r="V23" s="3"/>
      <c r="W23" s="3"/>
      <c r="X23" s="9"/>
      <c r="Y23" s="3" t="s">
        <v>12</v>
      </c>
      <c r="Z23" s="17">
        <v>1895527.56</v>
      </c>
    </row>
    <row r="24" spans="1:26" ht="15.6" x14ac:dyDescent="0.3">
      <c r="D24" s="7">
        <f>+P4+Q4</f>
        <v>36399570.058498807</v>
      </c>
      <c r="E24" t="s">
        <v>430</v>
      </c>
      <c r="H24" s="7" t="s">
        <v>248</v>
      </c>
      <c r="I24" s="60"/>
      <c r="J24" s="60">
        <f>+D26</f>
        <v>0</v>
      </c>
      <c r="K24" s="60"/>
      <c r="T24" s="3"/>
      <c r="U24" s="9"/>
      <c r="V24" s="9"/>
      <c r="W24" s="9"/>
      <c r="X24" s="3"/>
      <c r="Y24" s="3" t="s">
        <v>428</v>
      </c>
      <c r="Z24" s="154">
        <v>164020.56</v>
      </c>
    </row>
    <row r="25" spans="1:26" ht="15.6" x14ac:dyDescent="0.3">
      <c r="D25" s="7">
        <v>3992734.16</v>
      </c>
      <c r="E25" t="s">
        <v>307</v>
      </c>
      <c r="H25" s="7" t="s">
        <v>6</v>
      </c>
      <c r="I25" s="48">
        <f>SUM(I21:I24)</f>
        <v>36399570.058498807</v>
      </c>
      <c r="J25" s="48">
        <f>+J21+J22+J23</f>
        <v>2637600.495128578</v>
      </c>
      <c r="K25" s="48">
        <f>+K21+K22+K23</f>
        <v>1672071.943796213</v>
      </c>
      <c r="L25" s="33"/>
      <c r="S25" s="7"/>
      <c r="Y25" s="3" t="s">
        <v>429</v>
      </c>
      <c r="Z25" s="7">
        <f>+Z22+Z23-Z24</f>
        <v>3828713.6</v>
      </c>
    </row>
    <row r="26" spans="1:26" x14ac:dyDescent="0.3">
      <c r="D26" s="51"/>
      <c r="I26" s="7"/>
      <c r="S26" s="7"/>
    </row>
    <row r="27" spans="1:26" x14ac:dyDescent="0.3">
      <c r="D27" s="33">
        <f>+C31+E31+G31+I31+K31</f>
        <v>40709242.5</v>
      </c>
      <c r="E27" s="15" t="s">
        <v>306</v>
      </c>
      <c r="L27" s="7"/>
      <c r="R27" s="7"/>
      <c r="S27" s="7"/>
    </row>
    <row r="28" spans="1:26" x14ac:dyDescent="0.3">
      <c r="D28" s="7"/>
      <c r="L28" s="7"/>
      <c r="M28" s="7"/>
      <c r="R28" s="7"/>
      <c r="S28" s="7"/>
    </row>
    <row r="29" spans="1:26" x14ac:dyDescent="0.3">
      <c r="S29" s="7"/>
    </row>
    <row r="30" spans="1:26" x14ac:dyDescent="0.3">
      <c r="B30" s="15" t="s">
        <v>451</v>
      </c>
      <c r="D30" s="155" t="s">
        <v>243</v>
      </c>
      <c r="E30" s="42"/>
      <c r="F30" s="155" t="s">
        <v>244</v>
      </c>
      <c r="G30" s="42"/>
      <c r="H30" s="155" t="s">
        <v>245</v>
      </c>
      <c r="I30" s="42"/>
      <c r="J30" s="155" t="s">
        <v>246</v>
      </c>
      <c r="K30" s="42"/>
      <c r="S30" s="7"/>
    </row>
    <row r="31" spans="1:26" x14ac:dyDescent="0.3">
      <c r="B31" t="s">
        <v>247</v>
      </c>
      <c r="C31" s="157">
        <v>12216163.699999999</v>
      </c>
      <c r="D31" t="s">
        <v>247</v>
      </c>
      <c r="E31" s="48">
        <v>12184647.029999999</v>
      </c>
      <c r="F31" s="48" t="s">
        <v>247</v>
      </c>
      <c r="G31" s="48">
        <v>922915.73</v>
      </c>
      <c r="H31" t="s">
        <v>247</v>
      </c>
      <c r="I31" s="48">
        <v>8445841.9600000009</v>
      </c>
      <c r="J31" t="s">
        <v>247</v>
      </c>
      <c r="K31" s="48">
        <v>6939674.0800000001</v>
      </c>
    </row>
    <row r="32" spans="1:26" x14ac:dyDescent="0.3">
      <c r="B32" t="s">
        <v>248</v>
      </c>
      <c r="C32" s="157"/>
      <c r="D32" t="s">
        <v>248</v>
      </c>
      <c r="E32" s="48"/>
      <c r="F32" t="s">
        <v>249</v>
      </c>
      <c r="G32" s="48"/>
      <c r="H32" t="s">
        <v>249</v>
      </c>
      <c r="I32" s="48"/>
      <c r="J32" t="s">
        <v>248</v>
      </c>
      <c r="K32" s="48"/>
    </row>
    <row r="33" spans="2:11" x14ac:dyDescent="0.3">
      <c r="B33" t="s">
        <v>250</v>
      </c>
      <c r="C33" s="154">
        <v>1895527.56</v>
      </c>
      <c r="D33" t="s">
        <v>424</v>
      </c>
      <c r="E33" s="48">
        <v>2097206.6</v>
      </c>
      <c r="F33" t="s">
        <v>251</v>
      </c>
      <c r="G33" s="48"/>
      <c r="H33" t="s">
        <v>252</v>
      </c>
      <c r="I33" s="48"/>
      <c r="J33" t="s">
        <v>251</v>
      </c>
      <c r="K33" s="158"/>
    </row>
    <row r="34" spans="2:11" x14ac:dyDescent="0.3">
      <c r="B34" t="s">
        <v>253</v>
      </c>
      <c r="C34" s="154">
        <f>+C31+C33</f>
        <v>14111691.26</v>
      </c>
      <c r="D34" t="s">
        <v>254</v>
      </c>
      <c r="E34" s="48">
        <f>E31-E32+E33</f>
        <v>14281853.629999999</v>
      </c>
      <c r="F34" t="s">
        <v>254</v>
      </c>
      <c r="G34" s="48">
        <f>G31-G32+G33</f>
        <v>922915.73</v>
      </c>
      <c r="H34" t="s">
        <v>255</v>
      </c>
      <c r="I34" s="7">
        <f>I31-I32</f>
        <v>8445841.9600000009</v>
      </c>
      <c r="J34" t="s">
        <v>255</v>
      </c>
      <c r="K34" s="7">
        <f>K31-K32</f>
        <v>6939674.0800000001</v>
      </c>
    </row>
    <row r="35" spans="2:11" x14ac:dyDescent="0.3">
      <c r="H35" s="7"/>
    </row>
    <row r="37" spans="2:11" x14ac:dyDescent="0.3">
      <c r="C37" s="159" t="s">
        <v>310</v>
      </c>
      <c r="D37" s="7">
        <f>C33+E33+G33</f>
        <v>3992734.16</v>
      </c>
    </row>
    <row r="38" spans="2:11" x14ac:dyDescent="0.3">
      <c r="C38" s="159" t="s">
        <v>432</v>
      </c>
      <c r="D38" s="51">
        <f>+-Y4</f>
        <v>-4397469.0926135397</v>
      </c>
    </row>
    <row r="39" spans="2:11" x14ac:dyDescent="0.3">
      <c r="C39" t="s">
        <v>433</v>
      </c>
      <c r="D39" s="7">
        <f>+D37+D38</f>
        <v>-404734.93261353951</v>
      </c>
    </row>
    <row r="41" spans="2:11" x14ac:dyDescent="0.3">
      <c r="C41" t="s">
        <v>450</v>
      </c>
    </row>
    <row r="42" spans="2:11" x14ac:dyDescent="0.3">
      <c r="C42" t="s">
        <v>256</v>
      </c>
    </row>
  </sheetData>
  <phoneticPr fontId="32" type="noConversion"/>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7736E-82E7-4760-AE78-9CCBAA2ADC3D}">
  <sheetPr>
    <tabColor rgb="FF92D050"/>
  </sheetPr>
  <dimension ref="B1:AW143"/>
  <sheetViews>
    <sheetView topLeftCell="AC1" workbookViewId="0">
      <selection activeCell="AJ144" sqref="AJ144"/>
    </sheetView>
  </sheetViews>
  <sheetFormatPr defaultRowHeight="14.4" x14ac:dyDescent="0.3"/>
  <cols>
    <col min="4" max="4" width="0.6640625" customWidth="1"/>
    <col min="5" max="5" width="18.44140625" hidden="1" customWidth="1"/>
    <col min="6" max="6" width="18.44140625" customWidth="1"/>
    <col min="9" max="9" width="0.109375" customWidth="1"/>
    <col min="10" max="10" width="17.88671875" hidden="1" customWidth="1"/>
    <col min="11" max="11" width="17.88671875" customWidth="1"/>
    <col min="12" max="12" width="5.6640625" customWidth="1"/>
    <col min="13" max="13" width="19.88671875" customWidth="1"/>
    <col min="14" max="14" width="0.6640625" customWidth="1"/>
    <col min="15" max="15" width="14.6640625" hidden="1" customWidth="1"/>
    <col min="16" max="16" width="14.6640625" customWidth="1"/>
    <col min="17" max="17" width="5.109375" customWidth="1"/>
    <col min="18" max="18" width="22.109375" customWidth="1"/>
    <col min="19" max="19" width="0.33203125" customWidth="1"/>
    <col min="20" max="20" width="14.88671875" hidden="1" customWidth="1"/>
    <col min="21" max="21" width="14.88671875" customWidth="1"/>
    <col min="22" max="22" width="7" customWidth="1"/>
    <col min="23" max="23" width="23.5546875" customWidth="1"/>
    <col min="24" max="24" width="1.6640625" customWidth="1"/>
    <col min="25" max="25" width="15.33203125" hidden="1" customWidth="1"/>
    <col min="26" max="26" width="15.33203125" style="7" customWidth="1"/>
    <col min="27" max="27" width="6.44140625" customWidth="1"/>
    <col min="28" max="28" width="23.33203125" customWidth="1"/>
    <col min="29" max="29" width="0.6640625" customWidth="1"/>
    <col min="30" max="30" width="13.88671875" customWidth="1"/>
    <col min="31" max="31" width="1.6640625" customWidth="1"/>
    <col min="32" max="32" width="2.109375" customWidth="1"/>
    <col min="33" max="33" width="9.88671875" customWidth="1"/>
    <col min="34" max="34" width="16.33203125" customWidth="1"/>
    <col min="35" max="35" width="13.44140625" customWidth="1"/>
    <col min="36" max="36" width="15.33203125" customWidth="1"/>
    <col min="37" max="37" width="12.33203125" customWidth="1"/>
    <col min="38" max="38" width="15.5546875" customWidth="1"/>
    <col min="39" max="39" width="12.33203125" customWidth="1"/>
    <col min="40" max="40" width="8.5546875" customWidth="1"/>
    <col min="41" max="41" width="1.44140625" customWidth="1"/>
    <col min="42" max="42" width="8.33203125" hidden="1" customWidth="1"/>
    <col min="43" max="44" width="17.33203125" hidden="1" customWidth="1"/>
    <col min="45" max="45" width="8.88671875" hidden="1" customWidth="1"/>
    <col min="46" max="46" width="16.6640625" hidden="1" customWidth="1"/>
    <col min="48" max="48" width="19.33203125" customWidth="1"/>
  </cols>
  <sheetData>
    <row r="1" spans="2:49" x14ac:dyDescent="0.3">
      <c r="B1" s="15" t="s">
        <v>262</v>
      </c>
      <c r="C1" s="15"/>
      <c r="D1" s="15"/>
      <c r="E1" s="15"/>
      <c r="F1" s="15"/>
      <c r="G1" s="15"/>
      <c r="AE1" s="15"/>
      <c r="AR1" s="15"/>
    </row>
    <row r="2" spans="2:49" x14ac:dyDescent="0.3">
      <c r="C2" s="55"/>
      <c r="D2" s="45" t="s">
        <v>258</v>
      </c>
      <c r="E2" s="45"/>
      <c r="F2" s="45"/>
      <c r="G2" s="45"/>
      <c r="H2" s="45"/>
      <c r="I2" s="45" t="s">
        <v>260</v>
      </c>
      <c r="J2" s="55"/>
      <c r="K2" s="55"/>
      <c r="L2" s="55"/>
      <c r="M2" s="55"/>
      <c r="N2" s="45"/>
      <c r="O2" s="55"/>
      <c r="P2" s="55"/>
      <c r="Q2" s="55"/>
      <c r="R2" s="55"/>
      <c r="S2" s="45"/>
      <c r="T2" s="45"/>
      <c r="U2" s="45"/>
      <c r="V2" s="45"/>
      <c r="W2" s="45"/>
      <c r="X2" s="45" t="s">
        <v>295</v>
      </c>
      <c r="Y2" s="45"/>
      <c r="Z2" s="85"/>
      <c r="AA2" s="45"/>
      <c r="AB2" s="55"/>
      <c r="AC2" s="55"/>
      <c r="AD2" s="55"/>
      <c r="AE2" s="56"/>
      <c r="AF2" s="55"/>
      <c r="AG2" s="55"/>
      <c r="AH2" s="55"/>
      <c r="AI2" s="55"/>
      <c r="AJ2" s="55"/>
      <c r="AK2" s="55"/>
      <c r="AL2" s="55"/>
      <c r="AM2" s="55"/>
      <c r="AN2" s="55"/>
      <c r="AO2" s="55"/>
      <c r="AP2" s="55"/>
      <c r="AQ2" s="55"/>
      <c r="AS2" s="55"/>
      <c r="AT2" s="55"/>
      <c r="AU2" s="55"/>
      <c r="AV2" s="55"/>
      <c r="AW2" s="55"/>
    </row>
    <row r="3" spans="2:49" x14ac:dyDescent="0.3">
      <c r="C3" s="57"/>
      <c r="D3" s="43" t="s">
        <v>259</v>
      </c>
      <c r="E3" s="43"/>
      <c r="F3" s="45"/>
      <c r="G3" s="45"/>
      <c r="H3" s="43"/>
      <c r="I3" s="43" t="s">
        <v>261</v>
      </c>
      <c r="J3" s="57"/>
      <c r="K3" s="55"/>
      <c r="L3" s="55"/>
      <c r="M3" s="57"/>
      <c r="N3" s="43" t="s">
        <v>296</v>
      </c>
      <c r="O3" s="57"/>
      <c r="P3" s="55"/>
      <c r="Q3" s="55"/>
      <c r="R3" s="57"/>
      <c r="S3" s="45" t="s">
        <v>297</v>
      </c>
      <c r="T3" s="45"/>
      <c r="U3" s="45"/>
      <c r="V3" s="45"/>
      <c r="W3" s="43"/>
      <c r="X3" s="43" t="s">
        <v>298</v>
      </c>
      <c r="Y3" s="43"/>
      <c r="Z3" s="85"/>
      <c r="AA3" s="45"/>
      <c r="AB3" s="57"/>
      <c r="AC3" s="43" t="s">
        <v>299</v>
      </c>
      <c r="AD3" s="45"/>
      <c r="AE3" s="53"/>
      <c r="AF3" s="45"/>
      <c r="AG3" s="58"/>
      <c r="AH3" s="43" t="s">
        <v>257</v>
      </c>
      <c r="AI3" s="43"/>
      <c r="AJ3" s="43"/>
      <c r="AK3" s="43" t="s">
        <v>302</v>
      </c>
      <c r="AL3" s="43"/>
      <c r="AM3" s="45"/>
      <c r="AN3" s="45"/>
      <c r="AO3" s="55"/>
      <c r="AP3" s="55"/>
      <c r="AQ3" s="55"/>
      <c r="AS3" s="55"/>
      <c r="AU3" s="55"/>
      <c r="AV3" s="45" t="s">
        <v>328</v>
      </c>
      <c r="AW3" s="55"/>
    </row>
    <row r="4" spans="2:49" x14ac:dyDescent="0.3">
      <c r="C4" s="43" t="s">
        <v>4</v>
      </c>
      <c r="D4" s="46" t="s">
        <v>93</v>
      </c>
      <c r="E4" s="46" t="s">
        <v>94</v>
      </c>
      <c r="F4" s="80" t="s">
        <v>224</v>
      </c>
      <c r="G4" s="55"/>
      <c r="H4" s="43" t="s">
        <v>4</v>
      </c>
      <c r="I4" s="43" t="s">
        <v>93</v>
      </c>
      <c r="J4" s="43" t="s">
        <v>94</v>
      </c>
      <c r="K4" s="74" t="s">
        <v>224</v>
      </c>
      <c r="L4" s="55"/>
      <c r="M4" s="43" t="s">
        <v>117</v>
      </c>
      <c r="N4" s="46" t="s">
        <v>93</v>
      </c>
      <c r="O4" s="46" t="s">
        <v>94</v>
      </c>
      <c r="P4" s="74" t="s">
        <v>224</v>
      </c>
      <c r="Q4" s="55"/>
      <c r="R4" s="43" t="s">
        <v>117</v>
      </c>
      <c r="S4" s="46" t="s">
        <v>93</v>
      </c>
      <c r="T4" s="46" t="s">
        <v>94</v>
      </c>
      <c r="U4" s="74" t="s">
        <v>224</v>
      </c>
      <c r="V4" s="55"/>
      <c r="W4" s="43" t="s">
        <v>117</v>
      </c>
      <c r="X4" s="43" t="s">
        <v>93</v>
      </c>
      <c r="Y4" s="43" t="s">
        <v>94</v>
      </c>
      <c r="Z4" s="86" t="s">
        <v>224</v>
      </c>
      <c r="AA4" s="55"/>
      <c r="AB4" s="46" t="s">
        <v>117</v>
      </c>
      <c r="AC4" s="46" t="s">
        <v>93</v>
      </c>
      <c r="AD4" s="80" t="s">
        <v>224</v>
      </c>
      <c r="AE4" s="43"/>
      <c r="AF4" s="43"/>
      <c r="AG4" s="47" t="s">
        <v>301</v>
      </c>
      <c r="AH4" s="43" t="s">
        <v>303</v>
      </c>
      <c r="AI4" s="43" t="s">
        <v>94</v>
      </c>
      <c r="AJ4" s="80" t="s">
        <v>224</v>
      </c>
      <c r="AK4" s="43" t="s">
        <v>93</v>
      </c>
      <c r="AL4" s="43" t="s">
        <v>94</v>
      </c>
      <c r="AM4" s="74" t="s">
        <v>224</v>
      </c>
      <c r="AN4" s="45"/>
      <c r="AO4" s="43" t="s">
        <v>300</v>
      </c>
      <c r="AP4" s="55"/>
      <c r="AQ4" s="43" t="s">
        <v>321</v>
      </c>
      <c r="AR4" s="43" t="s">
        <v>322</v>
      </c>
      <c r="AS4" s="55"/>
      <c r="AT4" s="43" t="s">
        <v>308</v>
      </c>
      <c r="AU4" s="55"/>
      <c r="AV4" s="43" t="s">
        <v>308</v>
      </c>
      <c r="AW4" s="55"/>
    </row>
    <row r="5" spans="2:49" x14ac:dyDescent="0.3">
      <c r="C5" t="s">
        <v>26</v>
      </c>
      <c r="D5" s="48">
        <v>329658.92102698103</v>
      </c>
      <c r="E5" s="48">
        <v>62306.254722784521</v>
      </c>
      <c r="F5" s="75">
        <v>66725.061668419483</v>
      </c>
      <c r="G5" s="48"/>
      <c r="H5" s="48" t="s">
        <v>26</v>
      </c>
      <c r="I5" s="50">
        <v>139869.14516966129</v>
      </c>
      <c r="J5" s="50">
        <v>139869.14520170866</v>
      </c>
      <c r="K5" s="78">
        <v>95755.736225430039</v>
      </c>
      <c r="L5" s="48"/>
      <c r="M5" s="48" t="s">
        <v>119</v>
      </c>
      <c r="N5" s="48">
        <v>11763.206680837357</v>
      </c>
      <c r="O5" s="48">
        <v>11763.206680837357</v>
      </c>
      <c r="P5" s="75">
        <v>12635.301324394151</v>
      </c>
      <c r="Q5" s="48"/>
      <c r="R5" s="48" t="s">
        <v>119</v>
      </c>
      <c r="S5" s="48">
        <v>12708.500412971434</v>
      </c>
      <c r="T5" s="48">
        <v>12708.500412971434</v>
      </c>
      <c r="U5" s="75">
        <v>13020.905605046288</v>
      </c>
      <c r="W5" t="s">
        <v>119</v>
      </c>
      <c r="X5" s="49">
        <v>55315.65149180447</v>
      </c>
      <c r="Y5" s="49">
        <v>55315.65149180447</v>
      </c>
      <c r="Z5" s="78">
        <v>37869.616826227379</v>
      </c>
      <c r="AA5" s="48"/>
      <c r="AB5" s="48" t="s">
        <v>119</v>
      </c>
      <c r="AC5" s="59">
        <v>139338.76703998621</v>
      </c>
      <c r="AD5" s="82">
        <v>727.43173307809639</v>
      </c>
      <c r="AE5" s="59"/>
      <c r="AF5" s="59"/>
      <c r="AH5" s="48"/>
      <c r="AI5" s="48"/>
      <c r="AJ5" s="75"/>
      <c r="AK5" s="48"/>
      <c r="AL5" s="59"/>
      <c r="AM5" s="82"/>
      <c r="AN5" s="59"/>
      <c r="AO5" t="s">
        <v>26</v>
      </c>
      <c r="AQ5" s="7">
        <f>+D5+E5+I5+J5+N5+O5+S5+T5+X5+Y5+AC5</f>
        <v>970616.95033234835</v>
      </c>
      <c r="AR5" s="44">
        <v>283600.50422579038</v>
      </c>
      <c r="AT5" s="7">
        <f>+AQ5+AR5</f>
        <v>1254217.4545581387</v>
      </c>
      <c r="AV5" s="7">
        <f>F5+K5+P5+U5+Z5+AD5+AJ5+AM5</f>
        <v>226734.05338259542</v>
      </c>
    </row>
    <row r="6" spans="2:49" x14ac:dyDescent="0.3">
      <c r="C6" t="s">
        <v>27</v>
      </c>
      <c r="D6" s="48">
        <v>11043574.612087505</v>
      </c>
      <c r="E6" s="48">
        <v>2087259.676417141</v>
      </c>
      <c r="F6" s="75">
        <v>2235289.7192520387</v>
      </c>
      <c r="G6" s="48"/>
      <c r="H6" s="48" t="s">
        <v>27</v>
      </c>
      <c r="I6" s="50">
        <v>1651187.5140797477</v>
      </c>
      <c r="J6" s="50">
        <v>1651187.5144580742</v>
      </c>
      <c r="K6" s="78">
        <v>1130418.5484593876</v>
      </c>
      <c r="L6" s="48"/>
      <c r="M6" s="48" t="s">
        <v>121</v>
      </c>
      <c r="N6" s="48">
        <v>118233.6297419383</v>
      </c>
      <c r="O6" s="48">
        <v>118233.6297419383</v>
      </c>
      <c r="P6" s="75">
        <v>126999.1745448017</v>
      </c>
      <c r="Q6" s="48"/>
      <c r="R6" s="48"/>
      <c r="S6" s="48"/>
      <c r="T6" s="48"/>
      <c r="U6" s="75"/>
      <c r="W6" t="s">
        <v>121</v>
      </c>
      <c r="X6" s="48">
        <v>294556.25764334667</v>
      </c>
      <c r="Y6" s="48">
        <v>294556.25764334667</v>
      </c>
      <c r="Z6" s="78">
        <v>201655.99265108042</v>
      </c>
      <c r="AA6" s="48"/>
      <c r="AB6" s="48" t="s">
        <v>121</v>
      </c>
      <c r="AC6" s="59">
        <v>1610647.9522079006</v>
      </c>
      <c r="AD6" s="82">
        <v>8408.5459929256758</v>
      </c>
      <c r="AE6" s="59"/>
      <c r="AF6" s="59"/>
      <c r="AH6" s="48"/>
      <c r="AI6" s="48"/>
      <c r="AJ6" s="75"/>
      <c r="AK6" s="48"/>
      <c r="AL6" s="59"/>
      <c r="AM6" s="82"/>
      <c r="AN6" s="59"/>
      <c r="AO6" t="s">
        <v>27</v>
      </c>
      <c r="AQ6" s="7">
        <f t="shared" ref="AQ6:AQ69" si="0">+D6+E6+I6+J6+N6+O6+S6+T6+X6+Y6+AC6</f>
        <v>18869437.044020936</v>
      </c>
      <c r="AR6" s="44">
        <v>7514884.2867040373</v>
      </c>
      <c r="AS6" s="7"/>
      <c r="AT6" s="7">
        <f t="shared" ref="AT6:AT69" si="1">+AQ6+AR6</f>
        <v>26384321.330724973</v>
      </c>
      <c r="AV6" s="7">
        <f t="shared" ref="AV6:AV69" si="2">F6+K6+P6+U6+Z6+AD6+AJ6+AM6</f>
        <v>3702771.9809002341</v>
      </c>
    </row>
    <row r="7" spans="2:49" x14ac:dyDescent="0.3">
      <c r="C7" t="s">
        <v>28</v>
      </c>
      <c r="D7" s="48">
        <v>580736.40552381938</v>
      </c>
      <c r="E7" s="48">
        <v>109760.44663569085</v>
      </c>
      <c r="F7" s="75">
        <v>117544.74094302344</v>
      </c>
      <c r="G7" s="48"/>
      <c r="H7" s="48" t="s">
        <v>28</v>
      </c>
      <c r="I7" s="50">
        <v>87899.398232756575</v>
      </c>
      <c r="J7" s="50">
        <v>87899.398252896426</v>
      </c>
      <c r="K7" s="78">
        <v>60176.757220759479</v>
      </c>
      <c r="L7" s="48"/>
      <c r="M7" s="48" t="s">
        <v>123</v>
      </c>
      <c r="N7" s="48">
        <v>6198.062254910923</v>
      </c>
      <c r="O7" s="48">
        <v>6198.062254910923</v>
      </c>
      <c r="P7" s="75">
        <v>6657.5710469943579</v>
      </c>
      <c r="Q7" s="48"/>
      <c r="R7" s="48" t="s">
        <v>123</v>
      </c>
      <c r="S7" s="48">
        <v>8022.4152647381006</v>
      </c>
      <c r="T7" s="48">
        <v>8022.4152647381006</v>
      </c>
      <c r="U7" s="75">
        <v>8219.6253288874977</v>
      </c>
      <c r="W7" t="s">
        <v>123</v>
      </c>
      <c r="X7" s="48">
        <v>27657.825745902235</v>
      </c>
      <c r="Y7" s="48">
        <v>27657.825745902235</v>
      </c>
      <c r="Z7" s="78">
        <v>18934.808413113689</v>
      </c>
      <c r="AA7" s="48"/>
      <c r="AB7" s="48" t="s">
        <v>123</v>
      </c>
      <c r="AC7" s="59">
        <v>84433.644643393331</v>
      </c>
      <c r="AD7" s="82">
        <v>440.79414335149141</v>
      </c>
      <c r="AE7" s="59"/>
      <c r="AF7" s="59"/>
      <c r="AH7" s="48"/>
      <c r="AI7" s="48"/>
      <c r="AJ7" s="75"/>
      <c r="AK7" s="48"/>
      <c r="AL7" s="59"/>
      <c r="AM7" s="82"/>
      <c r="AN7" s="59"/>
      <c r="AO7" t="s">
        <v>28</v>
      </c>
      <c r="AQ7" s="7">
        <f t="shared" si="0"/>
        <v>1034485.8998196592</v>
      </c>
      <c r="AR7" s="44">
        <v>389144.6012670967</v>
      </c>
      <c r="AT7" s="7">
        <f t="shared" si="1"/>
        <v>1423630.5010867559</v>
      </c>
      <c r="AV7" s="7">
        <f t="shared" si="2"/>
        <v>211974.29709612997</v>
      </c>
    </row>
    <row r="8" spans="2:49" x14ac:dyDescent="0.3">
      <c r="C8" t="s">
        <v>29</v>
      </c>
      <c r="D8" s="48">
        <v>1220888.0200259264</v>
      </c>
      <c r="E8" s="48">
        <v>230750.49729203456</v>
      </c>
      <c r="F8" s="75">
        <v>247115.4979597748</v>
      </c>
      <c r="G8" s="48"/>
      <c r="H8" s="48" t="s">
        <v>29</v>
      </c>
      <c r="I8" s="50">
        <v>222588.40585305556</v>
      </c>
      <c r="J8" s="50">
        <v>222588.40590405589</v>
      </c>
      <c r="K8" s="78">
        <v>152386.12241356116</v>
      </c>
      <c r="L8" s="48"/>
      <c r="M8" s="48" t="s">
        <v>124</v>
      </c>
      <c r="N8" s="48">
        <v>15903.582205220424</v>
      </c>
      <c r="O8" s="48">
        <v>15903.582205220424</v>
      </c>
      <c r="P8" s="75">
        <v>17082.63390692449</v>
      </c>
      <c r="Q8" s="48"/>
      <c r="R8" s="48" t="s">
        <v>124</v>
      </c>
      <c r="S8" s="48">
        <v>20584.682018333682</v>
      </c>
      <c r="T8" s="48">
        <v>20584.682018333682</v>
      </c>
      <c r="U8" s="75">
        <v>21090.702503108856</v>
      </c>
      <c r="W8" t="s">
        <v>124</v>
      </c>
      <c r="X8" s="48">
        <v>55315.65149180447</v>
      </c>
      <c r="Y8" s="48">
        <v>55315.65149180447</v>
      </c>
      <c r="Z8" s="78">
        <v>37869.616826227379</v>
      </c>
      <c r="AA8" s="48"/>
      <c r="AB8" s="48" t="s">
        <v>124</v>
      </c>
      <c r="AC8" s="59">
        <v>216647.93821788963</v>
      </c>
      <c r="AD8" s="82">
        <v>1131.0318622269003</v>
      </c>
      <c r="AE8" s="59"/>
      <c r="AF8" s="59"/>
      <c r="AH8" s="48"/>
      <c r="AI8" s="48"/>
      <c r="AJ8" s="75"/>
      <c r="AK8" s="48"/>
      <c r="AL8" s="48"/>
      <c r="AM8" s="75"/>
      <c r="AN8" s="59"/>
      <c r="AO8" t="s">
        <v>29</v>
      </c>
      <c r="AQ8" s="7">
        <f t="shared" si="0"/>
        <v>2297071.0987236788</v>
      </c>
      <c r="AR8" s="44">
        <v>835264.09480946523</v>
      </c>
      <c r="AT8" s="7">
        <f t="shared" si="1"/>
        <v>3132335.193533144</v>
      </c>
      <c r="AV8" s="7">
        <f t="shared" si="2"/>
        <v>476675.6054718236</v>
      </c>
    </row>
    <row r="9" spans="2:49" x14ac:dyDescent="0.3">
      <c r="C9" t="s">
        <v>30</v>
      </c>
      <c r="D9" s="48">
        <v>183995.75694567634</v>
      </c>
      <c r="E9" s="48">
        <v>34775.599169150279</v>
      </c>
      <c r="F9" s="75">
        <v>37241.911096114243</v>
      </c>
      <c r="G9" s="48"/>
      <c r="H9" s="48" t="s">
        <v>30</v>
      </c>
      <c r="I9" s="50">
        <v>65023.965128141608</v>
      </c>
      <c r="J9" s="50">
        <v>65023.965143040157</v>
      </c>
      <c r="K9" s="78">
        <v>44516.019924117252</v>
      </c>
      <c r="L9" s="48"/>
      <c r="M9" s="48" t="s">
        <v>125</v>
      </c>
      <c r="N9" s="48">
        <v>4498.0812090347017</v>
      </c>
      <c r="O9" s="48">
        <v>4498.0812090347017</v>
      </c>
      <c r="P9" s="75">
        <v>4831.5576695880072</v>
      </c>
      <c r="Q9" s="48"/>
      <c r="R9" s="48" t="s">
        <v>125</v>
      </c>
      <c r="S9" s="48">
        <v>5822.0575833680805</v>
      </c>
      <c r="T9" s="48">
        <v>5822.0575833680805</v>
      </c>
      <c r="U9" s="75">
        <v>5965.1776178724258</v>
      </c>
      <c r="W9" t="s">
        <v>125</v>
      </c>
      <c r="X9" s="48">
        <v>13872.329142548369</v>
      </c>
      <c r="Y9" s="48">
        <v>13872.329142548369</v>
      </c>
      <c r="Z9" s="78">
        <v>9497.1273942863736</v>
      </c>
      <c r="AA9" s="48"/>
      <c r="AB9" s="48" t="s">
        <v>125</v>
      </c>
      <c r="AC9" s="59">
        <v>61275.504304565802</v>
      </c>
      <c r="AD9" s="82">
        <v>319.89479481121919</v>
      </c>
      <c r="AE9" s="59"/>
      <c r="AF9" s="59"/>
      <c r="AH9" s="48"/>
      <c r="AI9" s="48"/>
      <c r="AJ9" s="75"/>
      <c r="AK9" s="48"/>
      <c r="AL9" s="48"/>
      <c r="AM9" s="75"/>
      <c r="AN9" s="59"/>
      <c r="AO9" t="s">
        <v>30</v>
      </c>
      <c r="AQ9" s="7">
        <f t="shared" si="0"/>
        <v>458479.72656047659</v>
      </c>
      <c r="AR9" s="44">
        <v>143409.74482066627</v>
      </c>
      <c r="AT9" s="7">
        <f t="shared" si="1"/>
        <v>601889.47138114285</v>
      </c>
      <c r="AV9" s="7">
        <f t="shared" si="2"/>
        <v>102371.68849678952</v>
      </c>
    </row>
    <row r="10" spans="2:49" x14ac:dyDescent="0.3">
      <c r="C10" t="s">
        <v>31</v>
      </c>
      <c r="D10" s="48">
        <v>1812165.8713673654</v>
      </c>
      <c r="E10" s="48">
        <v>342503.30016735918</v>
      </c>
      <c r="F10" s="75">
        <v>366793.8945613915</v>
      </c>
      <c r="G10" s="48"/>
      <c r="H10" s="48" t="s">
        <v>31</v>
      </c>
      <c r="I10" s="50">
        <v>571870.89143895416</v>
      </c>
      <c r="J10" s="50">
        <v>571870.89156998345</v>
      </c>
      <c r="K10" s="78">
        <v>391508.20696877962</v>
      </c>
      <c r="L10" s="48"/>
      <c r="M10" s="48"/>
      <c r="N10" s="48"/>
      <c r="O10" s="48"/>
      <c r="P10" s="75"/>
      <c r="Q10" s="48"/>
      <c r="R10" s="48"/>
      <c r="S10" s="48"/>
      <c r="T10" s="48"/>
      <c r="U10" s="75"/>
      <c r="Z10" s="78"/>
      <c r="AA10" s="48"/>
      <c r="AB10" s="48"/>
      <c r="AD10" s="82"/>
      <c r="AE10" s="59"/>
      <c r="AF10" s="59"/>
      <c r="AH10" s="48"/>
      <c r="AI10" s="59"/>
      <c r="AJ10" s="82"/>
      <c r="AK10" s="48"/>
      <c r="AL10" s="48"/>
      <c r="AM10" s="75"/>
      <c r="AN10" s="59"/>
      <c r="AO10" t="s">
        <v>31</v>
      </c>
      <c r="AQ10" s="7">
        <f t="shared" si="0"/>
        <v>3298410.9545436623</v>
      </c>
      <c r="AR10" s="44">
        <v>1134011.3186013559</v>
      </c>
      <c r="AT10" s="7">
        <f t="shared" si="1"/>
        <v>4432422.2731450181</v>
      </c>
      <c r="AV10" s="7">
        <f t="shared" si="2"/>
        <v>758302.10153017112</v>
      </c>
    </row>
    <row r="11" spans="2:49" x14ac:dyDescent="0.3">
      <c r="C11" t="s">
        <v>32</v>
      </c>
      <c r="D11" s="48">
        <v>773356.94420373137</v>
      </c>
      <c r="E11" s="48">
        <v>146166.14835443275</v>
      </c>
      <c r="F11" s="75">
        <v>156532.36270063205</v>
      </c>
      <c r="G11" s="48"/>
      <c r="H11" s="48" t="s">
        <v>32</v>
      </c>
      <c r="I11" s="50">
        <v>165423.58519036847</v>
      </c>
      <c r="J11" s="50">
        <v>165423.58522827097</v>
      </c>
      <c r="K11" s="78">
        <v>113250.54692898598</v>
      </c>
      <c r="L11" s="48"/>
      <c r="M11" s="48"/>
      <c r="N11" s="48"/>
      <c r="O11" s="48"/>
      <c r="P11" s="75"/>
      <c r="Q11" s="48"/>
      <c r="R11" s="48"/>
      <c r="S11" s="48"/>
      <c r="T11" s="48"/>
      <c r="U11" s="75"/>
      <c r="Z11" s="78"/>
      <c r="AA11" s="48"/>
      <c r="AB11" s="48"/>
      <c r="AD11" s="82"/>
      <c r="AE11" s="59"/>
      <c r="AF11" s="59"/>
      <c r="AH11" s="48"/>
      <c r="AI11" s="59"/>
      <c r="AJ11" s="82"/>
      <c r="AK11" s="48"/>
      <c r="AL11" s="48"/>
      <c r="AM11" s="75"/>
      <c r="AN11" s="59"/>
      <c r="AO11" t="s">
        <v>32</v>
      </c>
      <c r="AQ11" s="7">
        <f t="shared" si="0"/>
        <v>1250370.2629768034</v>
      </c>
      <c r="AR11" s="44">
        <v>466630.56706138642</v>
      </c>
      <c r="AT11" s="7">
        <f t="shared" si="1"/>
        <v>1717000.8300381899</v>
      </c>
      <c r="AV11" s="7">
        <f t="shared" si="2"/>
        <v>269782.90962961805</v>
      </c>
    </row>
    <row r="12" spans="2:49" x14ac:dyDescent="0.3">
      <c r="C12" t="s">
        <v>33</v>
      </c>
      <c r="D12" s="48">
        <v>215619.9566378734</v>
      </c>
      <c r="E12" s="48">
        <v>40752.641850986169</v>
      </c>
      <c r="F12" s="75">
        <v>43642.8501882602</v>
      </c>
      <c r="G12" s="48"/>
      <c r="H12" s="48" t="s">
        <v>33</v>
      </c>
      <c r="I12" s="50">
        <v>81908.633654044563</v>
      </c>
      <c r="J12" s="50">
        <v>81908.633672811789</v>
      </c>
      <c r="K12" s="78">
        <v>56075.42327686528</v>
      </c>
      <c r="L12" s="48"/>
      <c r="M12" s="48" t="s">
        <v>127</v>
      </c>
      <c r="N12" s="48">
        <v>5881.6033404186783</v>
      </c>
      <c r="O12" s="48">
        <v>5881.6033404186783</v>
      </c>
      <c r="P12" s="75">
        <v>6317.6506621970757</v>
      </c>
      <c r="Q12" s="48"/>
      <c r="R12" s="48" t="s">
        <v>127</v>
      </c>
      <c r="S12" s="48">
        <v>7338.237532880039</v>
      </c>
      <c r="T12" s="48">
        <v>7338.237532880039</v>
      </c>
      <c r="U12" s="75">
        <v>7518.6288797308725</v>
      </c>
      <c r="W12" t="s">
        <v>127</v>
      </c>
      <c r="X12" s="48">
        <v>27657.825745902235</v>
      </c>
      <c r="Y12" s="48">
        <v>27657.825745902235</v>
      </c>
      <c r="Z12" s="78">
        <v>18934.808413113689</v>
      </c>
      <c r="AA12" s="48"/>
      <c r="AB12" s="48" t="s">
        <v>127</v>
      </c>
      <c r="AC12" s="59">
        <v>77232.868121821404</v>
      </c>
      <c r="AD12" s="82">
        <v>403.20178154243393</v>
      </c>
      <c r="AE12" s="59"/>
      <c r="AF12" s="59"/>
      <c r="AG12" s="59"/>
      <c r="AH12" s="59"/>
      <c r="AI12" s="59"/>
      <c r="AJ12" s="82"/>
      <c r="AK12" s="59"/>
      <c r="AL12" s="59"/>
      <c r="AM12" s="82"/>
      <c r="AN12" s="59"/>
      <c r="AO12" t="s">
        <v>33</v>
      </c>
      <c r="AQ12" s="7">
        <f t="shared" si="0"/>
        <v>579178.06717593921</v>
      </c>
      <c r="AR12" s="44">
        <v>158604.09315924314</v>
      </c>
      <c r="AT12" s="7">
        <f t="shared" si="1"/>
        <v>737782.16033518233</v>
      </c>
      <c r="AV12" s="7">
        <f t="shared" si="2"/>
        <v>132892.56320170956</v>
      </c>
    </row>
    <row r="13" spans="2:49" x14ac:dyDescent="0.3">
      <c r="C13" t="s">
        <v>34</v>
      </c>
      <c r="D13" s="48">
        <v>5561078.024308823</v>
      </c>
      <c r="E13" s="48">
        <v>1051055.8696135096</v>
      </c>
      <c r="F13" s="75">
        <v>1125597.5508229269</v>
      </c>
      <c r="G13" s="48"/>
      <c r="H13" s="48" t="s">
        <v>34</v>
      </c>
      <c r="I13" s="50">
        <v>853086.50540965435</v>
      </c>
      <c r="J13" s="50">
        <v>853086.50560511695</v>
      </c>
      <c r="K13" s="78">
        <v>584031.06911387283</v>
      </c>
      <c r="L13" s="48"/>
      <c r="M13" s="48" t="s">
        <v>129</v>
      </c>
      <c r="N13" s="48">
        <v>61125.76305203938</v>
      </c>
      <c r="O13" s="48">
        <v>61125.76305203938</v>
      </c>
      <c r="P13" s="75">
        <v>65657.473833576951</v>
      </c>
      <c r="Q13" s="48"/>
      <c r="R13" s="48" t="s">
        <v>129</v>
      </c>
      <c r="S13" s="48">
        <v>79117.671686647576</v>
      </c>
      <c r="T13" s="48">
        <v>79117.671686647576</v>
      </c>
      <c r="U13" s="75">
        <v>81062.572392206363</v>
      </c>
      <c r="W13" t="s">
        <v>129</v>
      </c>
      <c r="X13" s="48">
        <v>152283.03528785412</v>
      </c>
      <c r="Y13" s="48">
        <v>152283.03528785412</v>
      </c>
      <c r="Z13" s="78">
        <v>104254.40250559678</v>
      </c>
      <c r="AA13" s="48"/>
      <c r="AB13" s="48" t="s">
        <v>129</v>
      </c>
      <c r="AC13" s="59">
        <v>832691.04823896755</v>
      </c>
      <c r="AD13" s="82">
        <v>4347.1454872660324</v>
      </c>
      <c r="AE13" s="59"/>
      <c r="AF13" s="59"/>
      <c r="AG13" s="59"/>
      <c r="AH13" s="59"/>
      <c r="AI13" s="59"/>
      <c r="AJ13" s="82"/>
      <c r="AK13" s="59"/>
      <c r="AL13" s="59"/>
      <c r="AM13" s="82"/>
      <c r="AN13" s="59"/>
      <c r="AO13" t="s">
        <v>34</v>
      </c>
      <c r="AQ13" s="7">
        <f t="shared" si="0"/>
        <v>9736050.893229153</v>
      </c>
      <c r="AR13" s="44">
        <v>3795615.5437010676</v>
      </c>
      <c r="AT13" s="7">
        <f t="shared" si="1"/>
        <v>13531666.436930221</v>
      </c>
      <c r="AV13" s="7">
        <f t="shared" si="2"/>
        <v>1964950.214155446</v>
      </c>
    </row>
    <row r="14" spans="2:49" x14ac:dyDescent="0.3">
      <c r="C14" t="s">
        <v>35</v>
      </c>
      <c r="D14" s="48">
        <v>1311927.5664570727</v>
      </c>
      <c r="E14" s="48">
        <v>247957.17003158864</v>
      </c>
      <c r="F14" s="75">
        <v>265542.48100928246</v>
      </c>
      <c r="G14" s="48"/>
      <c r="H14" s="48" t="s">
        <v>35</v>
      </c>
      <c r="I14" s="50">
        <v>255073.2317327261</v>
      </c>
      <c r="J14" s="50">
        <v>255073.23179116947</v>
      </c>
      <c r="K14" s="78">
        <v>174625.54065329934</v>
      </c>
      <c r="L14" s="48"/>
      <c r="M14" s="48"/>
      <c r="N14" s="48"/>
      <c r="O14" s="48"/>
      <c r="P14" s="75"/>
      <c r="Q14" s="48"/>
      <c r="R14" s="48"/>
      <c r="S14" s="48"/>
      <c r="T14" s="48"/>
      <c r="U14" s="75"/>
      <c r="Z14" s="78"/>
      <c r="AA14" s="48"/>
      <c r="AD14" s="82"/>
      <c r="AE14" s="59"/>
      <c r="AF14" s="59"/>
      <c r="AG14" s="59"/>
      <c r="AH14" s="59"/>
      <c r="AI14" s="59"/>
      <c r="AJ14" s="82"/>
      <c r="AK14" s="59"/>
      <c r="AL14" s="59"/>
      <c r="AM14" s="82"/>
      <c r="AN14" s="59"/>
      <c r="AO14" t="s">
        <v>35</v>
      </c>
      <c r="AQ14" s="7">
        <f>+D14+E14+I14+J14+N14+O14+S14+T14+X14+Y14+AC14</f>
        <v>2070031.2000125567</v>
      </c>
      <c r="AR14" s="44">
        <v>791595.0181447597</v>
      </c>
      <c r="AT14" s="7">
        <f t="shared" si="1"/>
        <v>2861626.2181573166</v>
      </c>
      <c r="AV14" s="7">
        <f t="shared" si="2"/>
        <v>440168.02166258183</v>
      </c>
    </row>
    <row r="15" spans="2:49" x14ac:dyDescent="0.3">
      <c r="C15" t="s">
        <v>36</v>
      </c>
      <c r="D15" s="48">
        <v>1520839.4054440947</v>
      </c>
      <c r="E15" s="48">
        <v>287441.96302302537</v>
      </c>
      <c r="F15" s="75">
        <v>307827.56553314725</v>
      </c>
      <c r="G15" s="48"/>
      <c r="H15" s="48" t="s">
        <v>36</v>
      </c>
      <c r="I15" s="50">
        <v>176779.15277236496</v>
      </c>
      <c r="J15" s="50">
        <v>176779.15281286929</v>
      </c>
      <c r="K15" s="78">
        <v>121024.67561728769</v>
      </c>
      <c r="L15" s="48"/>
      <c r="M15" s="48" t="s">
        <v>130</v>
      </c>
      <c r="N15" s="48">
        <v>12618.868258450088</v>
      </c>
      <c r="O15" s="48">
        <v>12618.868258450088</v>
      </c>
      <c r="P15" s="75">
        <v>13554.399505543657</v>
      </c>
      <c r="Q15" s="48"/>
      <c r="R15" s="48" t="s">
        <v>130</v>
      </c>
      <c r="S15" s="48">
        <v>16333.137225283319</v>
      </c>
      <c r="T15" s="48">
        <v>16333.137225283319</v>
      </c>
      <c r="U15" s="75">
        <v>16734.644618464143</v>
      </c>
      <c r="W15" t="s">
        <v>130</v>
      </c>
      <c r="X15" s="48">
        <v>55315.65149180447</v>
      </c>
      <c r="Y15" s="48">
        <v>55315.65149180447</v>
      </c>
      <c r="Z15" s="78">
        <v>37869.616826227379</v>
      </c>
      <c r="AA15" s="48"/>
      <c r="AB15" s="48" t="s">
        <v>130</v>
      </c>
      <c r="AC15" s="59">
        <v>171901.63546543507</v>
      </c>
      <c r="AD15" s="82">
        <v>897.42938926462443</v>
      </c>
      <c r="AG15" s="59"/>
      <c r="AH15" s="59"/>
      <c r="AI15" s="59"/>
      <c r="AJ15" s="82"/>
      <c r="AK15" s="59"/>
      <c r="AL15" s="59"/>
      <c r="AM15" s="82"/>
      <c r="AN15" s="59"/>
      <c r="AO15" t="s">
        <v>36</v>
      </c>
      <c r="AQ15" s="7">
        <f>+D15+E15+I15+J15+N15+O15+S15+T15+X15+Y15+AC15</f>
        <v>2502276.6234688652</v>
      </c>
      <c r="AR15" s="44">
        <v>995875.36197415204</v>
      </c>
      <c r="AT15" s="7">
        <f t="shared" si="1"/>
        <v>3498151.9854430174</v>
      </c>
      <c r="AV15" s="7">
        <f t="shared" si="2"/>
        <v>497908.33148993476</v>
      </c>
    </row>
    <row r="16" spans="2:49" x14ac:dyDescent="0.3">
      <c r="C16" t="s">
        <v>37</v>
      </c>
      <c r="D16" s="48">
        <v>137760.66149528898</v>
      </c>
      <c r="E16" s="48">
        <v>26037.065337607717</v>
      </c>
      <c r="F16" s="75">
        <v>27883.633802839169</v>
      </c>
      <c r="G16" s="48"/>
      <c r="H16" s="48" t="s">
        <v>37</v>
      </c>
      <c r="I16" s="50">
        <v>21822.543050402452</v>
      </c>
      <c r="J16" s="50">
        <v>21822.543055402519</v>
      </c>
      <c r="K16" s="78">
        <v>14939.918833190142</v>
      </c>
      <c r="L16" s="48"/>
      <c r="M16" s="48"/>
      <c r="N16" s="48"/>
      <c r="O16" s="48"/>
      <c r="P16" s="75"/>
      <c r="Q16" s="48"/>
      <c r="U16" s="75"/>
      <c r="Z16" s="78"/>
      <c r="AA16" s="48"/>
      <c r="AD16" s="82"/>
      <c r="AJ16" s="83"/>
      <c r="AM16" s="75"/>
      <c r="AN16" s="59"/>
      <c r="AO16" t="s">
        <v>37</v>
      </c>
      <c r="AQ16" s="7">
        <f t="shared" si="0"/>
        <v>207442.81293870168</v>
      </c>
      <c r="AR16" s="44">
        <v>83122.46508432948</v>
      </c>
      <c r="AT16" s="7">
        <f t="shared" si="1"/>
        <v>290565.27802303119</v>
      </c>
      <c r="AV16" s="7">
        <f t="shared" si="2"/>
        <v>42823.552636029315</v>
      </c>
    </row>
    <row r="17" spans="3:48" x14ac:dyDescent="0.3">
      <c r="C17" t="s">
        <v>38</v>
      </c>
      <c r="D17" s="48">
        <v>617152.19654414558</v>
      </c>
      <c r="E17" s="48">
        <v>116643.11052409942</v>
      </c>
      <c r="F17" s="75">
        <v>124915.52858609975</v>
      </c>
      <c r="G17" s="48"/>
      <c r="H17" s="48" t="s">
        <v>38</v>
      </c>
      <c r="I17" s="50">
        <v>87148.515909087553</v>
      </c>
      <c r="J17" s="50">
        <v>87148.515929055357</v>
      </c>
      <c r="K17" s="78">
        <v>59662.696098598666</v>
      </c>
      <c r="L17" s="48"/>
      <c r="M17" s="48" t="s">
        <v>131</v>
      </c>
      <c r="N17" s="48">
        <v>6121.5768166086109</v>
      </c>
      <c r="O17" s="48">
        <v>6121.5768166086109</v>
      </c>
      <c r="P17" s="75">
        <v>6575.4151701064347</v>
      </c>
      <c r="Q17" s="48"/>
      <c r="R17" s="48" t="s">
        <v>131</v>
      </c>
      <c r="S17" s="48">
        <v>7923.4169129095953</v>
      </c>
      <c r="T17" s="48">
        <v>7923.4169129095953</v>
      </c>
      <c r="U17" s="75">
        <v>8118.1933619106221</v>
      </c>
      <c r="W17" t="s">
        <v>131</v>
      </c>
      <c r="X17" s="48">
        <v>27657.825745902235</v>
      </c>
      <c r="Y17" s="48">
        <v>27657.825745902235</v>
      </c>
      <c r="Z17" s="78">
        <v>18934.808413113689</v>
      </c>
      <c r="AA17" s="48"/>
      <c r="AB17" s="48" t="s">
        <v>131</v>
      </c>
      <c r="AC17" s="59">
        <v>83391.715076955923</v>
      </c>
      <c r="AD17" s="82">
        <v>435.35464760770196</v>
      </c>
      <c r="AE17" s="59"/>
      <c r="AF17" s="59"/>
      <c r="AG17" t="s">
        <v>38</v>
      </c>
      <c r="AH17" s="48">
        <v>23580.478789299479</v>
      </c>
      <c r="AI17" s="48">
        <v>23580.478789299479</v>
      </c>
      <c r="AJ17" s="75">
        <v>25328.676351631933</v>
      </c>
      <c r="AK17" s="48">
        <v>25238.414193851568</v>
      </c>
      <c r="AL17" s="48">
        <v>25238.414193851568</v>
      </c>
      <c r="AM17" s="75">
        <v>25858.834493468283</v>
      </c>
      <c r="AN17" s="59"/>
      <c r="AO17" t="s">
        <v>38</v>
      </c>
      <c r="AQ17" s="7">
        <f>+D17+E17+I17+J17+N17+O17+S17+T17+X17+Y17+AC17+AH17+AI17+AK17+AL17</f>
        <v>1172527.4789004873</v>
      </c>
      <c r="AR17" s="44">
        <v>557354.01533896546</v>
      </c>
      <c r="AT17" s="7">
        <f t="shared" si="1"/>
        <v>1729881.4942394528</v>
      </c>
      <c r="AV17" s="7">
        <f t="shared" si="2"/>
        <v>269829.50712253706</v>
      </c>
    </row>
    <row r="18" spans="3:48" x14ac:dyDescent="0.3">
      <c r="C18" t="s">
        <v>39</v>
      </c>
      <c r="D18" s="48">
        <v>239577.77551785758</v>
      </c>
      <c r="E18" s="48">
        <v>45280.721846784189</v>
      </c>
      <c r="F18" s="75">
        <v>48492.065059278153</v>
      </c>
      <c r="G18" s="48"/>
      <c r="H18" s="48" t="s">
        <v>39</v>
      </c>
      <c r="I18" s="50">
        <v>220491.90981735036</v>
      </c>
      <c r="J18" s="50">
        <v>220491.90986787033</v>
      </c>
      <c r="K18" s="78">
        <v>150950.84145042137</v>
      </c>
      <c r="L18" s="48"/>
      <c r="M18" s="48"/>
      <c r="N18" s="48"/>
      <c r="O18" s="48"/>
      <c r="P18" s="75"/>
      <c r="Q18" s="48"/>
      <c r="R18" s="48"/>
      <c r="S18" s="48"/>
      <c r="T18" s="48"/>
      <c r="U18" s="75"/>
      <c r="Z18" s="78"/>
      <c r="AA18" s="48"/>
      <c r="AB18" s="48"/>
      <c r="AD18" s="82"/>
      <c r="AE18" s="59"/>
      <c r="AF18" s="59"/>
      <c r="AH18" s="48"/>
      <c r="AI18" s="59"/>
      <c r="AJ18" s="75"/>
      <c r="AK18" s="59"/>
      <c r="AL18" s="59"/>
      <c r="AM18" s="75"/>
      <c r="AN18" s="59"/>
      <c r="AO18" t="s">
        <v>39</v>
      </c>
      <c r="AQ18" s="7">
        <f t="shared" si="0"/>
        <v>725842.31704986235</v>
      </c>
      <c r="AR18" s="44">
        <v>144557.1984361113</v>
      </c>
      <c r="AT18" s="7">
        <f t="shared" si="1"/>
        <v>870399.51548597368</v>
      </c>
      <c r="AV18" s="7">
        <f t="shared" si="2"/>
        <v>199442.90650969953</v>
      </c>
    </row>
    <row r="19" spans="3:48" x14ac:dyDescent="0.3">
      <c r="C19" t="s">
        <v>40</v>
      </c>
      <c r="D19" s="48">
        <v>2137033.2010662174</v>
      </c>
      <c r="E19" s="48">
        <v>403903.933683571</v>
      </c>
      <c r="F19" s="75">
        <v>432549.10767888062</v>
      </c>
      <c r="G19" s="48"/>
      <c r="H19" s="48" t="s">
        <v>40</v>
      </c>
      <c r="I19" s="50">
        <v>712848.02933214861</v>
      </c>
      <c r="J19" s="50">
        <v>712848.02949547907</v>
      </c>
      <c r="K19" s="78">
        <v>488022.48546488449</v>
      </c>
      <c r="L19" s="48"/>
      <c r="M19" s="48" t="s">
        <v>132</v>
      </c>
      <c r="N19" s="48">
        <v>50525.108206987868</v>
      </c>
      <c r="O19" s="48">
        <v>50525.108206987868</v>
      </c>
      <c r="P19" s="75">
        <v>54270.913022627225</v>
      </c>
      <c r="Q19" s="48"/>
      <c r="R19" s="48" t="s">
        <v>132</v>
      </c>
      <c r="S19" s="48">
        <v>65396.793814248187</v>
      </c>
      <c r="T19" s="48">
        <v>65396.793814248187</v>
      </c>
      <c r="U19" s="75">
        <v>67004.402679867519</v>
      </c>
      <c r="W19" t="s">
        <v>132</v>
      </c>
      <c r="X19" s="48">
        <v>0</v>
      </c>
      <c r="Y19" s="48">
        <v>0</v>
      </c>
      <c r="Z19" s="78">
        <v>0</v>
      </c>
      <c r="AA19" s="48"/>
      <c r="AB19" s="48" t="s">
        <v>132</v>
      </c>
      <c r="AC19" s="59">
        <v>0</v>
      </c>
      <c r="AD19" s="82">
        <v>0</v>
      </c>
      <c r="AE19" s="59"/>
      <c r="AF19" s="59"/>
      <c r="AH19" s="48"/>
      <c r="AI19" s="59"/>
      <c r="AJ19" s="75"/>
      <c r="AK19" s="59"/>
      <c r="AL19" s="59"/>
      <c r="AM19" s="75"/>
      <c r="AN19" s="59"/>
      <c r="AO19" t="s">
        <v>40</v>
      </c>
      <c r="AQ19" s="7">
        <f t="shared" si="0"/>
        <v>4198476.9976198878</v>
      </c>
      <c r="AR19" s="44">
        <v>1653271.2751179212</v>
      </c>
      <c r="AT19" s="7">
        <f t="shared" si="1"/>
        <v>5851748.2727378085</v>
      </c>
      <c r="AV19" s="7">
        <f t="shared" si="2"/>
        <v>1041846.9088462598</v>
      </c>
    </row>
    <row r="20" spans="3:48" x14ac:dyDescent="0.3">
      <c r="C20" t="s">
        <v>41</v>
      </c>
      <c r="D20" s="48">
        <v>140871.71051383708</v>
      </c>
      <c r="E20" s="48">
        <v>26625.060384126911</v>
      </c>
      <c r="F20" s="75">
        <v>28513.329905008686</v>
      </c>
      <c r="G20" s="48"/>
      <c r="H20" s="48" t="s">
        <v>41</v>
      </c>
      <c r="I20" s="50">
        <v>52192.431748987365</v>
      </c>
      <c r="J20" s="50">
        <v>52192.431760945903</v>
      </c>
      <c r="K20" s="78">
        <v>35731.43112769835</v>
      </c>
      <c r="L20" s="48"/>
      <c r="M20" s="48" t="s">
        <v>133</v>
      </c>
      <c r="N20" s="48">
        <v>3520.882827955973</v>
      </c>
      <c r="O20" s="48">
        <v>3520.882827955973</v>
      </c>
      <c r="P20" s="75">
        <v>3781.9122511534351</v>
      </c>
      <c r="Q20" s="48"/>
      <c r="R20" s="48" t="s">
        <v>133</v>
      </c>
      <c r="S20" s="48">
        <v>4557.2282082142774</v>
      </c>
      <c r="T20" s="48">
        <v>4557.2282082142774</v>
      </c>
      <c r="U20" s="75">
        <v>4669.2557258168226</v>
      </c>
      <c r="W20" t="s">
        <v>133</v>
      </c>
      <c r="X20" s="48">
        <v>13828.912872951118</v>
      </c>
      <c r="Y20" s="48">
        <v>13828.912872951118</v>
      </c>
      <c r="Z20" s="78">
        <v>9467.4042065568447</v>
      </c>
      <c r="AA20" s="48"/>
      <c r="AB20" s="48" t="s">
        <v>133</v>
      </c>
      <c r="AC20" s="59">
        <v>47963.533972430683</v>
      </c>
      <c r="AD20" s="82">
        <v>250.39834486337122</v>
      </c>
      <c r="AE20" s="59"/>
      <c r="AF20" s="59"/>
      <c r="AG20" s="59"/>
      <c r="AH20" s="59"/>
      <c r="AI20" s="59"/>
      <c r="AJ20" s="75"/>
      <c r="AK20" s="59"/>
      <c r="AL20" s="59"/>
      <c r="AM20" s="75"/>
      <c r="AN20" s="59"/>
      <c r="AO20" t="s">
        <v>41</v>
      </c>
      <c r="AQ20" s="7">
        <f t="shared" si="0"/>
        <v>363659.21619857074</v>
      </c>
      <c r="AR20" s="44">
        <v>106828.78272840472</v>
      </c>
      <c r="AT20" s="7">
        <f t="shared" si="1"/>
        <v>470487.99892697547</v>
      </c>
      <c r="AV20" s="7">
        <f t="shared" si="2"/>
        <v>82413.731561097506</v>
      </c>
    </row>
    <row r="21" spans="3:48" x14ac:dyDescent="0.3">
      <c r="C21" t="s">
        <v>42</v>
      </c>
      <c r="D21" s="48">
        <v>286535.01235580328</v>
      </c>
      <c r="E21" s="48">
        <v>54155.741974826495</v>
      </c>
      <c r="F21" s="75">
        <v>57996.508360947715</v>
      </c>
      <c r="G21" s="48"/>
      <c r="H21" s="48" t="s">
        <v>42</v>
      </c>
      <c r="I21" s="50">
        <v>107615.15110739357</v>
      </c>
      <c r="J21" s="50">
        <v>107615.15113205077</v>
      </c>
      <c r="K21" s="78">
        <v>73674.347625415816</v>
      </c>
      <c r="L21" s="48"/>
      <c r="M21" s="48" t="s">
        <v>134</v>
      </c>
      <c r="N21" s="48">
        <v>7616.5882330170789</v>
      </c>
      <c r="O21" s="48">
        <v>7616.5882330170789</v>
      </c>
      <c r="P21" s="75">
        <v>8181.2629837389695</v>
      </c>
      <c r="Q21" s="48"/>
      <c r="R21" s="48"/>
      <c r="S21" s="48"/>
      <c r="T21" s="48"/>
      <c r="U21" s="75"/>
      <c r="Z21" s="78"/>
      <c r="AA21" s="48"/>
      <c r="AB21" s="48"/>
      <c r="AD21" s="82"/>
      <c r="AE21" s="59"/>
      <c r="AF21" s="59"/>
      <c r="AH21" s="48"/>
      <c r="AI21" s="59"/>
      <c r="AJ21" s="75"/>
      <c r="AK21" s="59"/>
      <c r="AL21" s="59"/>
      <c r="AM21" s="75"/>
      <c r="AN21" s="59"/>
      <c r="AO21" t="s">
        <v>42</v>
      </c>
      <c r="AQ21" s="7">
        <f t="shared" si="0"/>
        <v>571154.23303610831</v>
      </c>
      <c r="AR21" s="44">
        <v>220112.58031992838</v>
      </c>
      <c r="AT21" s="7">
        <f t="shared" si="1"/>
        <v>791266.81335603667</v>
      </c>
      <c r="AV21" s="7">
        <f t="shared" si="2"/>
        <v>139852.11897010251</v>
      </c>
    </row>
    <row r="22" spans="3:48" x14ac:dyDescent="0.3">
      <c r="C22" t="s">
        <v>43</v>
      </c>
      <c r="D22" s="48">
        <v>137760.66149528898</v>
      </c>
      <c r="E22" s="48">
        <v>26037.065337607717</v>
      </c>
      <c r="F22" s="75">
        <v>27883.633802839169</v>
      </c>
      <c r="G22" s="48"/>
      <c r="H22" s="48" t="s">
        <v>43</v>
      </c>
      <c r="I22" s="50">
        <v>52455.851587670535</v>
      </c>
      <c r="J22" s="50">
        <v>52455.851599689428</v>
      </c>
      <c r="K22" s="78">
        <v>35911.770834206844</v>
      </c>
      <c r="L22" s="48"/>
      <c r="M22" s="48" t="s">
        <v>135</v>
      </c>
      <c r="N22" s="48">
        <v>3540.6423540439614</v>
      </c>
      <c r="O22" s="48">
        <v>3540.6423540439614</v>
      </c>
      <c r="P22" s="75">
        <v>3803.1366989526628</v>
      </c>
      <c r="Q22" s="48"/>
      <c r="R22" s="48" t="s">
        <v>135</v>
      </c>
      <c r="S22" s="48">
        <v>4582.803802197167</v>
      </c>
      <c r="T22" s="48">
        <v>4582.803802197167</v>
      </c>
      <c r="U22" s="75">
        <v>4695.4600287811827</v>
      </c>
      <c r="W22" t="s">
        <v>135</v>
      </c>
      <c r="X22" s="48">
        <v>13828.912872951118</v>
      </c>
      <c r="Y22" s="48">
        <v>13828.912872951118</v>
      </c>
      <c r="Z22" s="78">
        <v>9467.4042065568447</v>
      </c>
      <c r="AA22" s="48"/>
      <c r="AB22" s="48" t="s">
        <v>135</v>
      </c>
      <c r="AC22" s="59">
        <v>48232.709843117249</v>
      </c>
      <c r="AD22" s="82">
        <v>251.80360396158142</v>
      </c>
      <c r="AE22" s="59"/>
      <c r="AF22" s="59"/>
      <c r="AG22" s="59"/>
      <c r="AH22" s="59"/>
      <c r="AI22" s="59"/>
      <c r="AJ22" s="75"/>
      <c r="AK22" s="59"/>
      <c r="AL22" s="59"/>
      <c r="AM22" s="75"/>
      <c r="AN22" s="59"/>
      <c r="AO22" t="s">
        <v>43</v>
      </c>
      <c r="AQ22" s="7">
        <f t="shared" si="0"/>
        <v>360846.85792175843</v>
      </c>
      <c r="AR22" s="44">
        <v>108617.93668223625</v>
      </c>
      <c r="AT22" s="7">
        <f t="shared" si="1"/>
        <v>469464.7946039947</v>
      </c>
      <c r="AV22" s="7">
        <f t="shared" si="2"/>
        <v>82013.209175298281</v>
      </c>
    </row>
    <row r="23" spans="3:48" x14ac:dyDescent="0.3">
      <c r="C23" t="s">
        <v>44</v>
      </c>
      <c r="D23" s="48">
        <v>314326.02164189389</v>
      </c>
      <c r="E23" s="48">
        <v>59408.303313643446</v>
      </c>
      <c r="F23" s="75">
        <v>63621.585342529674</v>
      </c>
      <c r="G23" s="48"/>
      <c r="H23" s="48" t="s">
        <v>44</v>
      </c>
      <c r="I23" s="50">
        <v>88210.342269140325</v>
      </c>
      <c r="J23" s="50">
        <v>88210.342289351422</v>
      </c>
      <c r="K23" s="78">
        <v>60389.632441328788</v>
      </c>
      <c r="L23" s="48"/>
      <c r="M23" s="48" t="s">
        <v>44</v>
      </c>
      <c r="N23" s="48">
        <v>6119.5</v>
      </c>
      <c r="O23" s="48">
        <v>6119.5</v>
      </c>
      <c r="P23" s="75">
        <v>6573.1810177065172</v>
      </c>
      <c r="Q23" s="48"/>
      <c r="R23" s="48" t="s">
        <v>137</v>
      </c>
      <c r="S23" s="48">
        <v>7920.7247451219228</v>
      </c>
      <c r="T23" s="48">
        <v>7920.7247451219228</v>
      </c>
      <c r="U23" s="75">
        <v>8115.4350142301637</v>
      </c>
      <c r="W23" t="s">
        <v>137</v>
      </c>
      <c r="X23" s="48">
        <v>27657.825745902235</v>
      </c>
      <c r="Y23" s="48">
        <v>27657.825745902235</v>
      </c>
      <c r="Z23" s="78">
        <v>18934.808413113689</v>
      </c>
      <c r="AA23" s="48"/>
      <c r="AB23" s="48" t="s">
        <v>137</v>
      </c>
      <c r="AC23" s="59">
        <v>83363.380774778372</v>
      </c>
      <c r="AD23" s="82">
        <v>435.20672559736397</v>
      </c>
      <c r="AE23" s="59"/>
      <c r="AF23" s="59"/>
      <c r="AG23" s="59"/>
      <c r="AH23" s="59"/>
      <c r="AI23" s="59"/>
      <c r="AJ23" s="75"/>
      <c r="AK23" s="59"/>
      <c r="AL23" s="59"/>
      <c r="AM23" s="75"/>
      <c r="AN23" s="59"/>
      <c r="AO23" t="s">
        <v>44</v>
      </c>
      <c r="AQ23" s="7">
        <f t="shared" si="0"/>
        <v>716914.49127085577</v>
      </c>
      <c r="AR23" s="44">
        <v>234257.33542341884</v>
      </c>
      <c r="AT23" s="7">
        <f t="shared" si="1"/>
        <v>951171.82669427455</v>
      </c>
      <c r="AV23" s="7">
        <f t="shared" si="2"/>
        <v>158069.84895450619</v>
      </c>
    </row>
    <row r="24" spans="3:48" x14ac:dyDescent="0.3">
      <c r="C24" t="s">
        <v>45</v>
      </c>
      <c r="D24" s="48">
        <v>643026.54174685234</v>
      </c>
      <c r="E24" s="48">
        <v>121533.41817287424</v>
      </c>
      <c r="F24" s="75">
        <v>130152.66057058281</v>
      </c>
      <c r="G24" s="48"/>
      <c r="H24" s="48" t="s">
        <v>45</v>
      </c>
      <c r="I24" s="50">
        <v>114912.15220576127</v>
      </c>
      <c r="J24" s="50">
        <v>114912.1522320904</v>
      </c>
      <c r="K24" s="78">
        <v>78669.943412924287</v>
      </c>
      <c r="L24" s="48"/>
      <c r="M24" s="48"/>
      <c r="N24" s="48"/>
      <c r="O24" s="48"/>
      <c r="P24" s="75"/>
      <c r="Q24" s="48"/>
      <c r="R24" s="48"/>
      <c r="S24" s="48"/>
      <c r="T24" s="48"/>
      <c r="U24" s="75"/>
      <c r="Z24" s="78"/>
      <c r="AA24" s="48"/>
      <c r="AB24" s="48"/>
      <c r="AD24" s="82"/>
      <c r="AE24" s="59"/>
      <c r="AF24" s="59"/>
      <c r="AH24" s="48"/>
      <c r="AI24" s="59"/>
      <c r="AJ24" s="75"/>
      <c r="AK24" s="59"/>
      <c r="AL24" s="59"/>
      <c r="AM24" s="75"/>
      <c r="AN24" s="59"/>
      <c r="AO24" t="s">
        <v>45</v>
      </c>
      <c r="AQ24" s="7">
        <f t="shared" si="0"/>
        <v>994384.26435757824</v>
      </c>
      <c r="AR24" s="44">
        <v>387991.39525384537</v>
      </c>
      <c r="AT24" s="7">
        <f t="shared" si="1"/>
        <v>1382375.6596114235</v>
      </c>
      <c r="AV24" s="7">
        <f t="shared" si="2"/>
        <v>208822.60398350708</v>
      </c>
    </row>
    <row r="25" spans="3:48" x14ac:dyDescent="0.3">
      <c r="C25" t="s">
        <v>46</v>
      </c>
      <c r="D25" s="48">
        <v>1004309.8002266919</v>
      </c>
      <c r="E25" s="48">
        <v>189816.74161456001</v>
      </c>
      <c r="F25" s="75">
        <v>203278.68921478206</v>
      </c>
      <c r="G25" s="48"/>
      <c r="H25" s="48" t="s">
        <v>46</v>
      </c>
      <c r="I25" s="50">
        <v>344034.45632553543</v>
      </c>
      <c r="J25" s="50">
        <v>344034.45640436193</v>
      </c>
      <c r="K25" s="78">
        <v>235529.2342167889</v>
      </c>
      <c r="L25" s="48"/>
      <c r="M25" s="48" t="s">
        <v>138</v>
      </c>
      <c r="N25" s="48">
        <v>24531.026193896734</v>
      </c>
      <c r="O25" s="48">
        <v>24531.026193896734</v>
      </c>
      <c r="P25" s="75">
        <v>26349.694957023992</v>
      </c>
      <c r="Q25" s="48"/>
      <c r="R25" s="48" t="s">
        <v>138</v>
      </c>
      <c r="S25" s="48">
        <v>31751.549259073341</v>
      </c>
      <c r="T25" s="48">
        <v>31751.549259073341</v>
      </c>
      <c r="U25" s="75">
        <v>32532.077922772354</v>
      </c>
      <c r="Z25" s="78"/>
      <c r="AA25" s="48"/>
      <c r="AB25" s="48"/>
      <c r="AD25" s="82"/>
      <c r="AE25" s="59"/>
      <c r="AF25" s="59"/>
      <c r="AH25" s="48"/>
      <c r="AI25" s="59"/>
      <c r="AJ25" s="75"/>
      <c r="AK25" s="59"/>
      <c r="AL25" s="59"/>
      <c r="AM25" s="75"/>
      <c r="AN25" s="59"/>
      <c r="AO25" t="s">
        <v>46</v>
      </c>
      <c r="AQ25" s="7">
        <f t="shared" si="0"/>
        <v>1994760.6054770893</v>
      </c>
      <c r="AR25" s="44">
        <v>758073.83313367469</v>
      </c>
      <c r="AT25" s="7">
        <f t="shared" si="1"/>
        <v>2752834.4386107642</v>
      </c>
      <c r="AV25" s="7">
        <f t="shared" si="2"/>
        <v>497689.69631136733</v>
      </c>
    </row>
    <row r="26" spans="3:48" x14ac:dyDescent="0.3">
      <c r="C26" t="s">
        <v>47</v>
      </c>
      <c r="D26" s="48">
        <v>1543838.823402056</v>
      </c>
      <c r="E26" s="48">
        <v>291788.90315526963</v>
      </c>
      <c r="F26" s="75">
        <v>312482.79396379885</v>
      </c>
      <c r="G26" s="48"/>
      <c r="H26" s="48" t="s">
        <v>47</v>
      </c>
      <c r="I26" s="50">
        <v>377883.90559632226</v>
      </c>
      <c r="J26" s="50">
        <v>377883.90568290453</v>
      </c>
      <c r="K26" s="78">
        <v>258702.88650313034</v>
      </c>
      <c r="L26" s="48"/>
      <c r="M26" s="48" t="s">
        <v>139</v>
      </c>
      <c r="N26" s="48">
        <v>27077.263306823625</v>
      </c>
      <c r="O26" s="48">
        <v>27077.263306823625</v>
      </c>
      <c r="P26" s="75">
        <v>29084.703704051852</v>
      </c>
      <c r="Q26" s="48"/>
      <c r="R26" s="48"/>
      <c r="S26" s="48"/>
      <c r="T26" s="48"/>
      <c r="U26" s="75"/>
      <c r="W26" t="s">
        <v>139</v>
      </c>
      <c r="X26" s="48">
        <v>67457.772922050543</v>
      </c>
      <c r="Y26" s="48">
        <v>67457.772922050543</v>
      </c>
      <c r="Z26" s="78">
        <v>46182.227698921677</v>
      </c>
      <c r="AA26" s="48"/>
      <c r="AB26" s="48" t="s">
        <v>139</v>
      </c>
      <c r="AC26" s="59">
        <v>368862.38536124484</v>
      </c>
      <c r="AD26" s="82">
        <v>1925.6823492176466</v>
      </c>
      <c r="AE26" s="59"/>
      <c r="AF26" s="59"/>
      <c r="AG26" s="59"/>
      <c r="AH26" s="59"/>
      <c r="AI26" s="59"/>
      <c r="AJ26" s="75"/>
      <c r="AK26" s="59"/>
      <c r="AL26" s="59"/>
      <c r="AM26" s="75"/>
      <c r="AN26" s="59"/>
      <c r="AO26" t="s">
        <v>47</v>
      </c>
      <c r="AQ26" s="7">
        <f t="shared" si="0"/>
        <v>3149327.995655546</v>
      </c>
      <c r="AR26" s="44">
        <v>1008182.1854999672</v>
      </c>
      <c r="AT26" s="7">
        <f t="shared" si="1"/>
        <v>4157510.181155513</v>
      </c>
      <c r="AV26" s="7">
        <f t="shared" si="2"/>
        <v>648378.29421912041</v>
      </c>
    </row>
    <row r="27" spans="3:48" x14ac:dyDescent="0.3">
      <c r="C27" t="s">
        <v>48</v>
      </c>
      <c r="D27" s="48">
        <v>6198354.8493268471</v>
      </c>
      <c r="E27" s="48">
        <v>1171502.5787903881</v>
      </c>
      <c r="F27" s="75">
        <v>1254586.4321694807</v>
      </c>
      <c r="G27" s="48"/>
      <c r="H27" s="48" t="s">
        <v>48</v>
      </c>
      <c r="I27" s="50">
        <v>769548.47069159022</v>
      </c>
      <c r="J27" s="50">
        <v>769548.47086791217</v>
      </c>
      <c r="K27" s="78">
        <v>526840.1424977798</v>
      </c>
      <c r="L27" s="48"/>
      <c r="M27" s="48" t="s">
        <v>140</v>
      </c>
      <c r="N27" s="48">
        <v>54535.346570979396</v>
      </c>
      <c r="O27" s="48">
        <v>54535.346570979396</v>
      </c>
      <c r="P27" s="75">
        <v>58578.460402052464</v>
      </c>
      <c r="Q27" s="48"/>
      <c r="R27" s="48" t="s">
        <v>140</v>
      </c>
      <c r="S27" s="48">
        <v>70587.415680143968</v>
      </c>
      <c r="T27" s="48">
        <v>70587.415680143968</v>
      </c>
      <c r="U27" s="75">
        <v>72322.622387232303</v>
      </c>
      <c r="W27" t="s">
        <v>140</v>
      </c>
      <c r="X27" s="48">
        <v>135864.28523163821</v>
      </c>
      <c r="Y27" s="48">
        <v>135864.28523163821</v>
      </c>
      <c r="Z27" s="78">
        <v>93013.971332394052</v>
      </c>
      <c r="AA27" s="48"/>
      <c r="AB27" s="48" t="s">
        <v>140</v>
      </c>
      <c r="AC27" s="59">
        <v>742912.52386663074</v>
      </c>
      <c r="AD27" s="82">
        <v>3878.4478737826171</v>
      </c>
      <c r="AE27" s="59"/>
      <c r="AF27" s="59"/>
      <c r="AG27" t="s">
        <v>48</v>
      </c>
      <c r="AH27" s="48">
        <v>117902.3939464974</v>
      </c>
      <c r="AI27" s="48">
        <v>117902.3939464974</v>
      </c>
      <c r="AJ27" s="75">
        <v>126643.38175815967</v>
      </c>
      <c r="AK27" s="48">
        <v>126192.07096925784</v>
      </c>
      <c r="AL27" s="48">
        <v>126192.07096925784</v>
      </c>
      <c r="AM27" s="75">
        <v>129294.17246734141</v>
      </c>
      <c r="AN27" s="59"/>
      <c r="AO27" t="s">
        <v>48</v>
      </c>
      <c r="AQ27" s="7">
        <f>+D27+E27+I27+J27+N27+O27+S27+T27+X27+Y27+AC27+AH27+AI27+AK27+AL27</f>
        <v>10662029.918340402</v>
      </c>
      <c r="AR27" s="44">
        <v>4834518.2222579373</v>
      </c>
      <c r="AT27" s="7">
        <f t="shared" si="1"/>
        <v>15496548.140598338</v>
      </c>
      <c r="AV27" s="7">
        <f t="shared" si="2"/>
        <v>2265157.6308882227</v>
      </c>
    </row>
    <row r="28" spans="3:48" x14ac:dyDescent="0.3">
      <c r="C28" t="s">
        <v>49</v>
      </c>
      <c r="D28" s="48">
        <v>160996.20122705339</v>
      </c>
      <c r="E28" s="48">
        <v>30428.632999840662</v>
      </c>
      <c r="F28" s="75">
        <v>32586.654781828838</v>
      </c>
      <c r="G28" s="48"/>
      <c r="H28" s="48" t="s">
        <v>49</v>
      </c>
      <c r="I28" s="50">
        <v>40612.82152068818</v>
      </c>
      <c r="J28" s="50">
        <v>40612.821529993547</v>
      </c>
      <c r="K28" s="78">
        <v>27803.920730252816</v>
      </c>
      <c r="L28" s="48"/>
      <c r="M28" s="48"/>
      <c r="N28" s="48"/>
      <c r="O28" s="48"/>
      <c r="P28" s="75"/>
      <c r="Q28" s="48"/>
      <c r="R28" s="48"/>
      <c r="S28" s="48"/>
      <c r="T28" s="48"/>
      <c r="U28" s="75"/>
      <c r="Z28" s="78"/>
      <c r="AA28" s="48"/>
      <c r="AB28" s="48"/>
      <c r="AD28" s="82"/>
      <c r="AE28" s="59"/>
      <c r="AF28" s="59"/>
      <c r="AH28" s="48"/>
      <c r="AI28" s="59"/>
      <c r="AJ28" s="75"/>
      <c r="AK28" s="59"/>
      <c r="AL28" s="59"/>
      <c r="AM28" s="75"/>
      <c r="AN28" s="59"/>
      <c r="AO28" t="s">
        <v>49</v>
      </c>
      <c r="AQ28" s="7">
        <f t="shared" si="0"/>
        <v>272650.47727757576</v>
      </c>
      <c r="AR28" s="44">
        <v>97142.398780242991</v>
      </c>
      <c r="AT28" s="7">
        <f t="shared" si="1"/>
        <v>369792.87605781876</v>
      </c>
      <c r="AV28" s="7">
        <f t="shared" si="2"/>
        <v>60390.575512081654</v>
      </c>
    </row>
    <row r="29" spans="3:48" x14ac:dyDescent="0.3">
      <c r="C29" t="s">
        <v>50</v>
      </c>
      <c r="D29" s="48">
        <v>1965495.5540215445</v>
      </c>
      <c r="E29" s="48">
        <v>371482.94444409665</v>
      </c>
      <c r="F29" s="75">
        <v>397828.79723845853</v>
      </c>
      <c r="G29" s="48"/>
      <c r="H29" s="48" t="s">
        <v>50</v>
      </c>
      <c r="I29" s="50">
        <v>366245.90849656239</v>
      </c>
      <c r="J29" s="50">
        <v>366245.90858047805</v>
      </c>
      <c r="K29" s="78">
        <v>250735.40390269578</v>
      </c>
      <c r="L29" s="48"/>
      <c r="M29" s="48" t="s">
        <v>155</v>
      </c>
      <c r="N29" s="48">
        <v>25609.480328278027</v>
      </c>
      <c r="O29" s="48">
        <v>25609.480328278027</v>
      </c>
      <c r="P29" s="75">
        <v>27508.102976381884</v>
      </c>
      <c r="Q29" s="48"/>
      <c r="R29" s="48"/>
      <c r="S29" s="48"/>
      <c r="T29" s="48"/>
      <c r="U29" s="75"/>
      <c r="W29" t="s">
        <v>155</v>
      </c>
      <c r="X29" s="48">
        <v>63801.075059211944</v>
      </c>
      <c r="Y29" s="48">
        <v>63801.075059211944</v>
      </c>
      <c r="Z29" s="78">
        <v>43678.817846910824</v>
      </c>
      <c r="AA29" s="48"/>
      <c r="AB29" s="48" t="s">
        <v>155</v>
      </c>
      <c r="AC29" s="59">
        <v>348867.38348369102</v>
      </c>
      <c r="AD29" s="82">
        <v>1821.29647601328</v>
      </c>
      <c r="AE29" s="59"/>
      <c r="AF29" s="59"/>
      <c r="AG29" s="59"/>
      <c r="AH29" s="59"/>
      <c r="AI29" s="59"/>
      <c r="AJ29" s="75"/>
      <c r="AK29" s="59"/>
      <c r="AL29" s="59"/>
      <c r="AM29" s="75"/>
      <c r="AN29" s="59"/>
      <c r="AO29" t="s">
        <v>50</v>
      </c>
      <c r="AQ29" s="7">
        <f t="shared" si="0"/>
        <v>3597158.8098013531</v>
      </c>
      <c r="AR29" s="44">
        <v>1370355.7926125615</v>
      </c>
      <c r="AT29" s="7">
        <f t="shared" si="1"/>
        <v>4967514.6024139151</v>
      </c>
      <c r="AV29" s="7">
        <f t="shared" si="2"/>
        <v>721572.41844046023</v>
      </c>
    </row>
    <row r="30" spans="3:48" x14ac:dyDescent="0.3">
      <c r="C30" t="s">
        <v>51</v>
      </c>
      <c r="D30" s="48">
        <v>1291803.0757438564</v>
      </c>
      <c r="E30" s="48">
        <v>244153.59741587489</v>
      </c>
      <c r="F30" s="75">
        <v>261469.15613246232</v>
      </c>
      <c r="G30" s="48"/>
      <c r="H30" s="48" t="s">
        <v>51</v>
      </c>
      <c r="I30" s="50">
        <v>175532.66095838996</v>
      </c>
      <c r="J30" s="50">
        <v>175532.66099860868</v>
      </c>
      <c r="K30" s="78">
        <v>120171.31556277841</v>
      </c>
      <c r="L30" s="48"/>
      <c r="M30" s="48" t="s">
        <v>158</v>
      </c>
      <c r="N30" s="48">
        <v>12177.540661422656</v>
      </c>
      <c r="O30" s="48">
        <v>12177.540661422656</v>
      </c>
      <c r="P30" s="75">
        <v>13080.352987233615</v>
      </c>
      <c r="Q30" s="48"/>
      <c r="R30" s="48" t="s">
        <v>158</v>
      </c>
      <c r="S30" s="48">
        <v>15761.908169244429</v>
      </c>
      <c r="T30" s="48">
        <v>15761.908169244429</v>
      </c>
      <c r="U30" s="75">
        <v>16149.373392446769</v>
      </c>
      <c r="W30" t="s">
        <v>158</v>
      </c>
      <c r="X30" s="48">
        <v>55315.65149180447</v>
      </c>
      <c r="Y30" s="48">
        <v>55315.65149180447</v>
      </c>
      <c r="Z30" s="78">
        <v>37869.616826227379</v>
      </c>
      <c r="AA30" s="48"/>
      <c r="AB30" s="48" t="s">
        <v>158</v>
      </c>
      <c r="AC30" s="59">
        <v>165889.61171249326</v>
      </c>
      <c r="AD30" s="82">
        <v>866.04302816201675</v>
      </c>
      <c r="AE30" s="59"/>
      <c r="AF30" s="59"/>
      <c r="AG30" s="59"/>
      <c r="AH30" s="59"/>
      <c r="AI30" s="59"/>
      <c r="AJ30" s="75"/>
      <c r="AK30" s="59"/>
      <c r="AL30" s="59"/>
      <c r="AM30" s="75"/>
      <c r="AN30" s="59"/>
      <c r="AO30" t="s">
        <v>51</v>
      </c>
      <c r="AQ30" s="7">
        <f t="shared" si="0"/>
        <v>2219421.8074741666</v>
      </c>
      <c r="AR30" s="44">
        <v>856191.90219621337</v>
      </c>
      <c r="AT30" s="7">
        <f t="shared" si="1"/>
        <v>3075613.7096703798</v>
      </c>
      <c r="AV30" s="7">
        <f t="shared" si="2"/>
        <v>449605.85792931053</v>
      </c>
    </row>
    <row r="31" spans="3:48" x14ac:dyDescent="0.3">
      <c r="C31" t="s">
        <v>52</v>
      </c>
      <c r="D31" s="48">
        <v>137760.66149528898</v>
      </c>
      <c r="E31" s="48">
        <v>26037.065337607717</v>
      </c>
      <c r="F31" s="75">
        <v>27883.633802839169</v>
      </c>
      <c r="G31" s="48"/>
      <c r="H31" s="48" t="s">
        <v>52</v>
      </c>
      <c r="I31" s="50">
        <v>21822.543050402452</v>
      </c>
      <c r="J31" s="50">
        <v>21822.543055402519</v>
      </c>
      <c r="K31" s="78">
        <v>14939.918833190142</v>
      </c>
      <c r="L31" s="48"/>
      <c r="M31" s="48"/>
      <c r="N31" s="48"/>
      <c r="O31" s="48"/>
      <c r="P31" s="75"/>
      <c r="Q31" s="48"/>
      <c r="R31" s="48"/>
      <c r="S31" s="48"/>
      <c r="T31" s="48"/>
      <c r="U31" s="75"/>
      <c r="Z31" s="78"/>
      <c r="AA31" s="48"/>
      <c r="AB31" s="48"/>
      <c r="AD31" s="82"/>
      <c r="AE31" s="59"/>
      <c r="AF31" s="59"/>
      <c r="AH31" s="48"/>
      <c r="AI31" s="59"/>
      <c r="AJ31" s="75"/>
      <c r="AK31" s="59"/>
      <c r="AL31" s="59"/>
      <c r="AM31" s="75"/>
      <c r="AN31" s="59"/>
      <c r="AO31" t="s">
        <v>52</v>
      </c>
      <c r="AQ31" s="7">
        <f t="shared" si="0"/>
        <v>207442.81293870168</v>
      </c>
      <c r="AR31" s="44">
        <v>83122.465084329466</v>
      </c>
      <c r="AT31" s="7">
        <f t="shared" si="1"/>
        <v>290565.27802303113</v>
      </c>
      <c r="AV31" s="7">
        <f t="shared" si="2"/>
        <v>42823.552636029315</v>
      </c>
    </row>
    <row r="32" spans="3:48" x14ac:dyDescent="0.3">
      <c r="C32" t="s">
        <v>53</v>
      </c>
      <c r="D32" s="48">
        <v>492571.78633741837</v>
      </c>
      <c r="E32" s="48">
        <v>93097.141412667319</v>
      </c>
      <c r="F32" s="75">
        <v>99699.661447347215</v>
      </c>
      <c r="G32" s="48"/>
      <c r="H32" s="48" t="s">
        <v>53</v>
      </c>
      <c r="I32" s="50">
        <v>210500.96562647028</v>
      </c>
      <c r="J32" s="50">
        <v>210500.96567470109</v>
      </c>
      <c r="K32" s="78">
        <v>144110.94680872295</v>
      </c>
      <c r="L32" s="48"/>
      <c r="M32" s="48" t="s">
        <v>160</v>
      </c>
      <c r="N32" s="48">
        <v>14742.308239006225</v>
      </c>
      <c r="O32" s="48">
        <v>14742.308239006225</v>
      </c>
      <c r="P32" s="75">
        <v>15835.266001097109</v>
      </c>
      <c r="Q32" s="48"/>
      <c r="R32" s="48" t="s">
        <v>160</v>
      </c>
      <c r="S32" s="48">
        <v>19081.595793970861</v>
      </c>
      <c r="T32" s="48">
        <v>19081.595793970861</v>
      </c>
      <c r="U32" s="75">
        <v>19550.666841332644</v>
      </c>
      <c r="W32" t="s">
        <v>160</v>
      </c>
      <c r="X32" s="48">
        <v>55315.65149180447</v>
      </c>
      <c r="Y32" s="48">
        <v>55315.65149180447</v>
      </c>
      <c r="Z32" s="78">
        <v>37869.616826227379</v>
      </c>
      <c r="AA32" s="48"/>
      <c r="AB32" s="48" t="s">
        <v>160</v>
      </c>
      <c r="AC32" s="59">
        <v>200828.38214304295</v>
      </c>
      <c r="AD32" s="82">
        <v>1048.4443143641472</v>
      </c>
      <c r="AE32" s="59"/>
      <c r="AF32" s="59"/>
      <c r="AG32" s="59"/>
      <c r="AH32" s="59"/>
      <c r="AI32" s="59"/>
      <c r="AJ32" s="75"/>
      <c r="AK32" s="59"/>
      <c r="AL32" s="59"/>
      <c r="AM32" s="75"/>
      <c r="AN32" s="59"/>
      <c r="AO32" t="s">
        <v>53</v>
      </c>
      <c r="AQ32" s="7">
        <f t="shared" si="0"/>
        <v>1385778.3522438633</v>
      </c>
      <c r="AR32" s="44">
        <v>388610.53841098235</v>
      </c>
      <c r="AT32" s="7">
        <f t="shared" si="1"/>
        <v>1774388.8906548456</v>
      </c>
      <c r="AV32" s="7">
        <f t="shared" si="2"/>
        <v>318114.60223909147</v>
      </c>
    </row>
    <row r="33" spans="3:48" x14ac:dyDescent="0.3">
      <c r="C33" t="s">
        <v>54</v>
      </c>
      <c r="D33" s="48">
        <v>137760.66149528898</v>
      </c>
      <c r="E33" s="48">
        <v>26037.065337607717</v>
      </c>
      <c r="F33" s="75">
        <v>27883.633802839169</v>
      </c>
      <c r="G33" s="48"/>
      <c r="H33" s="48" t="s">
        <v>54</v>
      </c>
      <c r="I33" s="50">
        <v>21822.543050402452</v>
      </c>
      <c r="J33" s="50">
        <v>21822.543055402519</v>
      </c>
      <c r="K33" s="78">
        <v>14939.918833190142</v>
      </c>
      <c r="L33" s="48"/>
      <c r="M33" s="48"/>
      <c r="N33" s="48"/>
      <c r="O33" s="48"/>
      <c r="P33" s="75"/>
      <c r="Q33" s="48"/>
      <c r="R33" s="48"/>
      <c r="S33" s="48"/>
      <c r="T33" s="48"/>
      <c r="U33" s="75"/>
      <c r="Z33" s="78"/>
      <c r="AA33" s="48"/>
      <c r="AB33" s="48"/>
      <c r="AD33" s="82"/>
      <c r="AE33" s="59"/>
      <c r="AF33" s="59"/>
      <c r="AH33" s="48"/>
      <c r="AI33" s="59"/>
      <c r="AJ33" s="75"/>
      <c r="AK33" s="59"/>
      <c r="AL33" s="59"/>
      <c r="AM33" s="75"/>
      <c r="AN33" s="59"/>
      <c r="AO33" t="s">
        <v>54</v>
      </c>
      <c r="AQ33" s="7">
        <f t="shared" si="0"/>
        <v>207442.81293870168</v>
      </c>
      <c r="AR33" s="44">
        <v>83122.465084329466</v>
      </c>
      <c r="AT33" s="7">
        <f t="shared" si="1"/>
        <v>290565.27802303113</v>
      </c>
      <c r="AV33" s="7">
        <f t="shared" si="2"/>
        <v>42823.552636029315</v>
      </c>
    </row>
    <row r="34" spans="3:48" x14ac:dyDescent="0.3">
      <c r="C34" t="s">
        <v>55</v>
      </c>
      <c r="D34" s="48">
        <v>196453.72908601831</v>
      </c>
      <c r="E34" s="48">
        <v>37130.183061760821</v>
      </c>
      <c r="F34" s="75">
        <v>39763.483868172596</v>
      </c>
      <c r="G34" s="48"/>
      <c r="H34" s="48" t="s">
        <v>55</v>
      </c>
      <c r="I34" s="50">
        <v>49198.407293851385</v>
      </c>
      <c r="J34" s="50">
        <v>49198.40730512391</v>
      </c>
      <c r="K34" s="78">
        <v>33681.693741867282</v>
      </c>
      <c r="L34" s="48"/>
      <c r="M34" s="48" t="s">
        <v>161</v>
      </c>
      <c r="N34" s="48">
        <v>3399.2057462562511</v>
      </c>
      <c r="O34" s="48">
        <v>3399.2057462562511</v>
      </c>
      <c r="P34" s="75">
        <v>3651.2143357581858</v>
      </c>
      <c r="Q34" s="48"/>
      <c r="R34" s="48" t="s">
        <v>161</v>
      </c>
      <c r="S34" s="48">
        <v>4399.7363926354319</v>
      </c>
      <c r="T34" s="48">
        <v>4399.7363926354319</v>
      </c>
      <c r="U34" s="75">
        <v>4507.8923865099778</v>
      </c>
      <c r="W34" t="s">
        <v>161</v>
      </c>
      <c r="X34" s="48">
        <v>13828.912872951118</v>
      </c>
      <c r="Y34" s="48">
        <v>13828.912872951118</v>
      </c>
      <c r="Z34" s="78">
        <v>9467.4042065568447</v>
      </c>
      <c r="AA34" s="48"/>
      <c r="AB34" s="48" t="s">
        <v>161</v>
      </c>
      <c r="AC34" s="59">
        <v>46305.977295045057</v>
      </c>
      <c r="AD34" s="82">
        <v>241.7449072586034</v>
      </c>
      <c r="AE34" s="59"/>
      <c r="AF34" s="59"/>
      <c r="AG34" s="59"/>
      <c r="AH34" s="59"/>
      <c r="AI34" s="59"/>
      <c r="AJ34" s="75"/>
      <c r="AK34" s="59"/>
      <c r="AL34" s="59"/>
      <c r="AM34" s="75"/>
      <c r="AN34" s="59"/>
      <c r="AO34" t="s">
        <v>55</v>
      </c>
      <c r="AQ34" s="7">
        <f t="shared" si="0"/>
        <v>421542.41406548506</v>
      </c>
      <c r="AR34" s="44">
        <v>139611.65029561322</v>
      </c>
      <c r="AT34" s="7">
        <f t="shared" si="1"/>
        <v>561154.06436109822</v>
      </c>
      <c r="AV34" s="7">
        <f t="shared" si="2"/>
        <v>91313.433446123498</v>
      </c>
    </row>
    <row r="35" spans="3:48" x14ac:dyDescent="0.3">
      <c r="C35" t="s">
        <v>56</v>
      </c>
      <c r="D35" s="48">
        <v>171537.64704467289</v>
      </c>
      <c r="E35" s="48">
        <v>32420.989239474402</v>
      </c>
      <c r="F35" s="75">
        <v>34720.310440422094</v>
      </c>
      <c r="G35" s="48"/>
      <c r="H35" s="48" t="s">
        <v>56</v>
      </c>
      <c r="I35" s="50">
        <v>61298.068028416827</v>
      </c>
      <c r="J35" s="50">
        <v>61298.06804246168</v>
      </c>
      <c r="K35" s="78">
        <v>41965.235621749685</v>
      </c>
      <c r="L35" s="48"/>
      <c r="M35" s="48" t="s">
        <v>164</v>
      </c>
      <c r="N35" s="48">
        <v>4168.5982022565113</v>
      </c>
      <c r="O35" s="48">
        <v>4168.5982022565113</v>
      </c>
      <c r="P35" s="75">
        <v>4477.6476189645082</v>
      </c>
      <c r="Q35" s="48"/>
      <c r="R35" s="48" t="s">
        <v>164</v>
      </c>
      <c r="S35" s="48">
        <v>5395.5937315481297</v>
      </c>
      <c r="T35" s="48">
        <v>5395.5937315481297</v>
      </c>
      <c r="U35" s="75">
        <v>5528.2302693997299</v>
      </c>
      <c r="W35" t="s">
        <v>164</v>
      </c>
      <c r="X35" s="48">
        <v>13828.912872951118</v>
      </c>
      <c r="Y35" s="48">
        <v>13828.912872951118</v>
      </c>
      <c r="Z35" s="78">
        <v>9467.4042065568447</v>
      </c>
      <c r="AA35" s="48"/>
      <c r="AB35" s="48" t="s">
        <v>164</v>
      </c>
      <c r="AC35" s="59">
        <v>56787.093255079446</v>
      </c>
      <c r="AD35" s="82">
        <v>296.46260362814542</v>
      </c>
      <c r="AE35" s="59"/>
      <c r="AF35" s="59"/>
      <c r="AG35" s="59"/>
      <c r="AH35" s="59"/>
      <c r="AI35" s="59"/>
      <c r="AJ35" s="75"/>
      <c r="AK35" s="59"/>
      <c r="AL35" s="59"/>
      <c r="AM35" s="75"/>
      <c r="AN35" s="59"/>
      <c r="AO35" t="s">
        <v>56</v>
      </c>
      <c r="AQ35" s="7">
        <f t="shared" si="0"/>
        <v>430128.07522361673</v>
      </c>
      <c r="AR35" s="44">
        <v>129347.8710200832</v>
      </c>
      <c r="AT35" s="7">
        <f t="shared" si="1"/>
        <v>559475.94624369987</v>
      </c>
      <c r="AV35" s="7">
        <f t="shared" si="2"/>
        <v>96455.290760721007</v>
      </c>
    </row>
    <row r="36" spans="3:48" x14ac:dyDescent="0.3">
      <c r="C36" t="s">
        <v>57</v>
      </c>
      <c r="D36" s="48">
        <v>654526.38848649454</v>
      </c>
      <c r="E36" s="48">
        <v>123706.91427606173</v>
      </c>
      <c r="F36" s="75">
        <v>132480.30266954241</v>
      </c>
      <c r="G36" s="48"/>
      <c r="H36" s="48" t="s">
        <v>57</v>
      </c>
      <c r="I36" s="50">
        <v>114157.19637943221</v>
      </c>
      <c r="J36" s="50">
        <v>114157.19640558834</v>
      </c>
      <c r="K36" s="78">
        <v>78153.093532415412</v>
      </c>
      <c r="L36" s="48"/>
      <c r="M36" s="48" t="s">
        <v>165</v>
      </c>
      <c r="N36" s="48">
        <v>7870.3421469891473</v>
      </c>
      <c r="O36" s="48">
        <v>7870.3421469891473</v>
      </c>
      <c r="P36" s="75">
        <v>8453.8295765290623</v>
      </c>
      <c r="Q36" s="48"/>
      <c r="R36" s="48" t="s">
        <v>165</v>
      </c>
      <c r="S36" s="48">
        <v>10186.918166026844</v>
      </c>
      <c r="T36" s="48">
        <v>10186.918166026844</v>
      </c>
      <c r="U36" s="75">
        <v>10437.336863976458</v>
      </c>
      <c r="W36" t="s">
        <v>165</v>
      </c>
      <c r="X36" s="48">
        <v>27657.825745902235</v>
      </c>
      <c r="Y36" s="48">
        <v>27657.825745902235</v>
      </c>
      <c r="Z36" s="78">
        <v>18934.808413113689</v>
      </c>
      <c r="AA36" s="48"/>
      <c r="AB36" s="48" t="s">
        <v>165</v>
      </c>
      <c r="AC36" s="59">
        <v>107214.4235941292</v>
      </c>
      <c r="AD36" s="82">
        <v>559.72343966317237</v>
      </c>
      <c r="AE36" s="59"/>
      <c r="AF36" s="59"/>
      <c r="AG36" s="59"/>
      <c r="AH36" s="59"/>
      <c r="AI36" s="59"/>
      <c r="AJ36" s="75"/>
      <c r="AK36" s="59"/>
      <c r="AL36" s="59"/>
      <c r="AM36" s="75"/>
      <c r="AN36" s="59"/>
      <c r="AO36" t="s">
        <v>57</v>
      </c>
      <c r="AQ36" s="7">
        <f t="shared" si="0"/>
        <v>1205192.2912595426</v>
      </c>
      <c r="AR36" s="44">
        <v>451603.00042360835</v>
      </c>
      <c r="AT36" s="7">
        <f t="shared" si="1"/>
        <v>1656795.2916831509</v>
      </c>
      <c r="AV36" s="7">
        <f t="shared" si="2"/>
        <v>249019.09449524025</v>
      </c>
    </row>
    <row r="37" spans="3:48" x14ac:dyDescent="0.3">
      <c r="C37" t="s">
        <v>58</v>
      </c>
      <c r="D37" s="48">
        <v>181120.69194026967</v>
      </c>
      <c r="E37" s="48">
        <v>34232.205615554405</v>
      </c>
      <c r="F37" s="75">
        <v>36659.97965864899</v>
      </c>
      <c r="G37" s="48"/>
      <c r="H37" s="48" t="s">
        <v>58</v>
      </c>
      <c r="I37" s="50">
        <v>58963.951004208764</v>
      </c>
      <c r="J37" s="50">
        <v>58963.951017718813</v>
      </c>
      <c r="K37" s="78">
        <v>40367.277088305869</v>
      </c>
      <c r="L37" s="48"/>
      <c r="M37" s="48"/>
      <c r="N37" s="48"/>
      <c r="O37" s="48"/>
      <c r="P37" s="75"/>
      <c r="Q37" s="48"/>
      <c r="R37" s="48"/>
      <c r="S37" s="48"/>
      <c r="T37" s="48"/>
      <c r="U37" s="75"/>
      <c r="Z37" s="78"/>
      <c r="AA37" s="48"/>
      <c r="AB37" s="48"/>
      <c r="AD37" s="82"/>
      <c r="AE37" s="59"/>
      <c r="AF37" s="59"/>
      <c r="AH37" s="48"/>
      <c r="AI37" s="59"/>
      <c r="AJ37" s="75"/>
      <c r="AK37" s="59"/>
      <c r="AL37" s="59"/>
      <c r="AM37" s="75"/>
      <c r="AN37" s="59"/>
      <c r="AO37" t="s">
        <v>58</v>
      </c>
      <c r="AQ37" s="7">
        <f t="shared" si="0"/>
        <v>333280.79957775166</v>
      </c>
      <c r="AR37" s="44">
        <v>109285.17784715709</v>
      </c>
      <c r="AT37" s="7">
        <f t="shared" si="1"/>
        <v>442565.97742490878</v>
      </c>
      <c r="AV37" s="7">
        <f t="shared" si="2"/>
        <v>77027.256746954867</v>
      </c>
    </row>
    <row r="38" spans="3:48" x14ac:dyDescent="0.3">
      <c r="C38" t="s">
        <v>59</v>
      </c>
      <c r="D38" s="48">
        <v>137760.66149528898</v>
      </c>
      <c r="E38" s="48">
        <v>26037.065337607717</v>
      </c>
      <c r="F38" s="75">
        <v>27883.633802839169</v>
      </c>
      <c r="G38" s="48"/>
      <c r="H38" s="48" t="s">
        <v>59</v>
      </c>
      <c r="I38" s="50">
        <v>33624.048790264176</v>
      </c>
      <c r="J38" s="50">
        <v>33624.048797968244</v>
      </c>
      <c r="K38" s="78">
        <v>23019.340991081594</v>
      </c>
      <c r="L38" s="48"/>
      <c r="M38" s="48"/>
      <c r="N38" s="48"/>
      <c r="O38" s="48"/>
      <c r="P38" s="75"/>
      <c r="Q38" s="48"/>
      <c r="R38" s="48"/>
      <c r="S38" s="48"/>
      <c r="T38" s="48"/>
      <c r="U38" s="75"/>
      <c r="Z38" s="78"/>
      <c r="AA38" s="48"/>
      <c r="AB38" s="48"/>
      <c r="AD38" s="82"/>
      <c r="AE38" s="59"/>
      <c r="AF38" s="59"/>
      <c r="AH38" s="48"/>
      <c r="AI38" s="59"/>
      <c r="AJ38" s="75"/>
      <c r="AK38" s="59"/>
      <c r="AL38" s="59"/>
      <c r="AM38" s="75"/>
      <c r="AN38" s="59"/>
      <c r="AO38" t="s">
        <v>59</v>
      </c>
      <c r="AQ38" s="7">
        <f t="shared" si="0"/>
        <v>231045.82442112913</v>
      </c>
      <c r="AR38" s="44">
        <v>83122.465084329466</v>
      </c>
      <c r="AT38" s="7">
        <f t="shared" si="1"/>
        <v>314168.28950545861</v>
      </c>
      <c r="AV38" s="7">
        <f t="shared" si="2"/>
        <v>50902.974793920759</v>
      </c>
    </row>
    <row r="39" spans="3:48" x14ac:dyDescent="0.3">
      <c r="C39" t="s">
        <v>60</v>
      </c>
      <c r="D39" s="48">
        <v>1334927.1221756956</v>
      </c>
      <c r="E39" s="48">
        <v>252304.13620089824</v>
      </c>
      <c r="F39" s="75">
        <v>270197.73732356785</v>
      </c>
      <c r="G39" s="48"/>
      <c r="H39" s="48" t="s">
        <v>60</v>
      </c>
      <c r="I39" s="50">
        <v>284702.53224770218</v>
      </c>
      <c r="J39" s="50">
        <v>284702.53231293435</v>
      </c>
      <c r="K39" s="78">
        <v>194910.03929104071</v>
      </c>
      <c r="L39" s="48"/>
      <c r="M39" s="48" t="s">
        <v>167</v>
      </c>
      <c r="N39" s="48">
        <v>20411.495905705611</v>
      </c>
      <c r="O39" s="48">
        <v>20411.495905705611</v>
      </c>
      <c r="P39" s="75">
        <v>21924.753024221205</v>
      </c>
      <c r="Q39" s="48"/>
      <c r="R39" s="48" t="s">
        <v>167</v>
      </c>
      <c r="S39" s="48">
        <v>26419.466213061671</v>
      </c>
      <c r="T39" s="48">
        <v>26419.466213061671</v>
      </c>
      <c r="U39" s="75">
        <v>27068.919582743452</v>
      </c>
      <c r="W39" t="s">
        <v>167</v>
      </c>
      <c r="X39" s="48">
        <v>50851.300598737515</v>
      </c>
      <c r="Y39" s="48">
        <v>50851.300598737515</v>
      </c>
      <c r="Z39" s="78">
        <v>34813.280090804132</v>
      </c>
      <c r="AA39" s="48"/>
      <c r="AB39" s="48" t="s">
        <v>167</v>
      </c>
      <c r="AC39" s="59">
        <v>278057.38649638556</v>
      </c>
      <c r="AD39" s="82">
        <v>1451.6259247233531</v>
      </c>
      <c r="AE39" s="59"/>
      <c r="AF39" s="59"/>
      <c r="AG39" s="59"/>
      <c r="AH39" s="59"/>
      <c r="AI39" s="59"/>
      <c r="AJ39" s="75"/>
      <c r="AK39" s="59"/>
      <c r="AL39" s="59"/>
      <c r="AM39" s="75"/>
      <c r="AN39" s="59"/>
      <c r="AO39" t="s">
        <v>60</v>
      </c>
      <c r="AQ39" s="7">
        <f t="shared" si="0"/>
        <v>2630058.2348686252</v>
      </c>
      <c r="AR39" s="44">
        <v>932022.03751631745</v>
      </c>
      <c r="AT39" s="7">
        <f t="shared" si="1"/>
        <v>3562080.2723849425</v>
      </c>
      <c r="AV39" s="7">
        <f t="shared" si="2"/>
        <v>550366.35523710074</v>
      </c>
    </row>
    <row r="40" spans="3:48" x14ac:dyDescent="0.3">
      <c r="C40" t="s">
        <v>61</v>
      </c>
      <c r="D40" s="48">
        <v>2171532.4657638208</v>
      </c>
      <c r="E40" s="48">
        <v>410424.36991900275</v>
      </c>
      <c r="F40" s="75">
        <v>439531.97820849181</v>
      </c>
      <c r="G40" s="48"/>
      <c r="H40" s="48" t="s">
        <v>61</v>
      </c>
      <c r="I40" s="50">
        <v>741002.72188418719</v>
      </c>
      <c r="J40" s="50">
        <v>741002.72205396858</v>
      </c>
      <c r="K40" s="78">
        <v>507297.45358062483</v>
      </c>
      <c r="L40" s="48"/>
      <c r="M40" s="48"/>
      <c r="N40" s="48"/>
      <c r="O40" s="48"/>
      <c r="P40" s="75"/>
      <c r="Q40" s="48"/>
      <c r="R40" s="48"/>
      <c r="S40" s="48"/>
      <c r="T40" s="48"/>
      <c r="U40" s="75"/>
      <c r="Z40" s="78"/>
      <c r="AA40" s="48"/>
      <c r="AB40" s="48"/>
      <c r="AD40" s="82"/>
      <c r="AE40" s="59"/>
      <c r="AF40" s="59"/>
      <c r="AH40" s="48"/>
      <c r="AI40" s="59"/>
      <c r="AJ40" s="75"/>
      <c r="AK40" s="59"/>
      <c r="AL40" s="59"/>
      <c r="AM40" s="75"/>
      <c r="AN40" s="59"/>
      <c r="AO40" t="s">
        <v>61</v>
      </c>
      <c r="AQ40" s="7">
        <f t="shared" si="0"/>
        <v>4063962.279620979</v>
      </c>
      <c r="AR40" s="44">
        <v>1310266.1500439572</v>
      </c>
      <c r="AT40" s="7">
        <f t="shared" si="1"/>
        <v>5374228.4296649359</v>
      </c>
      <c r="AV40" s="7">
        <f t="shared" si="2"/>
        <v>946829.4317891167</v>
      </c>
    </row>
    <row r="41" spans="3:48" x14ac:dyDescent="0.3">
      <c r="C41" t="s">
        <v>62</v>
      </c>
      <c r="D41" s="48">
        <v>947769.51849314931</v>
      </c>
      <c r="E41" s="48">
        <v>179130.50511043766</v>
      </c>
      <c r="F41" s="75">
        <v>191834.57669488556</v>
      </c>
      <c r="G41" s="48"/>
      <c r="H41" s="48" t="s">
        <v>62</v>
      </c>
      <c r="I41" s="50">
        <v>116111.11982203569</v>
      </c>
      <c r="J41" s="50">
        <v>116111.11984863953</v>
      </c>
      <c r="K41" s="78">
        <v>79490.76795337275</v>
      </c>
      <c r="L41" s="48"/>
      <c r="M41" s="48" t="s">
        <v>168</v>
      </c>
      <c r="N41" s="48">
        <v>8137.3321071445616</v>
      </c>
      <c r="O41" s="48">
        <v>8137.3321071445616</v>
      </c>
      <c r="P41" s="75">
        <v>8740.6135027731852</v>
      </c>
      <c r="Q41" s="48"/>
      <c r="R41" s="48" t="s">
        <v>168</v>
      </c>
      <c r="S41" s="48">
        <v>10532.494612953542</v>
      </c>
      <c r="T41" s="48">
        <v>10532.494612953542</v>
      </c>
      <c r="U41" s="75">
        <v>10791.408402595365</v>
      </c>
      <c r="W41" t="s">
        <v>168</v>
      </c>
      <c r="X41" s="48">
        <v>27657.825745902242</v>
      </c>
      <c r="Y41" s="48">
        <v>27657.825745902242</v>
      </c>
      <c r="Z41" s="78">
        <v>18934.808413113693</v>
      </c>
      <c r="AA41" s="48"/>
      <c r="AB41" s="48" t="s">
        <v>168</v>
      </c>
      <c r="AC41" s="59">
        <v>110851.51765546332</v>
      </c>
      <c r="AD41" s="82">
        <v>578.71124680836613</v>
      </c>
      <c r="AE41" s="59"/>
      <c r="AF41" s="59"/>
      <c r="AG41" s="59"/>
      <c r="AH41" s="59"/>
      <c r="AI41" s="59"/>
      <c r="AJ41" s="75"/>
      <c r="AK41" s="59"/>
      <c r="AL41" s="59"/>
      <c r="AM41" s="75"/>
      <c r="AN41" s="59"/>
      <c r="AO41" t="s">
        <v>62</v>
      </c>
      <c r="AQ41" s="7">
        <f t="shared" si="0"/>
        <v>1562629.0858617267</v>
      </c>
      <c r="AR41" s="44">
        <v>622318.92099990777</v>
      </c>
      <c r="AT41" s="7">
        <f t="shared" si="1"/>
        <v>2184948.0068616346</v>
      </c>
      <c r="AV41" s="7">
        <f t="shared" si="2"/>
        <v>310370.88621354889</v>
      </c>
    </row>
    <row r="42" spans="3:48" x14ac:dyDescent="0.3">
      <c r="C42" t="s">
        <v>63</v>
      </c>
      <c r="D42" s="48">
        <v>577861.47827907419</v>
      </c>
      <c r="E42" s="48">
        <v>109217.07911916032</v>
      </c>
      <c r="F42" s="75">
        <v>116962.83738919199</v>
      </c>
      <c r="G42" s="48"/>
      <c r="H42" s="48" t="s">
        <v>63</v>
      </c>
      <c r="I42" s="50">
        <v>192531.3875587743</v>
      </c>
      <c r="J42" s="50">
        <v>192531.38760288784</v>
      </c>
      <c r="K42" s="78">
        <v>131808.80414927242</v>
      </c>
      <c r="L42" s="48"/>
      <c r="M42" s="48"/>
      <c r="N42" s="48"/>
      <c r="O42" s="48"/>
      <c r="P42" s="75"/>
      <c r="Q42" s="48"/>
      <c r="R42" s="48"/>
      <c r="S42" s="48"/>
      <c r="T42" s="48"/>
      <c r="U42" s="75"/>
      <c r="Z42" s="78"/>
      <c r="AA42" s="48"/>
      <c r="AB42" s="48"/>
      <c r="AD42" s="82"/>
      <c r="AE42" s="59"/>
      <c r="AF42" s="59"/>
      <c r="AH42" s="48"/>
      <c r="AI42" s="59"/>
      <c r="AJ42" s="75"/>
      <c r="AK42" s="59"/>
      <c r="AL42" s="59"/>
      <c r="AM42" s="75"/>
      <c r="AN42" s="59"/>
      <c r="AO42" t="s">
        <v>63</v>
      </c>
      <c r="AQ42" s="7">
        <f t="shared" si="0"/>
        <v>1072141.3325598966</v>
      </c>
      <c r="AR42" s="44">
        <v>348671.89247253997</v>
      </c>
      <c r="AT42" s="7">
        <f t="shared" si="1"/>
        <v>1420813.2250324367</v>
      </c>
      <c r="AV42" s="7">
        <f t="shared" si="2"/>
        <v>248771.64153846441</v>
      </c>
    </row>
    <row r="43" spans="3:48" x14ac:dyDescent="0.3">
      <c r="C43" t="s">
        <v>64</v>
      </c>
      <c r="D43" s="48">
        <v>2019161.0462710033</v>
      </c>
      <c r="E43" s="48">
        <v>381625.83946875378</v>
      </c>
      <c r="F43" s="75">
        <v>408691.03408815735</v>
      </c>
      <c r="G43" s="48"/>
      <c r="H43" s="48" t="s">
        <v>64</v>
      </c>
      <c r="I43" s="50">
        <v>501472.61846798792</v>
      </c>
      <c r="J43" s="50">
        <v>501472.61858288728</v>
      </c>
      <c r="K43" s="78">
        <v>343312.88519744267</v>
      </c>
      <c r="L43" s="48"/>
      <c r="M43" s="48" t="s">
        <v>169</v>
      </c>
      <c r="N43" s="48">
        <v>35411.81250209998</v>
      </c>
      <c r="O43" s="48">
        <v>35411.81250209998</v>
      </c>
      <c r="P43" s="75">
        <v>38037.155475290056</v>
      </c>
      <c r="Q43" s="48"/>
      <c r="R43" s="48" t="s">
        <v>169</v>
      </c>
      <c r="S43" s="48">
        <v>45835.013183966999</v>
      </c>
      <c r="T43" s="48">
        <v>45835.013183966999</v>
      </c>
      <c r="U43" s="75">
        <v>46961.746915893018</v>
      </c>
      <c r="W43" t="s">
        <v>169</v>
      </c>
      <c r="X43" s="48">
        <v>88221.692844523888</v>
      </c>
      <c r="Y43" s="48">
        <v>88221.692844523888</v>
      </c>
      <c r="Z43" s="78">
        <v>60397.403152310952</v>
      </c>
      <c r="AA43" s="48"/>
      <c r="AB43" s="48" t="s">
        <v>169</v>
      </c>
      <c r="AC43" s="59">
        <v>482400.51003226871</v>
      </c>
      <c r="AD43" s="82">
        <v>2518.4192920971436</v>
      </c>
      <c r="AE43" s="59"/>
      <c r="AF43" s="59"/>
      <c r="AG43" s="59"/>
      <c r="AH43" s="59"/>
      <c r="AI43" s="59"/>
      <c r="AJ43" s="75"/>
      <c r="AK43" s="59"/>
      <c r="AL43" s="59"/>
      <c r="AM43" s="75"/>
      <c r="AN43" s="59"/>
      <c r="AO43" t="s">
        <v>64</v>
      </c>
      <c r="AQ43" s="7">
        <f t="shared" si="0"/>
        <v>4225069.6698840838</v>
      </c>
      <c r="AR43" s="44">
        <v>1679803.3496341303</v>
      </c>
      <c r="AT43" s="7">
        <f t="shared" si="1"/>
        <v>5904873.0195182143</v>
      </c>
      <c r="AV43" s="7">
        <f t="shared" si="2"/>
        <v>899918.64412119123</v>
      </c>
    </row>
    <row r="44" spans="3:48" x14ac:dyDescent="0.3">
      <c r="C44" t="s">
        <v>65</v>
      </c>
      <c r="D44" s="48">
        <v>3145176.3294596775</v>
      </c>
      <c r="E44" s="48">
        <v>594445.18267821532</v>
      </c>
      <c r="F44" s="75">
        <v>636603.68688786053</v>
      </c>
      <c r="G44" s="48"/>
      <c r="H44" s="48" t="s">
        <v>65</v>
      </c>
      <c r="I44" s="50">
        <v>430999.66461492074</v>
      </c>
      <c r="J44" s="50">
        <v>430999.66471367306</v>
      </c>
      <c r="K44" s="78">
        <v>295066.43618972442</v>
      </c>
      <c r="L44" s="48"/>
      <c r="M44" s="48" t="s">
        <v>173</v>
      </c>
      <c r="N44" s="48">
        <v>30782.69443585019</v>
      </c>
      <c r="O44" s="48">
        <v>30782.69443585019</v>
      </c>
      <c r="P44" s="75">
        <v>33064.846204507165</v>
      </c>
      <c r="Q44" s="48"/>
      <c r="R44" s="48" t="s">
        <v>173</v>
      </c>
      <c r="S44" s="48">
        <v>39843.34902997555</v>
      </c>
      <c r="T44" s="48">
        <v>39843.34902997555</v>
      </c>
      <c r="U44" s="75">
        <v>40822.793394151682</v>
      </c>
      <c r="W44" t="s">
        <v>173</v>
      </c>
      <c r="X44" s="48">
        <v>76689.139062999529</v>
      </c>
      <c r="Y44" s="48">
        <v>76689.139062999529</v>
      </c>
      <c r="Z44" s="78">
        <v>52502.108042229978</v>
      </c>
      <c r="AA44" s="48"/>
      <c r="AB44" s="48" t="s">
        <v>173</v>
      </c>
      <c r="AC44" s="59">
        <v>419339.94469051849</v>
      </c>
      <c r="AD44" s="82">
        <v>2189.2054106346363</v>
      </c>
      <c r="AE44" s="59"/>
      <c r="AF44" s="59"/>
      <c r="AG44" s="59"/>
      <c r="AH44" s="59"/>
      <c r="AI44" s="59"/>
      <c r="AJ44" s="75"/>
      <c r="AK44" s="59"/>
      <c r="AL44" s="59"/>
      <c r="AM44" s="75"/>
      <c r="AN44" s="59"/>
      <c r="AO44" t="s">
        <v>65</v>
      </c>
      <c r="AQ44" s="7">
        <f t="shared" si="0"/>
        <v>5315591.1512146555</v>
      </c>
      <c r="AR44" s="44">
        <v>2119406.6231362368</v>
      </c>
      <c r="AT44" s="7">
        <f t="shared" si="1"/>
        <v>7434997.7743508928</v>
      </c>
      <c r="AV44" s="7">
        <f t="shared" si="2"/>
        <v>1060249.0761291084</v>
      </c>
    </row>
    <row r="45" spans="3:48" x14ac:dyDescent="0.3">
      <c r="C45" t="s">
        <v>66</v>
      </c>
      <c r="D45" s="48">
        <v>615235.53246076161</v>
      </c>
      <c r="E45" s="48">
        <v>116280.85683405728</v>
      </c>
      <c r="F45" s="75">
        <v>124527.58358900085</v>
      </c>
      <c r="G45" s="48"/>
      <c r="H45" s="48" t="s">
        <v>66</v>
      </c>
      <c r="I45" s="50">
        <v>153841.25929362923</v>
      </c>
      <c r="J45" s="50">
        <v>153841.25932887793</v>
      </c>
      <c r="K45" s="78">
        <v>105321.17735930839</v>
      </c>
      <c r="L45" s="48"/>
      <c r="M45" s="48" t="s">
        <v>174</v>
      </c>
      <c r="N45" s="48">
        <v>11763.206680837357</v>
      </c>
      <c r="O45" s="48">
        <v>11763.206680837357</v>
      </c>
      <c r="P45" s="75">
        <v>12635.301324394151</v>
      </c>
      <c r="Q45" s="48"/>
      <c r="R45" s="48" t="s">
        <v>174</v>
      </c>
      <c r="S45" s="48">
        <v>13973.329788125235</v>
      </c>
      <c r="T45" s="48">
        <v>13973.329788125235</v>
      </c>
      <c r="U45" s="75">
        <v>14316.827497101887</v>
      </c>
      <c r="W45" t="s">
        <v>174</v>
      </c>
      <c r="X45" s="48">
        <v>55315.65149180447</v>
      </c>
      <c r="Y45" s="48">
        <v>55315.65149180447</v>
      </c>
      <c r="Z45" s="78">
        <v>37869.616826227379</v>
      </c>
      <c r="AA45" s="48"/>
      <c r="AB45" s="48" t="s">
        <v>174</v>
      </c>
      <c r="AC45" s="59">
        <v>147065.33168400193</v>
      </c>
      <c r="AD45" s="82">
        <v>767.76902347570251</v>
      </c>
      <c r="AE45" s="59"/>
      <c r="AF45" s="59"/>
      <c r="AG45" s="59"/>
      <c r="AH45" s="59"/>
      <c r="AI45" s="59"/>
      <c r="AJ45" s="75"/>
      <c r="AK45" s="59"/>
      <c r="AL45" s="59"/>
      <c r="AM45" s="75"/>
      <c r="AN45" s="59"/>
      <c r="AO45" t="s">
        <v>66</v>
      </c>
      <c r="AQ45" s="7">
        <f t="shared" si="0"/>
        <v>1348368.6155228619</v>
      </c>
      <c r="AR45" s="44">
        <v>456890.69646670541</v>
      </c>
      <c r="AT45" s="7">
        <f t="shared" si="1"/>
        <v>1805259.3119895672</v>
      </c>
      <c r="AV45" s="7">
        <f t="shared" si="2"/>
        <v>295438.27561950835</v>
      </c>
    </row>
    <row r="46" spans="3:48" x14ac:dyDescent="0.3">
      <c r="C46" t="s">
        <v>67</v>
      </c>
      <c r="D46" s="48">
        <v>172495.91020603411</v>
      </c>
      <c r="E46" s="48">
        <v>32602.103065962801</v>
      </c>
      <c r="F46" s="75">
        <v>34914.268997154642</v>
      </c>
      <c r="G46" s="48"/>
      <c r="H46" s="48" t="s">
        <v>67</v>
      </c>
      <c r="I46" s="50">
        <v>55162.015188163074</v>
      </c>
      <c r="J46" s="50">
        <v>55162.015200802009</v>
      </c>
      <c r="K46" s="78">
        <v>37764.435963441014</v>
      </c>
      <c r="L46" s="48"/>
      <c r="M46" s="48"/>
      <c r="N46" s="48"/>
      <c r="O46" s="48"/>
      <c r="P46" s="75"/>
      <c r="Q46" s="48"/>
      <c r="R46" s="48"/>
      <c r="S46" s="48"/>
      <c r="T46" s="48"/>
      <c r="U46" s="75"/>
      <c r="Z46" s="78"/>
      <c r="AA46" s="48"/>
      <c r="AB46" s="48"/>
      <c r="AD46" s="82"/>
      <c r="AE46" s="59"/>
      <c r="AF46" s="59"/>
      <c r="AH46" s="48"/>
      <c r="AI46" s="59"/>
      <c r="AJ46" s="75"/>
      <c r="AK46" s="59"/>
      <c r="AL46" s="59"/>
      <c r="AM46" s="75"/>
      <c r="AN46" s="59"/>
      <c r="AO46" t="s">
        <v>67</v>
      </c>
      <c r="AQ46" s="7">
        <f t="shared" si="0"/>
        <v>315422.04366096202</v>
      </c>
      <c r="AR46" s="44">
        <v>104081.12967562248</v>
      </c>
      <c r="AT46" s="7">
        <f t="shared" si="1"/>
        <v>419503.17333658447</v>
      </c>
      <c r="AV46" s="7">
        <f t="shared" si="2"/>
        <v>72678.704960595656</v>
      </c>
    </row>
    <row r="47" spans="3:48" x14ac:dyDescent="0.3">
      <c r="C47" t="s">
        <v>68</v>
      </c>
      <c r="D47" s="48">
        <v>892187.49992096808</v>
      </c>
      <c r="E47" s="48">
        <v>168625.38243280377</v>
      </c>
      <c r="F47" s="75">
        <v>180584.42273172166</v>
      </c>
      <c r="G47" s="48"/>
      <c r="H47" s="48" t="s">
        <v>68</v>
      </c>
      <c r="I47" s="50">
        <v>148579.65169106598</v>
      </c>
      <c r="J47" s="50">
        <v>148579.65172510914</v>
      </c>
      <c r="K47" s="78">
        <v>101719.03115971864</v>
      </c>
      <c r="L47" s="48"/>
      <c r="M47" s="48" t="s">
        <v>176</v>
      </c>
      <c r="N47" s="48">
        <v>11763.206680837357</v>
      </c>
      <c r="O47" s="48">
        <v>11763.206680837357</v>
      </c>
      <c r="P47" s="75">
        <v>12635.301324394151</v>
      </c>
      <c r="Q47" s="48"/>
      <c r="R47" s="48" t="s">
        <v>176</v>
      </c>
      <c r="S47" s="48">
        <v>13540.625001888407</v>
      </c>
      <c r="T47" s="48">
        <v>13540.625001888407</v>
      </c>
      <c r="U47" s="75">
        <v>13873.485797188128</v>
      </c>
      <c r="W47" t="s">
        <v>176</v>
      </c>
      <c r="X47" s="48">
        <v>55315.65149180447</v>
      </c>
      <c r="Y47" s="48">
        <v>55315.65149180447</v>
      </c>
      <c r="Z47" s="78">
        <v>37869.616826227379</v>
      </c>
      <c r="AA47" s="48"/>
      <c r="AB47" s="48" t="s">
        <v>176</v>
      </c>
      <c r="AC47" s="59">
        <v>142511.23657037676</v>
      </c>
      <c r="AD47" s="82">
        <v>743.9939221777546</v>
      </c>
      <c r="AE47" s="59"/>
      <c r="AF47" s="59"/>
      <c r="AG47" s="59"/>
      <c r="AH47" s="59"/>
      <c r="AI47" s="59"/>
      <c r="AJ47" s="75"/>
      <c r="AK47" s="59"/>
      <c r="AL47" s="59"/>
      <c r="AM47" s="75"/>
      <c r="AN47" s="59"/>
      <c r="AO47" t="s">
        <v>68</v>
      </c>
      <c r="AQ47" s="7">
        <f t="shared" si="0"/>
        <v>1661722.3886893846</v>
      </c>
      <c r="AR47" s="44">
        <v>623664.25046414102</v>
      </c>
      <c r="AT47" s="7">
        <f t="shared" si="1"/>
        <v>2285386.6391535257</v>
      </c>
      <c r="AV47" s="7">
        <f t="shared" si="2"/>
        <v>347425.85176142771</v>
      </c>
    </row>
    <row r="48" spans="3:48" x14ac:dyDescent="0.3">
      <c r="C48" t="s">
        <v>69</v>
      </c>
      <c r="D48" s="48">
        <v>165787.7925551825</v>
      </c>
      <c r="E48" s="48">
        <v>31334.25420641333</v>
      </c>
      <c r="F48" s="75">
        <v>33556.503332759188</v>
      </c>
      <c r="G48" s="48"/>
      <c r="H48" s="48" t="s">
        <v>69</v>
      </c>
      <c r="I48" s="50">
        <v>62647.755243113039</v>
      </c>
      <c r="J48" s="50">
        <v>62647.755257467135</v>
      </c>
      <c r="K48" s="78">
        <v>42889.244221076704</v>
      </c>
      <c r="L48" s="48"/>
      <c r="M48" s="48"/>
      <c r="N48" s="48"/>
      <c r="O48" s="48"/>
      <c r="P48" s="75"/>
      <c r="Q48" s="48"/>
      <c r="R48" s="48"/>
      <c r="S48" s="48"/>
      <c r="T48" s="48"/>
      <c r="U48" s="75"/>
      <c r="Z48" s="78"/>
      <c r="AA48" s="48"/>
      <c r="AB48" s="48"/>
      <c r="AD48" s="82"/>
      <c r="AE48" s="59"/>
      <c r="AF48" s="59"/>
      <c r="AH48" s="48"/>
      <c r="AI48" s="59"/>
      <c r="AJ48" s="75"/>
      <c r="AK48" s="59"/>
      <c r="AL48" s="59"/>
      <c r="AM48" s="75"/>
      <c r="AN48" s="59"/>
      <c r="AO48" t="s">
        <v>69</v>
      </c>
      <c r="AQ48" s="7">
        <f t="shared" si="0"/>
        <v>322417.55726217601</v>
      </c>
      <c r="AR48" s="44">
        <v>100033.56436080614</v>
      </c>
      <c r="AT48" s="7">
        <f t="shared" si="1"/>
        <v>422451.12162298214</v>
      </c>
      <c r="AV48" s="7">
        <f t="shared" si="2"/>
        <v>76445.747553835885</v>
      </c>
    </row>
    <row r="49" spans="3:48" x14ac:dyDescent="0.3">
      <c r="C49" t="s">
        <v>70</v>
      </c>
      <c r="D49" s="48">
        <v>792523.03399492486</v>
      </c>
      <c r="E49" s="48">
        <v>149788.58110659276</v>
      </c>
      <c r="F49" s="75">
        <v>160411.70113708582</v>
      </c>
      <c r="G49" s="48"/>
      <c r="H49" s="48" t="s">
        <v>70</v>
      </c>
      <c r="I49" s="50">
        <v>231199.7904763991</v>
      </c>
      <c r="J49" s="50">
        <v>231199.79052937252</v>
      </c>
      <c r="K49" s="78">
        <v>158281.55756138006</v>
      </c>
      <c r="L49" s="48"/>
      <c r="M49" s="48" t="s">
        <v>178</v>
      </c>
      <c r="N49" s="48">
        <v>15914.171042167103</v>
      </c>
      <c r="O49" s="48">
        <v>15914.171042167103</v>
      </c>
      <c r="P49" s="75">
        <v>17094.007773687717</v>
      </c>
      <c r="Q49" s="48"/>
      <c r="R49" s="48" t="s">
        <v>178</v>
      </c>
      <c r="S49" s="48">
        <v>20598.3875997982</v>
      </c>
      <c r="T49" s="48">
        <v>20598.3875997982</v>
      </c>
      <c r="U49" s="75">
        <v>21104.745000391194</v>
      </c>
      <c r="W49" t="s">
        <v>178</v>
      </c>
      <c r="X49" s="48">
        <v>55315.65149180447</v>
      </c>
      <c r="Y49" s="48">
        <v>55315.65149180447</v>
      </c>
      <c r="Z49" s="78">
        <v>37869.616826227379</v>
      </c>
      <c r="AA49" s="48"/>
      <c r="AB49" s="48" t="s">
        <v>178</v>
      </c>
      <c r="AC49" s="59">
        <v>216792.18557442981</v>
      </c>
      <c r="AD49" s="82">
        <v>1131.7849197340752</v>
      </c>
      <c r="AE49" s="59"/>
      <c r="AF49" s="59"/>
      <c r="AG49" s="59"/>
      <c r="AH49" s="59"/>
      <c r="AI49" s="59"/>
      <c r="AJ49" s="75"/>
      <c r="AK49" s="59"/>
      <c r="AL49" s="59"/>
      <c r="AM49" s="75"/>
      <c r="AN49" s="59"/>
      <c r="AO49" t="s">
        <v>70</v>
      </c>
      <c r="AQ49" s="7">
        <f t="shared" si="0"/>
        <v>1805159.8019492587</v>
      </c>
      <c r="AR49" s="44">
        <v>576861.52007699385</v>
      </c>
      <c r="AT49" s="7">
        <f t="shared" si="1"/>
        <v>2382021.3220262527</v>
      </c>
      <c r="AV49" s="7">
        <f t="shared" si="2"/>
        <v>395893.41321850626</v>
      </c>
    </row>
    <row r="50" spans="3:48" x14ac:dyDescent="0.3">
      <c r="C50" t="s">
        <v>71</v>
      </c>
      <c r="D50" s="48">
        <v>4836594.9810264222</v>
      </c>
      <c r="E50" s="48">
        <v>914126.99507716135</v>
      </c>
      <c r="F50" s="75">
        <v>978957.57642106351</v>
      </c>
      <c r="G50" s="48"/>
      <c r="H50" s="48" t="s">
        <v>71</v>
      </c>
      <c r="I50" s="50">
        <v>1128244.8209248618</v>
      </c>
      <c r="J50" s="50">
        <v>1128244.8211833697</v>
      </c>
      <c r="K50" s="78">
        <v>772407.04759538674</v>
      </c>
      <c r="L50" s="48"/>
      <c r="M50" s="48"/>
      <c r="N50" s="48"/>
      <c r="O50" s="48"/>
      <c r="P50" s="75"/>
      <c r="Q50" s="48"/>
      <c r="R50" s="48"/>
      <c r="S50" s="48"/>
      <c r="T50" s="48"/>
      <c r="U50" s="75"/>
      <c r="Z50" s="78"/>
      <c r="AA50" s="48"/>
      <c r="AB50" s="48"/>
      <c r="AD50" s="82"/>
      <c r="AE50" s="59"/>
      <c r="AF50" s="59"/>
      <c r="AH50" s="48"/>
      <c r="AI50" s="59"/>
      <c r="AJ50" s="75"/>
      <c r="AK50" s="59"/>
      <c r="AL50" s="59"/>
      <c r="AM50" s="75"/>
      <c r="AN50" s="59"/>
      <c r="AO50" t="s">
        <v>71</v>
      </c>
      <c r="AQ50" s="7">
        <f t="shared" si="0"/>
        <v>8007211.6182118142</v>
      </c>
      <c r="AR50" s="44">
        <v>2918320.0274568968</v>
      </c>
      <c r="AT50" s="7">
        <f t="shared" si="1"/>
        <v>10925531.645668712</v>
      </c>
      <c r="AV50" s="7">
        <f t="shared" si="2"/>
        <v>1751364.6240164503</v>
      </c>
    </row>
    <row r="51" spans="3:48" x14ac:dyDescent="0.3">
      <c r="C51" t="s">
        <v>72</v>
      </c>
      <c r="D51" s="48">
        <v>137760.66149528898</v>
      </c>
      <c r="E51" s="48">
        <v>26037.065337607717</v>
      </c>
      <c r="F51" s="75">
        <v>27883.633802839169</v>
      </c>
      <c r="G51" s="48"/>
      <c r="H51" s="48" t="s">
        <v>72</v>
      </c>
      <c r="I51" s="50">
        <v>24753.317830897544</v>
      </c>
      <c r="J51" s="50">
        <v>24753.31783656912</v>
      </c>
      <c r="K51" s="78">
        <v>16946.354895102271</v>
      </c>
      <c r="L51" s="48"/>
      <c r="M51" s="48"/>
      <c r="N51" s="48"/>
      <c r="O51" s="48"/>
      <c r="P51" s="75"/>
      <c r="Q51" s="48"/>
      <c r="R51" s="48"/>
      <c r="S51" s="48"/>
      <c r="T51" s="48"/>
      <c r="U51" s="75"/>
      <c r="Z51" s="78"/>
      <c r="AA51" s="48"/>
      <c r="AB51" s="48"/>
      <c r="AD51" s="82"/>
      <c r="AE51" s="59"/>
      <c r="AF51" s="59"/>
      <c r="AH51" s="48"/>
      <c r="AI51" s="59"/>
      <c r="AJ51" s="75"/>
      <c r="AK51" s="59"/>
      <c r="AL51" s="59"/>
      <c r="AM51" s="75"/>
      <c r="AN51" s="59"/>
      <c r="AO51" t="s">
        <v>72</v>
      </c>
      <c r="AQ51" s="7">
        <f t="shared" si="0"/>
        <v>213304.36250036338</v>
      </c>
      <c r="AR51" s="44">
        <v>83122.465084329466</v>
      </c>
      <c r="AT51" s="7">
        <f t="shared" si="1"/>
        <v>296426.82758469286</v>
      </c>
      <c r="AV51" s="7">
        <f t="shared" si="2"/>
        <v>44829.988697941444</v>
      </c>
    </row>
    <row r="52" spans="3:48" x14ac:dyDescent="0.3">
      <c r="C52" t="s">
        <v>73</v>
      </c>
      <c r="D52" s="48">
        <v>1615712.142281347</v>
      </c>
      <c r="E52" s="48">
        <v>305373.11710559833</v>
      </c>
      <c r="F52" s="75">
        <v>327030.41069321887</v>
      </c>
      <c r="G52" s="48"/>
      <c r="H52" s="48" t="s">
        <v>73</v>
      </c>
      <c r="I52" s="50">
        <v>414526.41985768278</v>
      </c>
      <c r="J52" s="50">
        <v>414526.41995266068</v>
      </c>
      <c r="K52" s="78">
        <v>283788.69743013143</v>
      </c>
      <c r="L52" s="48"/>
      <c r="M52" s="48" t="s">
        <v>184</v>
      </c>
      <c r="N52" s="48">
        <v>29587.384922307396</v>
      </c>
      <c r="O52" s="48">
        <v>29587.384922307396</v>
      </c>
      <c r="P52" s="75">
        <v>31780.919441226572</v>
      </c>
      <c r="Q52" s="48"/>
      <c r="R52" s="48" t="s">
        <v>184</v>
      </c>
      <c r="S52" s="48">
        <v>38296.20915090535</v>
      </c>
      <c r="T52" s="48">
        <v>38296.20915090535</v>
      </c>
      <c r="U52" s="75">
        <v>39237.621133967958</v>
      </c>
      <c r="W52" t="s">
        <v>184</v>
      </c>
      <c r="X52" s="48">
        <v>73711.256223716526</v>
      </c>
      <c r="Y52" s="48">
        <v>73711.256223716526</v>
      </c>
      <c r="Z52" s="78">
        <v>50463.42135888226</v>
      </c>
      <c r="AA52" s="48"/>
      <c r="AB52" s="48" t="s">
        <v>184</v>
      </c>
      <c r="AC52" s="59">
        <v>403056.73639822117</v>
      </c>
      <c r="AD52" s="82">
        <v>2104.1973207845353</v>
      </c>
      <c r="AE52" s="59"/>
      <c r="AF52" s="59"/>
      <c r="AG52" s="59"/>
      <c r="AH52" s="59"/>
      <c r="AI52" s="59"/>
      <c r="AJ52" s="75"/>
      <c r="AK52" s="59"/>
      <c r="AL52" s="59"/>
      <c r="AM52" s="75"/>
      <c r="AN52" s="59"/>
      <c r="AO52" t="s">
        <v>73</v>
      </c>
      <c r="AQ52" s="7">
        <f t="shared" si="0"/>
        <v>3436384.536189368</v>
      </c>
      <c r="AR52" s="44">
        <v>1088269.2812308436</v>
      </c>
      <c r="AT52" s="7">
        <f t="shared" si="1"/>
        <v>4524653.8174202116</v>
      </c>
      <c r="AV52" s="7">
        <f t="shared" si="2"/>
        <v>734405.2673782116</v>
      </c>
    </row>
    <row r="53" spans="3:48" x14ac:dyDescent="0.3">
      <c r="C53" t="s">
        <v>74</v>
      </c>
      <c r="D53" s="48">
        <v>553903.65939908999</v>
      </c>
      <c r="E53" s="48">
        <v>104688.9991233623</v>
      </c>
      <c r="F53" s="75">
        <v>112113.62251817403</v>
      </c>
      <c r="G53" s="48"/>
      <c r="H53" s="48" t="s">
        <v>74</v>
      </c>
      <c r="I53" s="50">
        <v>123349.73404894272</v>
      </c>
      <c r="J53" s="50">
        <v>123349.73407720508</v>
      </c>
      <c r="K53" s="78">
        <v>84446.391537892239</v>
      </c>
      <c r="L53" s="48"/>
      <c r="M53" s="48" t="s">
        <v>185</v>
      </c>
      <c r="N53" s="48">
        <v>8664.5994611766873</v>
      </c>
      <c r="O53" s="48">
        <v>8664.5994611766873</v>
      </c>
      <c r="P53" s="75">
        <v>9306.9711361525951</v>
      </c>
      <c r="Q53" s="48"/>
      <c r="R53" s="48" t="s">
        <v>185</v>
      </c>
      <c r="S53" s="48">
        <v>11214.95914712854</v>
      </c>
      <c r="T53" s="48">
        <v>11214.95914712854</v>
      </c>
      <c r="U53" s="75">
        <v>11490.649539591699</v>
      </c>
      <c r="W53" t="s">
        <v>185</v>
      </c>
      <c r="X53" s="48">
        <v>27657.825745902242</v>
      </c>
      <c r="Y53" s="48">
        <v>27657.825745902242</v>
      </c>
      <c r="Z53" s="78">
        <v>18934.808413113693</v>
      </c>
      <c r="AA53" s="48"/>
      <c r="AB53" s="48" t="s">
        <v>185</v>
      </c>
      <c r="AC53" s="59">
        <v>118034.26325746771</v>
      </c>
      <c r="AD53" s="82">
        <v>616.20947642902672</v>
      </c>
      <c r="AE53" s="59"/>
      <c r="AF53" s="59"/>
      <c r="AG53" s="59"/>
      <c r="AH53" s="59"/>
      <c r="AI53" s="59"/>
      <c r="AJ53" s="75"/>
      <c r="AK53" s="59"/>
      <c r="AL53" s="59"/>
      <c r="AM53" s="75"/>
      <c r="AN53" s="59"/>
      <c r="AO53" t="s">
        <v>74</v>
      </c>
      <c r="AQ53" s="7">
        <f t="shared" si="0"/>
        <v>1118401.1586144825</v>
      </c>
      <c r="AR53" s="44">
        <v>396608.23008293327</v>
      </c>
      <c r="AT53" s="7">
        <f t="shared" si="1"/>
        <v>1515009.3886974158</v>
      </c>
      <c r="AV53" s="7">
        <f t="shared" si="2"/>
        <v>236908.65262135331</v>
      </c>
    </row>
    <row r="54" spans="3:48" x14ac:dyDescent="0.3">
      <c r="C54" t="s">
        <v>75</v>
      </c>
      <c r="D54" s="48">
        <v>221369.81112736376</v>
      </c>
      <c r="E54" s="48">
        <v>41839.37688404724</v>
      </c>
      <c r="F54" s="75">
        <v>44806.657295923105</v>
      </c>
      <c r="G54" s="48"/>
      <c r="H54" s="48" t="s">
        <v>75</v>
      </c>
      <c r="I54" s="50">
        <v>62829.705028595228</v>
      </c>
      <c r="J54" s="50">
        <v>62829.705042991016</v>
      </c>
      <c r="K54" s="78">
        <v>43013.808760623811</v>
      </c>
      <c r="L54" s="48"/>
      <c r="M54" s="48"/>
      <c r="N54" s="48"/>
      <c r="O54" s="48"/>
      <c r="P54" s="75"/>
      <c r="Q54" s="48"/>
      <c r="R54" s="48"/>
      <c r="S54" s="48"/>
      <c r="T54" s="48"/>
      <c r="U54" s="75"/>
      <c r="Z54" s="78"/>
      <c r="AA54" s="48"/>
      <c r="AB54" s="48"/>
      <c r="AD54" s="82"/>
      <c r="AE54" s="59"/>
      <c r="AF54" s="59"/>
      <c r="AH54" s="48"/>
      <c r="AI54" s="59"/>
      <c r="AJ54" s="75"/>
      <c r="AK54" s="59"/>
      <c r="AL54" s="59"/>
      <c r="AM54" s="75"/>
      <c r="AN54" s="59"/>
      <c r="AO54" t="s">
        <v>75</v>
      </c>
      <c r="AQ54" s="7">
        <f t="shared" si="0"/>
        <v>388868.59808299725</v>
      </c>
      <c r="AR54" s="44">
        <v>133570.8191034504</v>
      </c>
      <c r="AT54" s="7">
        <f t="shared" si="1"/>
        <v>522439.41718644765</v>
      </c>
      <c r="AV54" s="7">
        <f t="shared" si="2"/>
        <v>87820.466056546924</v>
      </c>
    </row>
    <row r="55" spans="3:48" x14ac:dyDescent="0.3">
      <c r="C55" t="s">
        <v>76</v>
      </c>
      <c r="D55" s="48">
        <v>22181063.697850898</v>
      </c>
      <c r="E55" s="48">
        <v>4192269.3930903669</v>
      </c>
      <c r="F55" s="75">
        <v>4489588.3251074161</v>
      </c>
      <c r="G55" s="48"/>
      <c r="H55" s="48" t="s">
        <v>76</v>
      </c>
      <c r="I55" s="50">
        <v>0</v>
      </c>
      <c r="J55" s="50">
        <v>0</v>
      </c>
      <c r="K55" s="78">
        <v>0</v>
      </c>
      <c r="L55" s="48"/>
      <c r="M55" s="48" t="s">
        <v>186</v>
      </c>
      <c r="N55" s="48">
        <v>151628.07971932294</v>
      </c>
      <c r="O55" s="48">
        <v>151628.07971932294</v>
      </c>
      <c r="P55" s="75">
        <v>162869.40529693419</v>
      </c>
      <c r="Q55" s="48"/>
      <c r="R55" s="48" t="s">
        <v>186</v>
      </c>
      <c r="S55" s="48">
        <v>196258.664607541</v>
      </c>
      <c r="T55" s="48">
        <v>196258.664607541</v>
      </c>
      <c r="U55" s="75">
        <v>201083.16976713421</v>
      </c>
      <c r="Z55" s="75"/>
      <c r="AA55" s="48"/>
      <c r="AB55" s="48" t="s">
        <v>222</v>
      </c>
      <c r="AC55" s="59">
        <v>2065566.7649736153</v>
      </c>
      <c r="AD55" s="82">
        <v>10783.494382450528</v>
      </c>
      <c r="AE55" s="59"/>
      <c r="AF55" s="59"/>
      <c r="AG55" t="s">
        <v>76</v>
      </c>
      <c r="AH55" s="48">
        <v>330126.70305019268</v>
      </c>
      <c r="AI55" s="48">
        <v>330126.70305019268</v>
      </c>
      <c r="AJ55" s="75">
        <v>354601.46892284707</v>
      </c>
      <c r="AK55" s="48">
        <v>353337.79871392192</v>
      </c>
      <c r="AL55" s="48">
        <v>353337.79871392192</v>
      </c>
      <c r="AM55" s="75">
        <v>362023.68290855596</v>
      </c>
      <c r="AN55" s="59"/>
      <c r="AO55" t="s">
        <v>76</v>
      </c>
      <c r="AQ55" s="7">
        <f>+D55+E55+I55+J55+N55+O55+S55+T55+X55+Y55+AC55+AH55+AI55+AK55+AL55</f>
        <v>30501602.348096836</v>
      </c>
      <c r="AR55" s="44">
        <v>16438800.633238314</v>
      </c>
      <c r="AT55" s="7">
        <f t="shared" si="1"/>
        <v>46940402.981335148</v>
      </c>
      <c r="AV55" s="7">
        <f t="shared" si="2"/>
        <v>5580949.5463853367</v>
      </c>
    </row>
    <row r="56" spans="3:48" x14ac:dyDescent="0.3">
      <c r="C56" t="s">
        <v>77</v>
      </c>
      <c r="D56" s="48">
        <v>271201.9752100546</v>
      </c>
      <c r="E56" s="48">
        <v>51257.764528620079</v>
      </c>
      <c r="F56" s="75">
        <v>54893.004151424117</v>
      </c>
      <c r="G56" s="48"/>
      <c r="H56" s="48" t="s">
        <v>77</v>
      </c>
      <c r="I56" s="50">
        <v>75779.369984890887</v>
      </c>
      <c r="J56" s="50">
        <v>75779.370002253752</v>
      </c>
      <c r="K56" s="78">
        <v>51879.27154913672</v>
      </c>
      <c r="L56" s="48"/>
      <c r="M56" s="48" t="s">
        <v>187</v>
      </c>
      <c r="N56" s="48">
        <v>5881.6033404186783</v>
      </c>
      <c r="O56" s="48">
        <v>5881.6033404186783</v>
      </c>
      <c r="P56" s="75">
        <v>6317.6506621970757</v>
      </c>
      <c r="Q56" s="48"/>
      <c r="R56" s="48"/>
      <c r="S56" s="48"/>
      <c r="T56" s="48"/>
      <c r="U56" s="75"/>
      <c r="W56" t="s">
        <v>187</v>
      </c>
      <c r="X56" s="48">
        <v>27657.825745902242</v>
      </c>
      <c r="Y56" s="48">
        <v>27657.825745902242</v>
      </c>
      <c r="Z56" s="75">
        <v>18934.808413113693</v>
      </c>
      <c r="AA56" s="48"/>
      <c r="AB56" s="48" t="s">
        <v>187</v>
      </c>
      <c r="AC56" s="59">
        <v>75388.562634629314</v>
      </c>
      <c r="AD56" s="82">
        <v>393.57340341498445</v>
      </c>
      <c r="AE56" s="59"/>
      <c r="AF56" s="59"/>
      <c r="AG56" s="59"/>
      <c r="AH56" s="59"/>
      <c r="AI56" s="59"/>
      <c r="AJ56" s="75"/>
      <c r="AK56" s="59"/>
      <c r="AL56" s="59"/>
      <c r="AM56" s="82"/>
      <c r="AN56" s="59"/>
      <c r="AO56" t="s">
        <v>77</v>
      </c>
      <c r="AQ56" s="7">
        <f t="shared" si="0"/>
        <v>616485.90053309035</v>
      </c>
      <c r="AR56" s="44">
        <v>201070.00808830239</v>
      </c>
      <c r="AT56" s="7">
        <f t="shared" si="1"/>
        <v>817555.90862139268</v>
      </c>
      <c r="AV56" s="7">
        <f t="shared" si="2"/>
        <v>132418.30817928657</v>
      </c>
    </row>
    <row r="57" spans="3:48" x14ac:dyDescent="0.3">
      <c r="C57" t="s">
        <v>78</v>
      </c>
      <c r="D57" s="48">
        <v>137760.66149528898</v>
      </c>
      <c r="E57" s="48">
        <v>26037.065337607717</v>
      </c>
      <c r="F57" s="75">
        <v>27883.633802839169</v>
      </c>
      <c r="G57" s="48"/>
      <c r="H57" s="48" t="s">
        <v>78</v>
      </c>
      <c r="I57" s="50">
        <v>22503.666003212271</v>
      </c>
      <c r="J57" s="50">
        <v>22503.666008368396</v>
      </c>
      <c r="K57" s="78">
        <v>15406.222031992347</v>
      </c>
      <c r="L57" s="48"/>
      <c r="M57" s="48"/>
      <c r="N57" s="48"/>
      <c r="O57" s="48"/>
      <c r="P57" s="75"/>
      <c r="Q57" s="48"/>
      <c r="R57" s="48"/>
      <c r="S57" s="48"/>
      <c r="T57" s="48"/>
      <c r="U57" s="75"/>
      <c r="Z57" s="75"/>
      <c r="AA57" s="48"/>
      <c r="AB57" s="48"/>
      <c r="AD57" s="82"/>
      <c r="AE57" s="59"/>
      <c r="AF57" s="59"/>
      <c r="AH57" s="48"/>
      <c r="AI57" s="59"/>
      <c r="AJ57" s="75"/>
      <c r="AK57" s="59"/>
      <c r="AL57" s="59"/>
      <c r="AM57" s="82"/>
      <c r="AN57" s="59"/>
      <c r="AO57" t="s">
        <v>78</v>
      </c>
      <c r="AQ57" s="7">
        <f t="shared" si="0"/>
        <v>208805.05884447737</v>
      </c>
      <c r="AR57" s="44">
        <v>83122.465084329466</v>
      </c>
      <c r="AT57" s="7">
        <f t="shared" si="1"/>
        <v>291927.52392880683</v>
      </c>
      <c r="AV57" s="7">
        <f t="shared" si="2"/>
        <v>43289.855834831513</v>
      </c>
    </row>
    <row r="58" spans="3:48" x14ac:dyDescent="0.3">
      <c r="C58" t="s">
        <v>79</v>
      </c>
      <c r="D58" s="48">
        <v>944894.59124840423</v>
      </c>
      <c r="E58" s="48">
        <v>178587.13759390716</v>
      </c>
      <c r="F58" s="75">
        <v>191252.67314105414</v>
      </c>
      <c r="G58" s="48"/>
      <c r="H58" s="48" t="s">
        <v>79</v>
      </c>
      <c r="I58" s="50">
        <v>191942.08750728721</v>
      </c>
      <c r="J58" s="50">
        <v>191942.08755126572</v>
      </c>
      <c r="K58" s="78">
        <v>131405.36377491837</v>
      </c>
      <c r="L58" s="48"/>
      <c r="M58" s="48" t="s">
        <v>190</v>
      </c>
      <c r="N58" s="48">
        <v>13524.308360577696</v>
      </c>
      <c r="O58" s="48">
        <v>13524.308360577696</v>
      </c>
      <c r="P58" s="75">
        <v>14526.96666618103</v>
      </c>
      <c r="Q58" s="48"/>
      <c r="R58" s="48"/>
      <c r="S58" s="48"/>
      <c r="T58" s="48"/>
      <c r="U58" s="75"/>
      <c r="W58" t="s">
        <v>190</v>
      </c>
      <c r="X58" s="48">
        <v>55315.65149180447</v>
      </c>
      <c r="Y58" s="48">
        <v>55315.65149180447</v>
      </c>
      <c r="Z58" s="75">
        <v>37869.616826227379</v>
      </c>
      <c r="AA58" s="48"/>
      <c r="AB58" s="48" t="s">
        <v>190</v>
      </c>
      <c r="AC58" s="59">
        <v>184236.07237244534</v>
      </c>
      <c r="AD58" s="82">
        <v>961.82252985581454</v>
      </c>
      <c r="AE58" s="59"/>
      <c r="AF58" s="59"/>
      <c r="AG58" s="59"/>
      <c r="AH58" s="59"/>
      <c r="AI58" s="59"/>
      <c r="AJ58" s="75"/>
      <c r="AK58" s="59"/>
      <c r="AL58" s="59"/>
      <c r="AM58" s="82"/>
      <c r="AN58" s="59"/>
      <c r="AO58" t="s">
        <v>79</v>
      </c>
      <c r="AQ58" s="7">
        <f t="shared" si="0"/>
        <v>1829281.8959780743</v>
      </c>
      <c r="AR58" s="44">
        <v>653983.01595217292</v>
      </c>
      <c r="AT58" s="7">
        <f t="shared" si="1"/>
        <v>2483264.9119302472</v>
      </c>
      <c r="AV58" s="7">
        <f t="shared" si="2"/>
        <v>376016.44293823675</v>
      </c>
    </row>
    <row r="59" spans="3:48" x14ac:dyDescent="0.3">
      <c r="C59" t="s">
        <v>80</v>
      </c>
      <c r="D59" s="48">
        <v>137760.66149528898</v>
      </c>
      <c r="E59" s="48">
        <v>26037.065337607717</v>
      </c>
      <c r="F59" s="75">
        <v>27883.633802839169</v>
      </c>
      <c r="G59" s="48"/>
      <c r="H59" s="48" t="s">
        <v>80</v>
      </c>
      <c r="I59" s="50">
        <v>54818.483130498935</v>
      </c>
      <c r="J59" s="50">
        <v>54818.483143059158</v>
      </c>
      <c r="K59" s="78">
        <v>37529.250676087147</v>
      </c>
      <c r="L59" s="48"/>
      <c r="M59" s="48"/>
      <c r="N59" s="48"/>
      <c r="O59" s="48"/>
      <c r="P59" s="75"/>
      <c r="Q59" s="48"/>
      <c r="R59" s="48"/>
      <c r="S59" s="48"/>
      <c r="T59" s="48"/>
      <c r="U59" s="75"/>
      <c r="Z59" s="75"/>
      <c r="AA59" s="48"/>
      <c r="AB59" s="48"/>
      <c r="AD59" s="82"/>
      <c r="AE59" s="59"/>
      <c r="AF59" s="59"/>
      <c r="AH59" s="48"/>
      <c r="AI59" s="59"/>
      <c r="AJ59" s="75"/>
      <c r="AK59" s="59"/>
      <c r="AL59" s="59"/>
      <c r="AM59" s="82"/>
      <c r="AN59" s="59"/>
      <c r="AO59" t="s">
        <v>80</v>
      </c>
      <c r="AQ59" s="7">
        <f t="shared" si="0"/>
        <v>273434.6931064548</v>
      </c>
      <c r="AR59" s="44">
        <v>83122.465084329466</v>
      </c>
      <c r="AT59" s="7">
        <f t="shared" si="1"/>
        <v>356557.15819078428</v>
      </c>
      <c r="AV59" s="7">
        <f t="shared" si="2"/>
        <v>65412.884478926317</v>
      </c>
    </row>
    <row r="60" spans="3:48" x14ac:dyDescent="0.3">
      <c r="C60" t="s">
        <v>81</v>
      </c>
      <c r="D60" s="48">
        <v>407282.09439576254</v>
      </c>
      <c r="E60" s="48">
        <v>76977.203706174318</v>
      </c>
      <c r="F60" s="75">
        <v>82436.485505502438</v>
      </c>
      <c r="G60" s="48"/>
      <c r="H60" s="48" t="s">
        <v>81</v>
      </c>
      <c r="I60" s="50">
        <v>99728.849957538783</v>
      </c>
      <c r="J60" s="50">
        <v>99728.849980389045</v>
      </c>
      <c r="K60" s="78">
        <v>68275.311463553284</v>
      </c>
      <c r="L60" s="48"/>
      <c r="M60" s="48"/>
      <c r="N60" s="48"/>
      <c r="O60" s="48"/>
      <c r="P60" s="75"/>
      <c r="Q60" s="48"/>
      <c r="R60" s="48"/>
      <c r="S60" s="48"/>
      <c r="T60" s="48"/>
      <c r="U60" s="75"/>
      <c r="Z60" s="75"/>
      <c r="AA60" s="48"/>
      <c r="AB60" s="48"/>
      <c r="AD60" s="82"/>
      <c r="AE60" s="59"/>
      <c r="AF60" s="59"/>
      <c r="AH60" s="48"/>
      <c r="AI60" s="59"/>
      <c r="AJ60" s="75"/>
      <c r="AK60" s="59"/>
      <c r="AL60" s="59"/>
      <c r="AM60" s="82"/>
      <c r="AN60" s="59"/>
      <c r="AO60" t="s">
        <v>81</v>
      </c>
      <c r="AQ60" s="7">
        <f t="shared" si="0"/>
        <v>683716.9980398647</v>
      </c>
      <c r="AR60" s="44">
        <v>245747.16253117062</v>
      </c>
      <c r="AT60" s="7">
        <f t="shared" si="1"/>
        <v>929464.16057103535</v>
      </c>
      <c r="AV60" s="7">
        <f t="shared" si="2"/>
        <v>150711.79696905572</v>
      </c>
    </row>
    <row r="61" spans="3:48" x14ac:dyDescent="0.3">
      <c r="C61" t="s">
        <v>82</v>
      </c>
      <c r="D61" s="48">
        <v>137760.66149528898</v>
      </c>
      <c r="E61" s="48">
        <v>26037.065337607717</v>
      </c>
      <c r="F61" s="75">
        <v>27883.633802839169</v>
      </c>
      <c r="G61" s="48"/>
      <c r="H61" s="48" t="s">
        <v>82</v>
      </c>
      <c r="I61" s="50">
        <v>21822.543050402452</v>
      </c>
      <c r="J61" s="50">
        <v>21822.543055402519</v>
      </c>
      <c r="K61" s="78">
        <v>14939.918833190142</v>
      </c>
      <c r="L61" s="48"/>
      <c r="M61" s="48"/>
      <c r="N61" s="48"/>
      <c r="O61" s="48"/>
      <c r="P61" s="75"/>
      <c r="Q61" s="48"/>
      <c r="R61" s="48"/>
      <c r="S61" s="48"/>
      <c r="T61" s="48"/>
      <c r="U61" s="75"/>
      <c r="Z61" s="75"/>
      <c r="AA61" s="48"/>
      <c r="AB61" s="48"/>
      <c r="AD61" s="82"/>
      <c r="AE61" s="59"/>
      <c r="AF61" s="59"/>
      <c r="AH61" s="48"/>
      <c r="AI61" s="59"/>
      <c r="AJ61" s="75"/>
      <c r="AK61" s="59"/>
      <c r="AL61" s="59"/>
      <c r="AM61" s="82"/>
      <c r="AN61" s="59"/>
      <c r="AO61" t="s">
        <v>82</v>
      </c>
      <c r="AQ61" s="7">
        <f t="shared" si="0"/>
        <v>207442.81293870168</v>
      </c>
      <c r="AR61" s="44">
        <v>83122.465084329466</v>
      </c>
      <c r="AT61" s="7">
        <f t="shared" si="1"/>
        <v>290565.27802303113</v>
      </c>
      <c r="AV61" s="7">
        <f t="shared" si="2"/>
        <v>42823.552636029315</v>
      </c>
    </row>
    <row r="62" spans="3:48" x14ac:dyDescent="0.3">
      <c r="C62" t="s">
        <v>83</v>
      </c>
      <c r="D62" s="48">
        <v>159079.6749043309</v>
      </c>
      <c r="E62" s="48">
        <v>30066.405346863859</v>
      </c>
      <c r="F62" s="75">
        <v>32198.737668363738</v>
      </c>
      <c r="G62" s="48"/>
      <c r="H62" s="48" t="s">
        <v>83</v>
      </c>
      <c r="I62" s="50">
        <v>54758.738424818221</v>
      </c>
      <c r="J62" s="50">
        <v>54758.738437364758</v>
      </c>
      <c r="K62" s="78">
        <v>37488.34888698213</v>
      </c>
      <c r="L62" s="48"/>
      <c r="M62" s="48"/>
      <c r="N62" s="48"/>
      <c r="O62" s="48"/>
      <c r="P62" s="75"/>
      <c r="Q62" s="48"/>
      <c r="R62" s="48"/>
      <c r="S62" s="48"/>
      <c r="T62" s="48"/>
      <c r="U62" s="75"/>
      <c r="Z62" s="75"/>
      <c r="AA62" s="48"/>
      <c r="AB62" s="48"/>
      <c r="AD62" s="82"/>
      <c r="AE62" s="59"/>
      <c r="AF62" s="59"/>
      <c r="AH62" s="48"/>
      <c r="AI62" s="59"/>
      <c r="AJ62" s="75"/>
      <c r="AK62" s="59"/>
      <c r="AL62" s="59"/>
      <c r="AM62" s="82"/>
      <c r="AN62" s="59"/>
      <c r="AO62" t="s">
        <v>83</v>
      </c>
      <c r="AQ62" s="7">
        <f t="shared" si="0"/>
        <v>298663.55711337773</v>
      </c>
      <c r="AR62" s="44">
        <v>95985.999045989782</v>
      </c>
      <c r="AT62" s="7">
        <f t="shared" si="1"/>
        <v>394649.55615936749</v>
      </c>
      <c r="AV62" s="7">
        <f t="shared" si="2"/>
        <v>69687.086555345872</v>
      </c>
    </row>
    <row r="63" spans="3:48" x14ac:dyDescent="0.3">
      <c r="C63" t="s">
        <v>84</v>
      </c>
      <c r="D63" s="48">
        <v>142788.37459722103</v>
      </c>
      <c r="E63" s="48">
        <v>26987.314074169048</v>
      </c>
      <c r="F63" s="75">
        <v>28901.274902107587</v>
      </c>
      <c r="G63" s="48"/>
      <c r="H63" s="48" t="s">
        <v>84</v>
      </c>
      <c r="I63" s="50">
        <v>55115.848824682515</v>
      </c>
      <c r="J63" s="50">
        <v>55115.84883731087</v>
      </c>
      <c r="K63" s="78">
        <v>37732.830035496227</v>
      </c>
      <c r="L63" s="48"/>
      <c r="M63" s="48" t="s">
        <v>193</v>
      </c>
      <c r="N63" s="48">
        <v>3880.5251113947775</v>
      </c>
      <c r="O63" s="48">
        <v>3880.5251113947775</v>
      </c>
      <c r="P63" s="75">
        <v>4168.2175115757564</v>
      </c>
      <c r="Q63" s="48"/>
      <c r="R63" s="48"/>
      <c r="S63" s="48"/>
      <c r="T63" s="48"/>
      <c r="U63" s="75"/>
      <c r="W63" t="s">
        <v>193</v>
      </c>
      <c r="X63" s="48">
        <v>13828.912872951118</v>
      </c>
      <c r="Y63" s="48">
        <v>13828.912872951118</v>
      </c>
      <c r="Z63" s="75">
        <v>9467.4042065568447</v>
      </c>
      <c r="AA63" s="48"/>
      <c r="AB63" s="48" t="s">
        <v>193</v>
      </c>
      <c r="AC63" s="59">
        <v>52862.79240349125</v>
      </c>
      <c r="AD63" s="82">
        <v>275.9754051963447</v>
      </c>
      <c r="AE63" s="59"/>
      <c r="AF63" s="59"/>
      <c r="AG63" s="59"/>
      <c r="AH63" s="59"/>
      <c r="AI63" s="59"/>
      <c r="AJ63" s="75"/>
      <c r="AK63" s="59"/>
      <c r="AL63" s="59"/>
      <c r="AM63" s="82"/>
      <c r="AN63" s="59"/>
      <c r="AO63" t="s">
        <v>84</v>
      </c>
      <c r="AQ63" s="7">
        <f t="shared" si="0"/>
        <v>368289.05470556649</v>
      </c>
      <c r="AR63" s="44">
        <v>110215.01602440627</v>
      </c>
      <c r="AT63" s="7">
        <f t="shared" si="1"/>
        <v>478504.07072997279</v>
      </c>
      <c r="AV63" s="7">
        <f t="shared" si="2"/>
        <v>80545.702060932759</v>
      </c>
    </row>
    <row r="64" spans="3:48" x14ac:dyDescent="0.3">
      <c r="C64" t="s">
        <v>85</v>
      </c>
      <c r="D64" s="48">
        <v>137760.66149528898</v>
      </c>
      <c r="E64" s="48">
        <v>26037.065337607717</v>
      </c>
      <c r="F64" s="75">
        <v>27883.633802839169</v>
      </c>
      <c r="G64" s="48"/>
      <c r="H64" s="48" t="s">
        <v>85</v>
      </c>
      <c r="I64" s="50">
        <v>60997.986665793214</v>
      </c>
      <c r="J64" s="50">
        <v>60997.98667976931</v>
      </c>
      <c r="K64" s="78">
        <v>41759.797090108565</v>
      </c>
      <c r="L64" s="48"/>
      <c r="M64" s="48"/>
      <c r="N64" s="48"/>
      <c r="O64" s="48"/>
      <c r="P64" s="75"/>
      <c r="Q64" s="48"/>
      <c r="R64" s="48"/>
      <c r="S64" s="48"/>
      <c r="T64" s="48"/>
      <c r="U64" s="75"/>
      <c r="Z64" s="75"/>
      <c r="AA64" s="48"/>
      <c r="AB64" s="48"/>
      <c r="AD64" s="82"/>
      <c r="AE64" s="59"/>
      <c r="AF64" s="59"/>
      <c r="AH64" s="48"/>
      <c r="AI64" s="59"/>
      <c r="AJ64" s="75"/>
      <c r="AK64" s="59"/>
      <c r="AL64" s="59"/>
      <c r="AM64" s="82"/>
      <c r="AN64" s="59"/>
      <c r="AO64" t="s">
        <v>85</v>
      </c>
      <c r="AQ64" s="7">
        <f t="shared" si="0"/>
        <v>285793.70017845923</v>
      </c>
      <c r="AR64" s="44">
        <v>83122.465084329466</v>
      </c>
      <c r="AT64" s="7">
        <f t="shared" si="1"/>
        <v>368916.16526278871</v>
      </c>
      <c r="AV64" s="7">
        <f t="shared" si="2"/>
        <v>69643.430892947741</v>
      </c>
    </row>
    <row r="65" spans="3:48" x14ac:dyDescent="0.3">
      <c r="C65" t="s">
        <v>86</v>
      </c>
      <c r="D65" s="48">
        <v>321992.40245410678</v>
      </c>
      <c r="E65" s="48">
        <v>60857.265999681324</v>
      </c>
      <c r="F65" s="75">
        <v>65173.309563657676</v>
      </c>
      <c r="G65" s="48"/>
      <c r="H65" s="48" t="s">
        <v>86</v>
      </c>
      <c r="I65" s="50">
        <v>68798.744259786996</v>
      </c>
      <c r="J65" s="50">
        <v>68798.744275550431</v>
      </c>
      <c r="K65" s="78">
        <v>47100.269326661648</v>
      </c>
      <c r="L65" s="48"/>
      <c r="M65" s="48"/>
      <c r="N65" s="48"/>
      <c r="O65" s="48"/>
      <c r="P65" s="75"/>
      <c r="Q65" s="48"/>
      <c r="R65" s="48"/>
      <c r="S65" s="48"/>
      <c r="T65" s="48"/>
      <c r="U65" s="75"/>
      <c r="Z65" s="75"/>
      <c r="AA65" s="48"/>
      <c r="AB65" s="48"/>
      <c r="AD65" s="82"/>
      <c r="AE65" s="59"/>
      <c r="AF65" s="59"/>
      <c r="AH65" s="48"/>
      <c r="AI65" s="59"/>
      <c r="AJ65" s="75"/>
      <c r="AK65" s="59"/>
      <c r="AL65" s="59"/>
      <c r="AM65" s="82"/>
      <c r="AN65" s="59"/>
      <c r="AO65" t="s">
        <v>86</v>
      </c>
      <c r="AQ65" s="7">
        <f t="shared" si="0"/>
        <v>520447.15698912548</v>
      </c>
      <c r="AR65" s="44">
        <v>194284.79756048598</v>
      </c>
      <c r="AT65" s="7">
        <f t="shared" si="1"/>
        <v>714731.95454961143</v>
      </c>
      <c r="AV65" s="7">
        <f t="shared" si="2"/>
        <v>112273.57889031933</v>
      </c>
    </row>
    <row r="66" spans="3:48" x14ac:dyDescent="0.3">
      <c r="C66" t="s">
        <v>87</v>
      </c>
      <c r="D66" s="48">
        <v>137760.66149528898</v>
      </c>
      <c r="E66" s="48">
        <v>26037.065337607717</v>
      </c>
      <c r="F66" s="75">
        <v>27883.633802839169</v>
      </c>
      <c r="G66" s="48"/>
      <c r="H66" s="48" t="s">
        <v>87</v>
      </c>
      <c r="I66" s="50">
        <v>53214.880916659655</v>
      </c>
      <c r="J66" s="50">
        <v>53214.880928852457</v>
      </c>
      <c r="K66" s="78">
        <v>36431.409473063795</v>
      </c>
      <c r="L66" s="48"/>
      <c r="M66" s="48"/>
      <c r="N66" s="48"/>
      <c r="O66" s="48"/>
      <c r="P66" s="75"/>
      <c r="Q66" s="48"/>
      <c r="R66" s="48"/>
      <c r="S66" s="48"/>
      <c r="T66" s="48"/>
      <c r="U66" s="75"/>
      <c r="Z66" s="75"/>
      <c r="AA66" s="48"/>
      <c r="AB66" s="48"/>
      <c r="AD66" s="82"/>
      <c r="AE66" s="59"/>
      <c r="AF66" s="59"/>
      <c r="AH66" s="48"/>
      <c r="AI66" s="59"/>
      <c r="AJ66" s="75"/>
      <c r="AK66" s="59"/>
      <c r="AL66" s="59"/>
      <c r="AM66" s="82"/>
      <c r="AN66" s="59"/>
      <c r="AO66" t="s">
        <v>87</v>
      </c>
      <c r="AQ66" s="7">
        <f t="shared" si="0"/>
        <v>270227.48867840884</v>
      </c>
      <c r="AR66" s="44">
        <v>83122.465084329466</v>
      </c>
      <c r="AT66" s="7">
        <f t="shared" si="1"/>
        <v>353349.95376273833</v>
      </c>
      <c r="AV66" s="7">
        <f t="shared" si="2"/>
        <v>64315.043275902965</v>
      </c>
    </row>
    <row r="67" spans="3:48" x14ac:dyDescent="0.3">
      <c r="C67" t="s">
        <v>88</v>
      </c>
      <c r="D67" s="48">
        <v>1578338.0880996597</v>
      </c>
      <c r="E67" s="48">
        <v>298309.33939070138</v>
      </c>
      <c r="F67" s="75">
        <v>319465.66449341003</v>
      </c>
      <c r="G67" s="48"/>
      <c r="H67" s="48" t="s">
        <v>88</v>
      </c>
      <c r="I67" s="50">
        <v>280888.37592367642</v>
      </c>
      <c r="J67" s="50">
        <v>280888.37598803465</v>
      </c>
      <c r="K67" s="78">
        <v>192298.8318911317</v>
      </c>
      <c r="L67" s="48"/>
      <c r="M67" s="48" t="s">
        <v>198</v>
      </c>
      <c r="N67" s="48">
        <v>19792.521660260329</v>
      </c>
      <c r="O67" s="48">
        <v>19792.521660260329</v>
      </c>
      <c r="P67" s="75">
        <v>21259.889580481737</v>
      </c>
      <c r="Q67" s="48"/>
      <c r="R67" s="48" t="s">
        <v>198</v>
      </c>
      <c r="S67" s="48">
        <v>25618.301553702931</v>
      </c>
      <c r="T67" s="48">
        <v>25618.301553702931</v>
      </c>
      <c r="U67" s="75">
        <v>26248.06038892689</v>
      </c>
      <c r="W67" t="s">
        <v>198</v>
      </c>
      <c r="X67" s="48">
        <v>49309.245789848348</v>
      </c>
      <c r="Y67" s="48">
        <v>49309.245789848348</v>
      </c>
      <c r="Z67" s="75">
        <v>33757.574821811213</v>
      </c>
      <c r="AA67" s="48"/>
      <c r="AB67" s="48" t="s">
        <v>198</v>
      </c>
      <c r="AC67" s="59">
        <v>269625.3557529173</v>
      </c>
      <c r="AD67" s="82">
        <v>1407.6056791923393</v>
      </c>
      <c r="AE67" s="59"/>
      <c r="AF67" s="59"/>
      <c r="AG67" s="59"/>
      <c r="AH67" s="59"/>
      <c r="AI67" s="59"/>
      <c r="AJ67" s="75"/>
      <c r="AK67" s="59"/>
      <c r="AL67" s="59"/>
      <c r="AM67" s="82"/>
      <c r="AN67" s="59"/>
      <c r="AO67" t="s">
        <v>88</v>
      </c>
      <c r="AQ67" s="7">
        <f t="shared" si="0"/>
        <v>2897489.6731626126</v>
      </c>
      <c r="AR67" s="44">
        <v>1075054.5328110165</v>
      </c>
      <c r="AT67" s="7">
        <f t="shared" si="1"/>
        <v>3972544.2059736289</v>
      </c>
      <c r="AV67" s="7">
        <f t="shared" si="2"/>
        <v>594437.62685495382</v>
      </c>
    </row>
    <row r="68" spans="3:48" x14ac:dyDescent="0.3">
      <c r="C68" t="s">
        <v>89</v>
      </c>
      <c r="D68" s="48">
        <v>301867.91174089041</v>
      </c>
      <c r="E68" s="48">
        <v>57053.693383967569</v>
      </c>
      <c r="F68" s="75">
        <v>61099.984686837517</v>
      </c>
      <c r="G68" s="48"/>
      <c r="H68" s="48" t="s">
        <v>89</v>
      </c>
      <c r="I68" s="50">
        <v>69739.72337425829</v>
      </c>
      <c r="J68" s="50">
        <v>69739.723390237326</v>
      </c>
      <c r="K68" s="78">
        <v>47744.472505065693</v>
      </c>
      <c r="L68" s="48"/>
      <c r="M68" s="48"/>
      <c r="N68" s="48"/>
      <c r="O68" s="48"/>
      <c r="P68" s="75"/>
      <c r="Q68" s="48"/>
      <c r="R68" s="48"/>
      <c r="S68" s="48"/>
      <c r="T68" s="48"/>
      <c r="U68" s="75"/>
      <c r="Z68" s="75"/>
      <c r="AA68" s="48"/>
      <c r="AB68" s="48"/>
      <c r="AD68" s="82"/>
      <c r="AE68" s="59"/>
      <c r="AF68" s="59"/>
      <c r="AH68" s="48"/>
      <c r="AI68" s="59"/>
      <c r="AJ68" s="75"/>
      <c r="AK68" s="59"/>
      <c r="AL68" s="59"/>
      <c r="AM68" s="82"/>
      <c r="AN68" s="59"/>
      <c r="AO68" t="s">
        <v>89</v>
      </c>
      <c r="AQ68" s="7">
        <f t="shared" si="0"/>
        <v>498401.05188935355</v>
      </c>
      <c r="AR68" s="44">
        <v>182142.01849357184</v>
      </c>
      <c r="AT68" s="7">
        <f t="shared" si="1"/>
        <v>680543.07038292545</v>
      </c>
      <c r="AV68" s="7">
        <f t="shared" si="2"/>
        <v>108844.4571919032</v>
      </c>
    </row>
    <row r="69" spans="3:48" x14ac:dyDescent="0.3">
      <c r="C69" t="s">
        <v>90</v>
      </c>
      <c r="D69" s="48">
        <v>3092469.2381322412</v>
      </c>
      <c r="E69" s="48">
        <v>584483.427517112</v>
      </c>
      <c r="F69" s="75">
        <v>625935.43647852808</v>
      </c>
      <c r="G69" s="48"/>
      <c r="H69" s="48" t="s">
        <v>90</v>
      </c>
      <c r="I69" s="50">
        <v>473747.00152947457</v>
      </c>
      <c r="J69" s="50">
        <v>473747.00163802138</v>
      </c>
      <c r="K69" s="78">
        <v>324331.66629436566</v>
      </c>
      <c r="L69" s="48"/>
      <c r="M69" s="48" t="s">
        <v>201</v>
      </c>
      <c r="N69" s="48">
        <v>33530.970339447085</v>
      </c>
      <c r="O69" s="48">
        <v>33530.970339447085</v>
      </c>
      <c r="P69" s="75">
        <v>36016.872391472585</v>
      </c>
      <c r="Q69" s="48"/>
      <c r="R69" s="48" t="s">
        <v>201</v>
      </c>
      <c r="S69" s="48">
        <v>43400.55927633254</v>
      </c>
      <c r="T69" s="48">
        <v>43400.55927633254</v>
      </c>
      <c r="U69" s="75">
        <v>44467.448336118039</v>
      </c>
      <c r="W69" t="s">
        <v>201</v>
      </c>
      <c r="X69" s="48">
        <v>83535.937786017545</v>
      </c>
      <c r="Y69" s="48">
        <v>83535.937786017545</v>
      </c>
      <c r="Z69" s="75">
        <v>57189.49103663276</v>
      </c>
      <c r="AA69" s="48"/>
      <c r="AB69" s="48" t="s">
        <v>201</v>
      </c>
      <c r="AC69" s="59">
        <v>456778.5733268222</v>
      </c>
      <c r="AD69" s="82">
        <v>2384.6574523852159</v>
      </c>
      <c r="AE69" s="59"/>
      <c r="AF69" s="59"/>
      <c r="AG69" s="59"/>
      <c r="AH69" s="59"/>
      <c r="AI69" s="59"/>
      <c r="AJ69" s="83"/>
      <c r="AK69" s="59"/>
      <c r="AL69" s="59"/>
      <c r="AM69" s="82"/>
      <c r="AN69" s="59"/>
      <c r="AO69" t="s">
        <v>90</v>
      </c>
      <c r="AQ69" s="7">
        <f t="shared" si="0"/>
        <v>5402160.1769472659</v>
      </c>
      <c r="AR69" s="44">
        <v>2073832.9610313661</v>
      </c>
      <c r="AT69" s="7">
        <f t="shared" si="1"/>
        <v>7475993.137978632</v>
      </c>
      <c r="AV69" s="7">
        <f t="shared" si="2"/>
        <v>1090325.5719895023</v>
      </c>
    </row>
    <row r="70" spans="3:48" x14ac:dyDescent="0.3">
      <c r="C70" t="s">
        <v>91</v>
      </c>
      <c r="D70" s="48">
        <v>195495.46592465707</v>
      </c>
      <c r="E70" s="48">
        <v>36949.069235272422</v>
      </c>
      <c r="F70" s="75">
        <v>39569.525311440048</v>
      </c>
      <c r="G70" s="48"/>
      <c r="H70" s="48" t="s">
        <v>91</v>
      </c>
      <c r="I70" s="50">
        <v>36381.810091117324</v>
      </c>
      <c r="J70" s="50">
        <v>36381.810099453265</v>
      </c>
      <c r="K70" s="78">
        <v>24907.330392724642</v>
      </c>
      <c r="L70" s="48"/>
      <c r="M70" s="48" t="s">
        <v>206</v>
      </c>
      <c r="N70" s="48">
        <v>2940.8016702093391</v>
      </c>
      <c r="O70" s="48">
        <v>2940.8016702093391</v>
      </c>
      <c r="P70" s="75">
        <v>3158.8253310985378</v>
      </c>
      <c r="Q70" s="48"/>
      <c r="R70" s="48" t="s">
        <v>206</v>
      </c>
      <c r="S70" s="48">
        <v>3190.0964571289178</v>
      </c>
      <c r="T70" s="48">
        <v>3190.0964571289178</v>
      </c>
      <c r="U70" s="75">
        <v>3268.5166219037833</v>
      </c>
      <c r="W70" t="s">
        <v>206</v>
      </c>
      <c r="X70" s="48">
        <v>13828.912872951118</v>
      </c>
      <c r="Y70" s="48">
        <v>13828.912872951118</v>
      </c>
      <c r="Z70" s="75">
        <v>9467.4042065568447</v>
      </c>
      <c r="AA70" s="48"/>
      <c r="AB70" s="48" t="s">
        <v>206</v>
      </c>
      <c r="AC70" s="59">
        <v>34834.691759996618</v>
      </c>
      <c r="AD70" s="82">
        <v>181.85793326952447</v>
      </c>
      <c r="AE70" s="59"/>
      <c r="AF70" s="59"/>
      <c r="AG70" s="59"/>
      <c r="AH70" s="59"/>
      <c r="AI70" s="59"/>
      <c r="AJ70" s="83"/>
      <c r="AK70" s="59"/>
      <c r="AL70" s="59"/>
      <c r="AM70" s="82"/>
      <c r="AN70" s="59"/>
      <c r="AO70" t="s">
        <v>91</v>
      </c>
      <c r="AQ70" s="7">
        <f t="shared" ref="AQ70:AQ71" si="3">+D70+E70+I70+J70+N70+O70+S70+T70+X70+Y70+AC70</f>
        <v>379962.46911107551</v>
      </c>
      <c r="AR70" s="44">
        <v>139141.16969800138</v>
      </c>
      <c r="AT70" s="7">
        <f t="shared" ref="AT70:AT126" si="4">+AQ70+AR70</f>
        <v>519103.63880907686</v>
      </c>
      <c r="AV70" s="7">
        <f t="shared" ref="AV70:AV71" si="5">F70+K70+P70+U70+Z70+AD70+AJ70+AM70</f>
        <v>80553.459796993367</v>
      </c>
    </row>
    <row r="71" spans="3:48" x14ac:dyDescent="0.3">
      <c r="C71" t="s">
        <v>92</v>
      </c>
      <c r="D71" s="60">
        <v>2463817.3326091147</v>
      </c>
      <c r="E71" s="60">
        <v>465666.84692689037</v>
      </c>
      <c r="F71" s="81">
        <v>498692.29367710248</v>
      </c>
      <c r="G71" s="48"/>
      <c r="H71" s="48" t="s">
        <v>92</v>
      </c>
      <c r="I71" s="52">
        <v>609746.31917208945</v>
      </c>
      <c r="J71" s="52">
        <v>609746.31931179692</v>
      </c>
      <c r="K71" s="79">
        <v>417438.08208912972</v>
      </c>
      <c r="L71" s="48"/>
      <c r="M71" s="48" t="s">
        <v>207</v>
      </c>
      <c r="N71" s="48">
        <v>43153.103198801546</v>
      </c>
      <c r="O71" s="48">
        <v>43153.103198801546</v>
      </c>
      <c r="P71" s="75">
        <v>46352.366050642348</v>
      </c>
      <c r="Q71" s="48"/>
      <c r="R71" s="48" t="s">
        <v>207</v>
      </c>
      <c r="S71" s="48">
        <v>55854.894575895079</v>
      </c>
      <c r="T71" s="48">
        <v>55854.894575895079</v>
      </c>
      <c r="U71" s="75">
        <v>57227.940844241006</v>
      </c>
      <c r="Z71" s="75"/>
      <c r="AA71" s="48"/>
      <c r="AB71" s="48"/>
      <c r="AC71" s="7"/>
      <c r="AD71" s="82"/>
      <c r="AE71" s="59"/>
      <c r="AF71" s="59"/>
      <c r="AH71" s="48"/>
      <c r="AI71" s="59"/>
      <c r="AJ71" s="82"/>
      <c r="AK71" s="59"/>
      <c r="AL71" s="59"/>
      <c r="AM71" s="82"/>
      <c r="AN71" s="59"/>
      <c r="AO71" t="s">
        <v>92</v>
      </c>
      <c r="AQ71" s="7">
        <f t="shared" si="3"/>
        <v>4346992.813569284</v>
      </c>
      <c r="AR71" s="44">
        <v>1754171.3545171593</v>
      </c>
      <c r="AT71" s="7">
        <f t="shared" si="4"/>
        <v>6101164.1680864431</v>
      </c>
      <c r="AV71" s="7">
        <f t="shared" si="5"/>
        <v>1019710.6826611154</v>
      </c>
    </row>
    <row r="72" spans="3:48" x14ac:dyDescent="0.3">
      <c r="D72" s="48"/>
      <c r="E72" s="48"/>
      <c r="F72" s="75"/>
      <c r="G72" s="48"/>
      <c r="H72" s="48"/>
      <c r="I72" s="48"/>
      <c r="J72" s="48"/>
      <c r="K72" s="75"/>
      <c r="L72" s="48"/>
      <c r="M72" s="48"/>
      <c r="N72" s="48"/>
      <c r="O72" s="48"/>
      <c r="P72" s="75"/>
      <c r="Q72" s="48"/>
      <c r="R72" s="48"/>
      <c r="S72" s="48"/>
      <c r="T72" s="48"/>
      <c r="U72" s="75"/>
      <c r="Z72" s="75"/>
      <c r="AA72" s="48"/>
      <c r="AB72" s="48" t="s">
        <v>311</v>
      </c>
      <c r="AC72" s="7">
        <f>SUM(AC5:AC70)</f>
        <v>10952190.404201649</v>
      </c>
      <c r="AD72" s="78">
        <f>SUM(AD5:AD70)</f>
        <v>57176.986821215469</v>
      </c>
      <c r="AE72" s="59"/>
      <c r="AF72" s="59"/>
      <c r="AH72" s="48"/>
      <c r="AI72" s="59"/>
      <c r="AJ72" s="82"/>
      <c r="AK72" s="59"/>
      <c r="AL72" s="59"/>
      <c r="AM72" s="82"/>
      <c r="AN72" s="59"/>
      <c r="AQ72" s="7"/>
      <c r="AR72" s="44"/>
      <c r="AT72" s="7">
        <f t="shared" si="4"/>
        <v>0</v>
      </c>
    </row>
    <row r="73" spans="3:48" x14ac:dyDescent="0.3">
      <c r="D73" s="48"/>
      <c r="E73" s="48"/>
      <c r="F73" s="75"/>
      <c r="G73" s="48"/>
      <c r="H73" s="48"/>
      <c r="I73" s="48"/>
      <c r="J73" s="48"/>
      <c r="K73" s="75"/>
      <c r="L73" s="48"/>
      <c r="M73" s="48" t="s">
        <v>120</v>
      </c>
      <c r="N73" s="48">
        <v>1176.3206680837357</v>
      </c>
      <c r="O73" s="48">
        <v>1176.3206680837357</v>
      </c>
      <c r="P73" s="75">
        <v>1263.5301324394152</v>
      </c>
      <c r="Q73" s="48"/>
      <c r="R73" s="48" t="s">
        <v>120</v>
      </c>
      <c r="S73" s="48">
        <v>1259.0273722244253</v>
      </c>
      <c r="T73" s="48">
        <v>1259.0273722244253</v>
      </c>
      <c r="U73" s="75">
        <v>1289.9772620828546</v>
      </c>
      <c r="Z73" s="75"/>
      <c r="AA73" s="48"/>
      <c r="AB73" s="48"/>
      <c r="AD73" s="82"/>
      <c r="AE73" s="59"/>
      <c r="AF73" s="59"/>
      <c r="AH73" s="48"/>
      <c r="AI73" s="59"/>
      <c r="AJ73" s="82"/>
      <c r="AK73" s="59"/>
      <c r="AL73" s="59"/>
      <c r="AM73" s="82"/>
      <c r="AN73" s="59"/>
      <c r="AO73" t="s">
        <v>120</v>
      </c>
      <c r="AQ73" s="7">
        <f>+N73+O73+S73+T73+X73+Y73+AC73</f>
        <v>4870.6960806163224</v>
      </c>
      <c r="AR73" s="48">
        <v>3571.4640745660031</v>
      </c>
      <c r="AT73" s="7">
        <f t="shared" si="4"/>
        <v>8442.160155182326</v>
      </c>
      <c r="AV73" s="7">
        <f>P73+U73+Z73+AD73+AJ73+AM73</f>
        <v>2553.5073945222698</v>
      </c>
    </row>
    <row r="74" spans="3:48" x14ac:dyDescent="0.3">
      <c r="C74" s="15" t="s">
        <v>304</v>
      </c>
      <c r="D74" s="54">
        <f>SUM(D5:D73)</f>
        <v>96431268.937288418</v>
      </c>
      <c r="E74" s="54">
        <f>SUM(E5:E73)</f>
        <v>18225720.047043059</v>
      </c>
      <c r="F74" s="77">
        <f>SUM(F5:F71)</f>
        <v>19518301.966649618</v>
      </c>
      <c r="G74" s="54"/>
      <c r="H74" s="54"/>
      <c r="I74" s="54">
        <f>SUM(I5:I73)</f>
        <v>15275592.245497104</v>
      </c>
      <c r="J74" s="54">
        <f>SUM(J5:J73)</f>
        <v>15275592.248997105</v>
      </c>
      <c r="K74" s="77">
        <f>SUM(K5:K71)</f>
        <v>10457814.552114112</v>
      </c>
      <c r="L74" s="48"/>
      <c r="M74" s="48" t="s">
        <v>122</v>
      </c>
      <c r="N74" s="48">
        <v>11897.787371019022</v>
      </c>
      <c r="O74" s="48">
        <v>11897.787371019022</v>
      </c>
      <c r="P74" s="75">
        <v>12779.859489444538</v>
      </c>
      <c r="Q74" s="48"/>
      <c r="R74" s="48" t="s">
        <v>122</v>
      </c>
      <c r="S74" s="48">
        <v>15399.81160180247</v>
      </c>
      <c r="T74" s="48">
        <v>15399.81160180247</v>
      </c>
      <c r="U74" s="75">
        <v>15778.375629425047</v>
      </c>
      <c r="Z74" s="75"/>
      <c r="AA74" s="48"/>
      <c r="AB74" s="48"/>
      <c r="AD74" s="82"/>
      <c r="AE74" s="59"/>
      <c r="AF74" s="59"/>
      <c r="AH74" s="48"/>
      <c r="AI74" s="59"/>
      <c r="AJ74" s="82"/>
      <c r="AK74" s="59"/>
      <c r="AL74" s="59"/>
      <c r="AM74" s="82"/>
      <c r="AN74" s="59"/>
      <c r="AO74" t="s">
        <v>122</v>
      </c>
      <c r="AQ74" s="7">
        <f>+N74+O74+S74+T74+X74+Y74+AC74</f>
        <v>54595.197945642984</v>
      </c>
      <c r="AR74" s="48">
        <v>87705.599831506814</v>
      </c>
      <c r="AT74" s="7">
        <f t="shared" si="4"/>
        <v>142300.7977771498</v>
      </c>
      <c r="AV74" s="7">
        <f t="shared" ref="AV74:AV108" si="6">P74+U74+Z74+AD74+AJ74+AM74</f>
        <v>28558.235118869583</v>
      </c>
    </row>
    <row r="75" spans="3:48" x14ac:dyDescent="0.3">
      <c r="D75" s="61" t="s">
        <v>305</v>
      </c>
      <c r="E75" s="61" t="s">
        <v>305</v>
      </c>
      <c r="F75" s="61"/>
      <c r="G75" s="61"/>
      <c r="H75" s="61"/>
      <c r="I75" s="61" t="s">
        <v>305</v>
      </c>
      <c r="J75" s="61" t="s">
        <v>305</v>
      </c>
      <c r="K75" s="61"/>
      <c r="L75" s="48"/>
      <c r="M75" s="48" t="s">
        <v>126</v>
      </c>
      <c r="N75" s="48">
        <v>5881.2480351939321</v>
      </c>
      <c r="O75" s="48">
        <v>5881.2480351939321</v>
      </c>
      <c r="P75" s="75">
        <v>6317.2690155340015</v>
      </c>
      <c r="Q75" s="48"/>
      <c r="R75" s="48" t="s">
        <v>126</v>
      </c>
      <c r="S75" s="48">
        <v>7612.349162170337</v>
      </c>
      <c r="T75" s="48">
        <v>7612.349162170337</v>
      </c>
      <c r="U75" s="75">
        <v>7799.4788253775978</v>
      </c>
      <c r="W75" t="s">
        <v>126</v>
      </c>
      <c r="X75" s="48">
        <v>27657.825745902235</v>
      </c>
      <c r="Y75" s="48">
        <v>27657.825745902235</v>
      </c>
      <c r="Z75" s="75">
        <v>18934.808413113689</v>
      </c>
      <c r="AA75" s="48"/>
      <c r="AB75" s="48" t="s">
        <v>126</v>
      </c>
      <c r="AC75" s="59">
        <v>80117.815252624699</v>
      </c>
      <c r="AD75" s="82">
        <v>418.26293168593048</v>
      </c>
      <c r="AE75" s="59"/>
      <c r="AF75" s="59"/>
      <c r="AG75" s="59"/>
      <c r="AH75" s="59"/>
      <c r="AI75" s="59"/>
      <c r="AJ75" s="82"/>
      <c r="AK75" s="59"/>
      <c r="AL75" s="59"/>
      <c r="AM75" s="82"/>
      <c r="AN75" s="59"/>
      <c r="AO75" t="s">
        <v>126</v>
      </c>
      <c r="AQ75" s="7">
        <f>+N75+O75+S75+T75+X75+Y75+AC75</f>
        <v>162420.66113915772</v>
      </c>
      <c r="AR75" s="48">
        <v>37670.707897588822</v>
      </c>
      <c r="AT75" s="7">
        <f t="shared" si="4"/>
        <v>200091.36903674653</v>
      </c>
      <c r="AV75" s="7">
        <f t="shared" si="6"/>
        <v>33469.819185711218</v>
      </c>
    </row>
    <row r="76" spans="3:48" x14ac:dyDescent="0.3">
      <c r="D76" s="54"/>
      <c r="E76" s="54"/>
      <c r="F76" s="54"/>
      <c r="G76" s="54"/>
      <c r="H76" s="54"/>
      <c r="I76" s="54"/>
      <c r="J76" s="54"/>
      <c r="K76" s="54"/>
      <c r="L76" s="48"/>
      <c r="M76" s="48" t="s">
        <v>128</v>
      </c>
      <c r="N76" s="48">
        <v>5881.6033404186783</v>
      </c>
      <c r="O76" s="48">
        <v>5881.6033404186783</v>
      </c>
      <c r="P76" s="75">
        <v>6317.6506621970757</v>
      </c>
      <c r="Q76" s="48"/>
      <c r="R76" s="48" t="s">
        <v>128</v>
      </c>
      <c r="S76" s="48">
        <v>6643.6582436605167</v>
      </c>
      <c r="T76" s="48">
        <v>6643.6582436605167</v>
      </c>
      <c r="U76" s="75">
        <v>6806.9751781724744</v>
      </c>
      <c r="W76" t="s">
        <v>128</v>
      </c>
      <c r="X76" s="48">
        <v>27657.825745902242</v>
      </c>
      <c r="Y76" s="48">
        <v>27657.825745902242</v>
      </c>
      <c r="Z76" s="75">
        <v>18934.808413113689</v>
      </c>
      <c r="AA76" s="54"/>
      <c r="AB76" s="48" t="s">
        <v>128</v>
      </c>
      <c r="AC76" s="59">
        <v>70916.287532245493</v>
      </c>
      <c r="AD76" s="82">
        <v>370.22545153024095</v>
      </c>
      <c r="AE76" s="59"/>
      <c r="AF76" s="59"/>
      <c r="AG76" s="59"/>
      <c r="AH76" s="59"/>
      <c r="AI76" s="59"/>
      <c r="AJ76" s="82"/>
      <c r="AK76" s="59"/>
      <c r="AL76" s="59"/>
      <c r="AM76" s="82"/>
      <c r="AN76" s="59"/>
      <c r="AO76" t="s">
        <v>128</v>
      </c>
      <c r="AQ76" s="7">
        <f>+N76+O76+S76+T76+X76+Y76+AC76</f>
        <v>151282.46219220839</v>
      </c>
      <c r="AR76" s="48">
        <v>42568.723305648564</v>
      </c>
      <c r="AT76" s="7">
        <f t="shared" si="4"/>
        <v>193851.18549785696</v>
      </c>
      <c r="AV76" s="7">
        <f t="shared" si="6"/>
        <v>32429.659705013481</v>
      </c>
    </row>
    <row r="77" spans="3:48" x14ac:dyDescent="0.3">
      <c r="D77" s="54"/>
      <c r="E77" s="54"/>
      <c r="F77" s="54"/>
      <c r="G77" s="54"/>
      <c r="H77" s="54"/>
      <c r="I77" s="54"/>
      <c r="J77" s="54"/>
      <c r="K77" s="54"/>
      <c r="L77" s="48"/>
      <c r="M77" s="48" t="s">
        <v>136</v>
      </c>
      <c r="N77" s="48">
        <v>2940.8016702093391</v>
      </c>
      <c r="O77" s="48">
        <v>2940.8016702093391</v>
      </c>
      <c r="P77" s="75">
        <v>3158.8253310985378</v>
      </c>
      <c r="Q77" s="48"/>
      <c r="R77" s="48" t="s">
        <v>136</v>
      </c>
      <c r="S77" s="48">
        <v>3147.5684305610635</v>
      </c>
      <c r="T77" s="48">
        <v>3147.5684305610635</v>
      </c>
      <c r="U77" s="75">
        <v>3224.9431552071369</v>
      </c>
      <c r="W77" t="s">
        <v>136</v>
      </c>
      <c r="X77" s="48">
        <v>13828.912872951118</v>
      </c>
      <c r="Y77" s="48">
        <v>13828.912872951118</v>
      </c>
      <c r="Z77" s="75">
        <v>9467.4042065568447</v>
      </c>
      <c r="AA77" s="48"/>
      <c r="AB77" s="48" t="s">
        <v>136</v>
      </c>
      <c r="AC77" s="59">
        <v>34834.691759996611</v>
      </c>
      <c r="AD77" s="82">
        <v>181.85793326952441</v>
      </c>
      <c r="AE77" s="59"/>
      <c r="AF77" s="59"/>
      <c r="AG77" s="59"/>
      <c r="AH77" s="59"/>
      <c r="AI77" s="59"/>
      <c r="AJ77" s="82"/>
      <c r="AK77" s="59"/>
      <c r="AL77" s="59"/>
      <c r="AM77" s="82"/>
      <c r="AN77" s="59"/>
      <c r="AO77" t="s">
        <v>136</v>
      </c>
      <c r="AQ77" s="7">
        <f>+N77+O77+S77+T77+X77+Y77+AC77</f>
        <v>74669.257707439654</v>
      </c>
      <c r="AR77" s="48">
        <v>20788.473738746172</v>
      </c>
      <c r="AT77" s="7">
        <f t="shared" si="4"/>
        <v>95457.731446185819</v>
      </c>
      <c r="AV77" s="7">
        <f t="shared" si="6"/>
        <v>16033.030626132044</v>
      </c>
    </row>
    <row r="78" spans="3:48" x14ac:dyDescent="0.3">
      <c r="D78" s="48"/>
      <c r="E78" s="48"/>
      <c r="F78" s="48"/>
      <c r="G78" s="48"/>
      <c r="H78" s="48"/>
      <c r="I78" s="48"/>
      <c r="J78" s="48"/>
      <c r="K78" s="48"/>
      <c r="L78" s="48"/>
      <c r="M78" s="48" t="s">
        <v>154</v>
      </c>
      <c r="N78" s="48">
        <v>1176.3206680837357</v>
      </c>
      <c r="O78" s="48">
        <v>1176.3206680837357</v>
      </c>
      <c r="P78" s="75">
        <v>1263.5301324394152</v>
      </c>
      <c r="Q78" s="48"/>
      <c r="R78" s="48" t="s">
        <v>154</v>
      </c>
      <c r="S78" s="48">
        <v>1259.0273722244253</v>
      </c>
      <c r="T78" s="48">
        <v>1259.0273722244253</v>
      </c>
      <c r="U78" s="75">
        <v>1289.9772620828546</v>
      </c>
      <c r="W78" t="s">
        <v>154</v>
      </c>
      <c r="X78" s="48">
        <v>5531.5651491804474</v>
      </c>
      <c r="Y78" s="48">
        <v>5531.5651491804474</v>
      </c>
      <c r="Z78" s="75">
        <v>3786.961682622738</v>
      </c>
      <c r="AA78" s="48"/>
      <c r="AB78" s="48" t="s">
        <v>154</v>
      </c>
      <c r="AC78" s="59">
        <v>13933.876703998645</v>
      </c>
      <c r="AD78" s="82">
        <v>72.743173307809769</v>
      </c>
      <c r="AE78" s="59"/>
      <c r="AF78" s="59"/>
      <c r="AG78" s="59"/>
      <c r="AH78" s="59"/>
      <c r="AI78" s="59"/>
      <c r="AJ78" s="82"/>
      <c r="AK78" s="59"/>
      <c r="AL78" s="59"/>
      <c r="AM78" s="82"/>
      <c r="AN78" s="59"/>
      <c r="AO78" t="s">
        <v>154</v>
      </c>
      <c r="AQ78" s="7">
        <f t="shared" ref="AQ78:AQ126" si="7">+N78+O78+S78+T78+X78+Y78+AC78</f>
        <v>29867.703082975862</v>
      </c>
      <c r="AR78" s="48">
        <v>20788.473738746172</v>
      </c>
      <c r="AT78" s="7">
        <f t="shared" si="4"/>
        <v>50656.176821722038</v>
      </c>
      <c r="AV78" s="7">
        <f t="shared" si="6"/>
        <v>6413.2122504528179</v>
      </c>
    </row>
    <row r="79" spans="3:48" x14ac:dyDescent="0.3">
      <c r="D79" s="48"/>
      <c r="E79" s="48"/>
      <c r="F79" s="48"/>
      <c r="G79" s="48"/>
      <c r="H79" s="48"/>
      <c r="I79" s="48"/>
      <c r="J79" s="48"/>
      <c r="K79" s="48"/>
      <c r="L79" s="48"/>
      <c r="M79" s="48" t="s">
        <v>156</v>
      </c>
      <c r="N79" s="48">
        <v>1176.3206680837357</v>
      </c>
      <c r="O79" s="48">
        <v>1176.3206680837357</v>
      </c>
      <c r="P79" s="75">
        <v>1263.5301324394152</v>
      </c>
      <c r="Q79" s="48"/>
      <c r="R79" s="48" t="s">
        <v>156</v>
      </c>
      <c r="S79" s="48">
        <v>1259.0273722244253</v>
      </c>
      <c r="T79" s="48">
        <v>1259.0273722244253</v>
      </c>
      <c r="U79" s="75">
        <v>1289.9772620828546</v>
      </c>
      <c r="W79" t="s">
        <v>156</v>
      </c>
      <c r="X79" s="48">
        <v>5531.5651491804474</v>
      </c>
      <c r="Y79" s="48">
        <v>5531.5651491804474</v>
      </c>
      <c r="Z79" s="75">
        <v>3786.961682622738</v>
      </c>
      <c r="AA79" s="48"/>
      <c r="AB79" s="48" t="s">
        <v>156</v>
      </c>
      <c r="AC79" s="59">
        <v>13933.876703998645</v>
      </c>
      <c r="AD79" s="82">
        <v>72.743173307809769</v>
      </c>
      <c r="AE79" s="59"/>
      <c r="AF79" s="59"/>
      <c r="AG79" s="59"/>
      <c r="AH79" s="59"/>
      <c r="AI79" s="59"/>
      <c r="AJ79" s="82"/>
      <c r="AK79" s="59"/>
      <c r="AL79" s="59"/>
      <c r="AM79" s="82"/>
      <c r="AN79" s="59"/>
      <c r="AO79" t="s">
        <v>156</v>
      </c>
      <c r="AQ79" s="7">
        <f t="shared" si="7"/>
        <v>29867.703082975862</v>
      </c>
      <c r="AR79" s="48">
        <v>8315.389495498468</v>
      </c>
      <c r="AT79" s="7">
        <f t="shared" si="4"/>
        <v>38183.09257847433</v>
      </c>
      <c r="AV79" s="7">
        <f t="shared" si="6"/>
        <v>6413.2122504528179</v>
      </c>
    </row>
    <row r="80" spans="3:48" x14ac:dyDescent="0.3">
      <c r="D80" s="48"/>
      <c r="E80" s="48"/>
      <c r="F80" s="48"/>
      <c r="G80" s="48"/>
      <c r="H80" s="48"/>
      <c r="I80" s="48"/>
      <c r="J80" s="48"/>
      <c r="K80" s="48"/>
      <c r="L80" s="48"/>
      <c r="M80" s="48" t="s">
        <v>157</v>
      </c>
      <c r="N80" s="48">
        <v>2940.8016702093391</v>
      </c>
      <c r="O80" s="48">
        <v>2940.8016702093391</v>
      </c>
      <c r="P80" s="75">
        <v>3158.8253310985378</v>
      </c>
      <c r="Q80" s="48"/>
      <c r="R80" s="48" t="s">
        <v>157</v>
      </c>
      <c r="S80" s="48">
        <v>3147.5684305610635</v>
      </c>
      <c r="T80" s="48">
        <v>3147.5684305610635</v>
      </c>
      <c r="U80" s="75">
        <v>3224.9431552071369</v>
      </c>
      <c r="W80" t="s">
        <v>157</v>
      </c>
      <c r="X80" s="48">
        <v>13828.912872951118</v>
      </c>
      <c r="Y80" s="48">
        <v>13828.912872951118</v>
      </c>
      <c r="Z80" s="75">
        <v>9467.4042065568447</v>
      </c>
      <c r="AA80" s="48"/>
      <c r="AB80" s="48" t="s">
        <v>157</v>
      </c>
      <c r="AC80" s="59">
        <v>34834.691759996611</v>
      </c>
      <c r="AD80" s="82">
        <v>181.85793326952441</v>
      </c>
      <c r="AE80" s="59"/>
      <c r="AF80" s="59"/>
      <c r="AG80" s="59"/>
      <c r="AH80" s="59"/>
      <c r="AI80" s="59"/>
      <c r="AJ80" s="82"/>
      <c r="AK80" s="59"/>
      <c r="AL80" s="59"/>
      <c r="AM80" s="82"/>
      <c r="AN80" s="59"/>
      <c r="AO80" t="s">
        <v>157</v>
      </c>
      <c r="AQ80" s="7">
        <f t="shared" si="7"/>
        <v>74669.257707439654</v>
      </c>
      <c r="AR80" s="48">
        <v>8315.389495498468</v>
      </c>
      <c r="AT80" s="7">
        <f t="shared" si="4"/>
        <v>82984.647202938126</v>
      </c>
      <c r="AV80" s="7">
        <f t="shared" si="6"/>
        <v>16033.030626132044</v>
      </c>
    </row>
    <row r="81" spans="4:48" x14ac:dyDescent="0.3">
      <c r="D81" s="48"/>
      <c r="E81" s="48"/>
      <c r="F81" s="48"/>
      <c r="G81" s="48"/>
      <c r="H81" s="48"/>
      <c r="I81" s="48"/>
      <c r="J81" s="48"/>
      <c r="K81" s="48"/>
      <c r="L81" s="48"/>
      <c r="M81" s="48" t="s">
        <v>159</v>
      </c>
      <c r="N81" s="48">
        <v>1176.3206680837357</v>
      </c>
      <c r="O81" s="48">
        <v>1176.3206680837357</v>
      </c>
      <c r="P81" s="75">
        <v>1263.5301324394152</v>
      </c>
      <c r="Q81" s="48"/>
      <c r="R81" s="48" t="s">
        <v>159</v>
      </c>
      <c r="S81" s="48">
        <v>1259.0273722244253</v>
      </c>
      <c r="T81" s="48">
        <v>1259.0273722244253</v>
      </c>
      <c r="U81" s="75">
        <v>1289.9772620828546</v>
      </c>
      <c r="W81" t="s">
        <v>159</v>
      </c>
      <c r="X81" s="48">
        <v>5531.5651491804474</v>
      </c>
      <c r="Y81" s="48">
        <v>5531.5651491804474</v>
      </c>
      <c r="Z81" s="75">
        <v>3786.961682622738</v>
      </c>
      <c r="AA81" s="48"/>
      <c r="AB81" s="48" t="s">
        <v>159</v>
      </c>
      <c r="AC81" s="59">
        <v>13933.876703998645</v>
      </c>
      <c r="AD81" s="82">
        <v>72.743173307809769</v>
      </c>
      <c r="AE81" s="59"/>
      <c r="AF81" s="59"/>
      <c r="AG81" s="59"/>
      <c r="AH81" s="59"/>
      <c r="AI81" s="59"/>
      <c r="AJ81" s="82"/>
      <c r="AK81" s="59"/>
      <c r="AL81" s="59"/>
      <c r="AM81" s="82"/>
      <c r="AN81" s="59"/>
      <c r="AO81" t="s">
        <v>159</v>
      </c>
      <c r="AQ81" s="7">
        <f t="shared" si="7"/>
        <v>29867.703082975862</v>
      </c>
      <c r="AR81" s="48">
        <v>8315.389495498468</v>
      </c>
      <c r="AT81" s="7">
        <f t="shared" si="4"/>
        <v>38183.09257847433</v>
      </c>
      <c r="AV81" s="7">
        <f t="shared" si="6"/>
        <v>6413.2122504528179</v>
      </c>
    </row>
    <row r="82" spans="4:48" x14ac:dyDescent="0.3">
      <c r="D82" s="48"/>
      <c r="E82" s="48"/>
      <c r="F82" s="48"/>
      <c r="G82" s="48"/>
      <c r="H82" s="48"/>
      <c r="I82" s="48"/>
      <c r="J82" s="48"/>
      <c r="K82" s="48"/>
      <c r="L82" s="48"/>
      <c r="M82" s="48" t="s">
        <v>162</v>
      </c>
      <c r="N82" s="48">
        <v>2940.8016702093391</v>
      </c>
      <c r="O82" s="48">
        <v>2940.8016702093391</v>
      </c>
      <c r="P82" s="75">
        <v>3158.8253310985378</v>
      </c>
      <c r="Q82" s="48"/>
      <c r="R82" s="48" t="s">
        <v>162</v>
      </c>
      <c r="S82" s="48">
        <v>3147.5684305610635</v>
      </c>
      <c r="T82" s="48">
        <v>3147.5684305610635</v>
      </c>
      <c r="U82" s="75">
        <v>3224.9431552071369</v>
      </c>
      <c r="W82" t="s">
        <v>162</v>
      </c>
      <c r="X82" s="48">
        <v>13828.912872951118</v>
      </c>
      <c r="Y82" s="48">
        <v>13828.912872951118</v>
      </c>
      <c r="Z82" s="75">
        <v>9467.4042065568447</v>
      </c>
      <c r="AA82" s="48"/>
      <c r="AB82" s="48" t="s">
        <v>162</v>
      </c>
      <c r="AC82" s="59">
        <v>34834.691759996611</v>
      </c>
      <c r="AD82" s="82">
        <v>181.85793326952441</v>
      </c>
      <c r="AE82" s="59"/>
      <c r="AF82" s="59"/>
      <c r="AG82" s="59"/>
      <c r="AH82" s="59"/>
      <c r="AI82" s="59"/>
      <c r="AJ82" s="82"/>
      <c r="AK82" s="59"/>
      <c r="AL82" s="59"/>
      <c r="AM82" s="82"/>
      <c r="AN82" s="59"/>
      <c r="AO82" t="s">
        <v>162</v>
      </c>
      <c r="AQ82" s="7">
        <f t="shared" si="7"/>
        <v>74669.257707439654</v>
      </c>
      <c r="AR82" s="48">
        <v>20788.473738746172</v>
      </c>
      <c r="AT82" s="7">
        <f t="shared" si="4"/>
        <v>95457.731446185819</v>
      </c>
      <c r="AV82" s="7">
        <f t="shared" si="6"/>
        <v>16033.030626132044</v>
      </c>
    </row>
    <row r="83" spans="4:48" x14ac:dyDescent="0.3">
      <c r="D83" s="48"/>
      <c r="E83" s="48"/>
      <c r="F83" s="48"/>
      <c r="G83" s="48"/>
      <c r="H83" s="48"/>
      <c r="I83" s="48"/>
      <c r="J83" s="48"/>
      <c r="K83" s="48"/>
      <c r="L83" s="48"/>
      <c r="M83" s="48" t="s">
        <v>163</v>
      </c>
      <c r="N83" s="48">
        <v>2940.8016702093391</v>
      </c>
      <c r="O83" s="48">
        <v>2940.8016702093391</v>
      </c>
      <c r="P83" s="75">
        <v>3158.8253310985378</v>
      </c>
      <c r="Q83" s="48"/>
      <c r="R83" s="48" t="s">
        <v>163</v>
      </c>
      <c r="S83" s="48">
        <v>3666.6101555469618</v>
      </c>
      <c r="T83" s="48">
        <v>3666.6101555469618</v>
      </c>
      <c r="U83" s="75">
        <v>3756.7441613450092</v>
      </c>
      <c r="W83" t="s">
        <v>163</v>
      </c>
      <c r="X83" s="48">
        <v>13828.912872951118</v>
      </c>
      <c r="Y83" s="48">
        <v>13828.912872951118</v>
      </c>
      <c r="Z83" s="75">
        <v>9467.4042065568447</v>
      </c>
      <c r="AA83" s="48"/>
      <c r="AB83" s="48" t="s">
        <v>163</v>
      </c>
      <c r="AC83" s="59">
        <v>38590.03164297255</v>
      </c>
      <c r="AD83" s="82">
        <v>201.463054352493</v>
      </c>
      <c r="AE83" s="59"/>
      <c r="AF83" s="59"/>
      <c r="AG83" s="59"/>
      <c r="AH83" s="59"/>
      <c r="AI83" s="59"/>
      <c r="AJ83" s="82"/>
      <c r="AK83" s="59"/>
      <c r="AL83" s="59"/>
      <c r="AM83" s="82"/>
      <c r="AN83" s="59"/>
      <c r="AO83" t="s">
        <v>163</v>
      </c>
      <c r="AQ83" s="7">
        <f t="shared" si="7"/>
        <v>79462.681040387382</v>
      </c>
      <c r="AR83" s="48">
        <v>21550.974738554487</v>
      </c>
      <c r="AT83" s="7">
        <f t="shared" si="4"/>
        <v>101013.65577894187</v>
      </c>
      <c r="AV83" s="7">
        <f t="shared" si="6"/>
        <v>16584.436753352886</v>
      </c>
    </row>
    <row r="84" spans="4:48" x14ac:dyDescent="0.3">
      <c r="D84" s="48"/>
      <c r="E84" s="48"/>
      <c r="F84" s="48"/>
      <c r="G84" s="48"/>
      <c r="H84" s="48"/>
      <c r="I84" s="48"/>
      <c r="J84" s="48"/>
      <c r="K84" s="48"/>
      <c r="L84" s="48"/>
      <c r="M84" s="48" t="s">
        <v>166</v>
      </c>
      <c r="N84" s="48">
        <v>2940.8016702093391</v>
      </c>
      <c r="O84" s="48">
        <v>2940.8016702093391</v>
      </c>
      <c r="P84" s="75">
        <v>3158.8253310985378</v>
      </c>
      <c r="Q84" s="48"/>
      <c r="R84" s="48" t="s">
        <v>166</v>
      </c>
      <c r="S84" s="48">
        <v>3147.5684305610635</v>
      </c>
      <c r="T84" s="48">
        <v>3147.5684305610635</v>
      </c>
      <c r="U84" s="75">
        <v>3224.9431552071369</v>
      </c>
      <c r="W84" t="s">
        <v>166</v>
      </c>
      <c r="X84" s="48">
        <v>13828.912872951118</v>
      </c>
      <c r="Y84" s="48">
        <v>13828.912872951118</v>
      </c>
      <c r="Z84" s="75">
        <v>9467.4042065568447</v>
      </c>
      <c r="AA84" s="48"/>
      <c r="AB84" s="48" t="s">
        <v>166</v>
      </c>
      <c r="AC84" s="59">
        <v>34834.691759996611</v>
      </c>
      <c r="AD84" s="82">
        <v>181.85793326952441</v>
      </c>
      <c r="AE84" s="59"/>
      <c r="AF84" s="59"/>
      <c r="AG84" s="59"/>
      <c r="AH84" s="59"/>
      <c r="AI84" s="59"/>
      <c r="AJ84" s="82"/>
      <c r="AK84" s="59"/>
      <c r="AL84" s="59"/>
      <c r="AM84" s="82"/>
      <c r="AN84" s="59"/>
      <c r="AO84" t="s">
        <v>166</v>
      </c>
      <c r="AQ84" s="7">
        <f t="shared" si="7"/>
        <v>74669.257707439654</v>
      </c>
      <c r="AR84" s="48">
        <v>20788.473738746172</v>
      </c>
      <c r="AT84" s="7">
        <f t="shared" si="4"/>
        <v>95457.731446185819</v>
      </c>
      <c r="AV84" s="7">
        <f t="shared" si="6"/>
        <v>16033.030626132044</v>
      </c>
    </row>
    <row r="85" spans="4:48" x14ac:dyDescent="0.3">
      <c r="D85" s="48"/>
      <c r="E85" s="48"/>
      <c r="F85" s="48"/>
      <c r="G85" s="48"/>
      <c r="H85" s="48"/>
      <c r="I85" s="48"/>
      <c r="J85" s="48"/>
      <c r="K85" s="48"/>
      <c r="L85" s="48"/>
      <c r="M85" s="48" t="s">
        <v>170</v>
      </c>
      <c r="N85" s="48">
        <v>1176.3206680837368</v>
      </c>
      <c r="O85" s="48">
        <v>1176.3206680837368</v>
      </c>
      <c r="P85" s="75">
        <v>1263.5301324394163</v>
      </c>
      <c r="Q85" s="48"/>
      <c r="R85" s="48" t="s">
        <v>170</v>
      </c>
      <c r="S85" s="48">
        <v>1259.0273722244253</v>
      </c>
      <c r="T85" s="48">
        <v>1259.0273722244253</v>
      </c>
      <c r="U85" s="75">
        <v>1289.9772620828546</v>
      </c>
      <c r="W85" t="s">
        <v>170</v>
      </c>
      <c r="X85" s="48">
        <v>5531.5651491804474</v>
      </c>
      <c r="Y85" s="48">
        <v>5531.5651491804474</v>
      </c>
      <c r="Z85" s="75">
        <v>3786.961682622738</v>
      </c>
      <c r="AA85" s="48"/>
      <c r="AB85" s="48" t="s">
        <v>170</v>
      </c>
      <c r="AC85" s="59">
        <v>13933.876703998645</v>
      </c>
      <c r="AD85" s="82">
        <v>72.743173307809769</v>
      </c>
      <c r="AE85" s="59"/>
      <c r="AF85" s="59"/>
      <c r="AG85" s="59"/>
      <c r="AH85" s="59"/>
      <c r="AI85" s="59"/>
      <c r="AJ85" s="82"/>
      <c r="AK85" s="59"/>
      <c r="AL85" s="59"/>
      <c r="AM85" s="82"/>
      <c r="AN85" s="59"/>
      <c r="AO85" t="s">
        <v>170</v>
      </c>
      <c r="AQ85" s="7">
        <f t="shared" si="7"/>
        <v>29867.703082975866</v>
      </c>
      <c r="AR85" s="48">
        <v>7486.259937979502</v>
      </c>
      <c r="AT85" s="7">
        <f t="shared" si="4"/>
        <v>37353.963020955365</v>
      </c>
      <c r="AV85" s="7">
        <f t="shared" si="6"/>
        <v>6413.2122504528197</v>
      </c>
    </row>
    <row r="86" spans="4:48" x14ac:dyDescent="0.3">
      <c r="D86" s="48"/>
      <c r="E86" s="48"/>
      <c r="F86" s="48"/>
      <c r="G86" s="48"/>
      <c r="H86" s="48"/>
      <c r="I86" s="48"/>
      <c r="J86" s="48"/>
      <c r="K86" s="48"/>
      <c r="L86" s="48"/>
      <c r="M86" s="48" t="s">
        <v>171</v>
      </c>
      <c r="N86" s="48">
        <v>3136.9429454520337</v>
      </c>
      <c r="O86" s="48">
        <v>3136.9429454520337</v>
      </c>
      <c r="P86" s="75">
        <v>3369.5080286047896</v>
      </c>
      <c r="Q86" s="48"/>
      <c r="R86" s="48" t="s">
        <v>171</v>
      </c>
      <c r="S86" s="48">
        <v>4060.2785088625369</v>
      </c>
      <c r="T86" s="48">
        <v>4060.2785088625369</v>
      </c>
      <c r="U86" s="75">
        <v>4160.0898198921141</v>
      </c>
      <c r="W86" t="s">
        <v>171</v>
      </c>
      <c r="X86" s="48">
        <v>13828.912872951118</v>
      </c>
      <c r="Y86" s="48">
        <v>13828.912872951118</v>
      </c>
      <c r="Z86" s="75">
        <v>9467.4042065568447</v>
      </c>
      <c r="AA86" s="48"/>
      <c r="AB86" s="48" t="s">
        <v>171</v>
      </c>
      <c r="AC86" s="59">
        <v>42733.279375023492</v>
      </c>
      <c r="AD86" s="82">
        <v>223.09328650054121</v>
      </c>
      <c r="AE86" s="59"/>
      <c r="AF86" s="59"/>
      <c r="AG86" s="59"/>
      <c r="AH86" s="59"/>
      <c r="AI86" s="59"/>
      <c r="AJ86" s="82"/>
      <c r="AK86" s="59"/>
      <c r="AL86" s="59"/>
      <c r="AM86" s="82"/>
      <c r="AN86" s="36"/>
      <c r="AO86" t="s">
        <v>272</v>
      </c>
      <c r="AQ86" s="7">
        <f t="shared" si="7"/>
        <v>84785.548029554862</v>
      </c>
      <c r="AR86" s="48">
        <v>22636.476168284684</v>
      </c>
      <c r="AT86" s="7">
        <f t="shared" si="4"/>
        <v>107422.02419783955</v>
      </c>
      <c r="AV86" s="7">
        <f t="shared" si="6"/>
        <v>17220.09534155429</v>
      </c>
    </row>
    <row r="87" spans="4:48" x14ac:dyDescent="0.3">
      <c r="D87" s="48"/>
      <c r="E87" s="48"/>
      <c r="F87" s="48"/>
      <c r="G87" s="48"/>
      <c r="H87" s="48"/>
      <c r="I87" s="48"/>
      <c r="J87" s="48"/>
      <c r="K87" s="48"/>
      <c r="L87" s="48"/>
      <c r="M87" s="48" t="s">
        <v>172</v>
      </c>
      <c r="N87" s="48">
        <v>2940.8016702093391</v>
      </c>
      <c r="O87" s="48">
        <v>2940.8016702093391</v>
      </c>
      <c r="P87" s="75">
        <v>3158.8253310985378</v>
      </c>
      <c r="Q87" s="48"/>
      <c r="R87" s="48" t="s">
        <v>172</v>
      </c>
      <c r="S87" s="48">
        <v>3147.5684305610635</v>
      </c>
      <c r="T87" s="48">
        <v>3147.5684305610635</v>
      </c>
      <c r="U87" s="75">
        <v>3224.9431552071369</v>
      </c>
      <c r="W87" t="s">
        <v>172</v>
      </c>
      <c r="X87" s="48">
        <v>13828.912872951118</v>
      </c>
      <c r="Y87" s="48">
        <v>13828.912872951118</v>
      </c>
      <c r="Z87" s="75">
        <v>9467.4042065568447</v>
      </c>
      <c r="AA87" s="48"/>
      <c r="AB87" s="48" t="s">
        <v>172</v>
      </c>
      <c r="AC87" s="59">
        <v>34834.691759996611</v>
      </c>
      <c r="AD87" s="82">
        <v>181.85793326952441</v>
      </c>
      <c r="AE87" s="59"/>
      <c r="AF87" s="59"/>
      <c r="AG87" s="59"/>
      <c r="AH87" s="59"/>
      <c r="AI87" s="62"/>
      <c r="AJ87" s="84"/>
      <c r="AK87" s="62"/>
      <c r="AL87" s="62"/>
      <c r="AM87" s="84"/>
      <c r="AN87" s="41"/>
      <c r="AO87" t="s">
        <v>273</v>
      </c>
      <c r="AQ87" s="7">
        <f t="shared" si="7"/>
        <v>74669.257707439654</v>
      </c>
      <c r="AR87" s="48">
        <v>20788.473738746172</v>
      </c>
      <c r="AT87" s="7">
        <f t="shared" si="4"/>
        <v>95457.731446185819</v>
      </c>
      <c r="AV87" s="7">
        <f t="shared" si="6"/>
        <v>16033.030626132044</v>
      </c>
    </row>
    <row r="88" spans="4:48" x14ac:dyDescent="0.3">
      <c r="D88" s="48"/>
      <c r="E88" s="48"/>
      <c r="F88" s="48"/>
      <c r="G88" s="48"/>
      <c r="H88" s="48"/>
      <c r="I88" s="48"/>
      <c r="J88" s="48"/>
      <c r="K88" s="48"/>
      <c r="L88" s="48"/>
      <c r="M88" s="48" t="s">
        <v>175</v>
      </c>
      <c r="N88" s="48">
        <v>1176.3206680837357</v>
      </c>
      <c r="O88" s="48">
        <v>1176.3206680837357</v>
      </c>
      <c r="P88" s="75">
        <v>1263.5301324394152</v>
      </c>
      <c r="Q88" s="48"/>
      <c r="R88" s="48" t="s">
        <v>175</v>
      </c>
      <c r="S88" s="48">
        <v>1259.0273722244253</v>
      </c>
      <c r="T88" s="48">
        <v>1259.0273722244253</v>
      </c>
      <c r="U88" s="75">
        <v>1289.9772620828546</v>
      </c>
      <c r="X88" s="48"/>
      <c r="Y88" s="48"/>
      <c r="Z88" s="75"/>
      <c r="AA88" s="48"/>
      <c r="AB88" s="48"/>
      <c r="AC88" s="36"/>
      <c r="AD88" s="82"/>
      <c r="AE88" s="59"/>
      <c r="AF88" s="59"/>
      <c r="AG88" s="36"/>
      <c r="AH88" s="59"/>
      <c r="AI88" s="59"/>
      <c r="AJ88" s="82"/>
      <c r="AK88" s="59"/>
      <c r="AL88" s="59"/>
      <c r="AM88" s="82"/>
      <c r="AN88" s="36"/>
      <c r="AO88" t="s">
        <v>274</v>
      </c>
      <c r="AQ88" s="7">
        <f t="shared" si="7"/>
        <v>4870.6960806163224</v>
      </c>
      <c r="AR88" s="48">
        <v>3571.4640745660031</v>
      </c>
      <c r="AT88" s="7">
        <f t="shared" si="4"/>
        <v>8442.160155182326</v>
      </c>
      <c r="AV88" s="7">
        <f t="shared" si="6"/>
        <v>2553.5073945222698</v>
      </c>
    </row>
    <row r="89" spans="4:48" x14ac:dyDescent="0.3">
      <c r="D89" s="48"/>
      <c r="E89" s="48"/>
      <c r="F89" s="48"/>
      <c r="G89" s="48"/>
      <c r="H89" s="48"/>
      <c r="I89" s="48"/>
      <c r="J89" s="48"/>
      <c r="K89" s="48"/>
      <c r="L89" s="48"/>
      <c r="M89" s="48" t="s">
        <v>177</v>
      </c>
      <c r="N89" s="48">
        <v>4352.7683305790115</v>
      </c>
      <c r="O89" s="48">
        <v>4352.7683305790115</v>
      </c>
      <c r="P89" s="75">
        <v>4675.4716587391349</v>
      </c>
      <c r="Q89" s="48"/>
      <c r="R89" s="48" t="s">
        <v>177</v>
      </c>
      <c r="S89" s="48">
        <v>5633.9729520202281</v>
      </c>
      <c r="T89" s="48">
        <v>5633.9729520202281</v>
      </c>
      <c r="U89" s="75">
        <v>5772.4694185603639</v>
      </c>
      <c r="W89" t="s">
        <v>177</v>
      </c>
      <c r="X89" s="48">
        <v>13828.912872951118</v>
      </c>
      <c r="Y89" s="48">
        <v>13828.912872951118</v>
      </c>
      <c r="Z89" s="75">
        <v>9467.4042065568447</v>
      </c>
      <c r="AA89" s="48"/>
      <c r="AB89" s="48" t="s">
        <v>177</v>
      </c>
      <c r="AC89" s="59">
        <v>59295.966920617298</v>
      </c>
      <c r="AD89" s="82">
        <v>309.56042527079325</v>
      </c>
      <c r="AE89" s="59"/>
      <c r="AF89" s="59"/>
      <c r="AG89" s="59"/>
      <c r="AH89" s="59"/>
      <c r="AI89" s="59"/>
      <c r="AJ89" s="82"/>
      <c r="AK89" s="59"/>
      <c r="AL89" s="59"/>
      <c r="AM89" s="82"/>
      <c r="AN89" s="36"/>
      <c r="AO89" t="s">
        <v>275</v>
      </c>
      <c r="AQ89" s="7">
        <f t="shared" si="7"/>
        <v>106927.27523171801</v>
      </c>
      <c r="AR89" s="48">
        <v>26986.779764616716</v>
      </c>
      <c r="AT89" s="7">
        <f t="shared" si="4"/>
        <v>133914.05499633471</v>
      </c>
      <c r="AV89" s="7">
        <f t="shared" si="6"/>
        <v>20224.905709127139</v>
      </c>
    </row>
    <row r="90" spans="4:48" x14ac:dyDescent="0.3">
      <c r="D90" s="48"/>
      <c r="E90" s="48"/>
      <c r="F90" s="48"/>
      <c r="G90" s="48"/>
      <c r="H90" s="48"/>
      <c r="I90" s="48"/>
      <c r="J90" s="48"/>
      <c r="K90" s="48"/>
      <c r="L90" s="48"/>
      <c r="M90" s="48" t="s">
        <v>179</v>
      </c>
      <c r="N90" s="48">
        <v>1176.3206680837357</v>
      </c>
      <c r="O90" s="48">
        <v>1176.3206680837357</v>
      </c>
      <c r="P90" s="75">
        <v>1263.5301324394152</v>
      </c>
      <c r="Q90" s="48"/>
      <c r="R90" s="48" t="s">
        <v>179</v>
      </c>
      <c r="S90" s="48">
        <v>1259.0273722244256</v>
      </c>
      <c r="T90" s="48">
        <v>1259.0273722244256</v>
      </c>
      <c r="U90" s="75">
        <v>1289.9772620828548</v>
      </c>
      <c r="W90" t="s">
        <v>179</v>
      </c>
      <c r="X90" s="48">
        <v>5531.5651491804474</v>
      </c>
      <c r="Y90" s="48">
        <v>5531.5651491804474</v>
      </c>
      <c r="Z90" s="75">
        <v>3786.961682622738</v>
      </c>
      <c r="AA90" s="48"/>
      <c r="AB90" s="48" t="s">
        <v>179</v>
      </c>
      <c r="AC90" s="59">
        <v>13933.876703998645</v>
      </c>
      <c r="AD90" s="82">
        <v>72.743173307809769</v>
      </c>
      <c r="AE90" s="59"/>
      <c r="AF90" s="59"/>
      <c r="AG90" s="59"/>
      <c r="AH90" s="59"/>
      <c r="AI90" s="59"/>
      <c r="AJ90" s="82"/>
      <c r="AK90" s="59"/>
      <c r="AL90" s="59"/>
      <c r="AM90" s="82"/>
      <c r="AN90" s="37"/>
      <c r="AO90" t="s">
        <v>276</v>
      </c>
      <c r="AQ90" s="7">
        <f t="shared" si="7"/>
        <v>29867.703082975862</v>
      </c>
      <c r="AR90" s="48">
        <v>7486.259937979502</v>
      </c>
      <c r="AT90" s="7">
        <f t="shared" si="4"/>
        <v>37353.963020955365</v>
      </c>
      <c r="AV90" s="7">
        <f t="shared" si="6"/>
        <v>6413.2122504528179</v>
      </c>
    </row>
    <row r="91" spans="4:48" x14ac:dyDescent="0.3">
      <c r="D91" s="48"/>
      <c r="E91" s="48"/>
      <c r="F91" s="48"/>
      <c r="G91" s="48"/>
      <c r="H91" s="48"/>
      <c r="I91" s="48"/>
      <c r="J91" s="48"/>
      <c r="K91" s="48"/>
      <c r="L91" s="48"/>
      <c r="M91" s="48" t="s">
        <v>180</v>
      </c>
      <c r="N91" s="48">
        <v>2940.8016702093391</v>
      </c>
      <c r="O91" s="48">
        <v>2940.8016702093391</v>
      </c>
      <c r="P91" s="75">
        <v>3158.8253310985378</v>
      </c>
      <c r="Q91" s="48"/>
      <c r="R91" s="48" t="s">
        <v>180</v>
      </c>
      <c r="S91" s="48">
        <v>3147.5684305610635</v>
      </c>
      <c r="T91" s="48">
        <v>3147.5684305610635</v>
      </c>
      <c r="U91" s="75">
        <v>3224.9431552071369</v>
      </c>
      <c r="W91" t="s">
        <v>180</v>
      </c>
      <c r="X91" s="48">
        <v>13828.912872951118</v>
      </c>
      <c r="Y91" s="48">
        <v>13828.912872951118</v>
      </c>
      <c r="Z91" s="75">
        <v>9467.4042065568447</v>
      </c>
      <c r="AA91" s="48"/>
      <c r="AB91" s="48" t="s">
        <v>180</v>
      </c>
      <c r="AC91" s="59">
        <v>34834.691759996618</v>
      </c>
      <c r="AD91" s="82">
        <v>181.85793326952441</v>
      </c>
      <c r="AE91" s="59"/>
      <c r="AF91" s="59"/>
      <c r="AG91" s="59"/>
      <c r="AH91" s="59"/>
      <c r="AI91" s="48"/>
      <c r="AJ91" s="75"/>
      <c r="AK91" s="48"/>
      <c r="AL91" s="48"/>
      <c r="AM91" s="75"/>
      <c r="AO91" t="s">
        <v>277</v>
      </c>
      <c r="AQ91" s="7">
        <f t="shared" si="7"/>
        <v>74669.257707439654</v>
      </c>
      <c r="AR91" s="48">
        <v>20788.473738746172</v>
      </c>
      <c r="AT91" s="7">
        <f t="shared" si="4"/>
        <v>95457.731446185819</v>
      </c>
      <c r="AV91" s="7">
        <f t="shared" si="6"/>
        <v>16033.030626132044</v>
      </c>
    </row>
    <row r="92" spans="4:48" x14ac:dyDescent="0.3">
      <c r="D92" s="48"/>
      <c r="E92" s="48"/>
      <c r="F92" s="48"/>
      <c r="G92" s="48"/>
      <c r="H92" s="48"/>
      <c r="I92" s="48"/>
      <c r="J92" s="48"/>
      <c r="K92" s="48"/>
      <c r="L92" s="48"/>
      <c r="M92" s="48" t="s">
        <v>181</v>
      </c>
      <c r="N92" s="48">
        <v>2940.8016702093391</v>
      </c>
      <c r="O92" s="48">
        <v>2940.8016702093391</v>
      </c>
      <c r="P92" s="75">
        <v>3158.8253310985378</v>
      </c>
      <c r="Q92" s="48"/>
      <c r="R92" s="48" t="s">
        <v>181</v>
      </c>
      <c r="S92" s="48">
        <v>3147.5684305610635</v>
      </c>
      <c r="T92" s="48">
        <v>3147.5684305610635</v>
      </c>
      <c r="U92" s="75">
        <v>3224.9431552071369</v>
      </c>
      <c r="X92" s="48"/>
      <c r="Y92" s="48"/>
      <c r="Z92" s="75"/>
      <c r="AA92" s="48"/>
      <c r="AB92" s="48"/>
      <c r="AD92" s="82"/>
      <c r="AE92" s="59"/>
      <c r="AF92" s="59"/>
      <c r="AH92" s="48"/>
      <c r="AI92" s="48"/>
      <c r="AJ92" s="75"/>
      <c r="AK92" s="48"/>
      <c r="AL92" s="48"/>
      <c r="AM92" s="75"/>
      <c r="AO92" t="s">
        <v>278</v>
      </c>
      <c r="AQ92" s="7">
        <f t="shared" si="7"/>
        <v>12176.740201540804</v>
      </c>
      <c r="AR92" s="48">
        <v>8928.6601864150089</v>
      </c>
      <c r="AT92" s="7">
        <f t="shared" si="4"/>
        <v>21105.400387955815</v>
      </c>
      <c r="AV92" s="7">
        <f t="shared" si="6"/>
        <v>6383.7684863056747</v>
      </c>
    </row>
    <row r="93" spans="4:48" x14ac:dyDescent="0.3">
      <c r="D93" s="48"/>
      <c r="E93" s="48"/>
      <c r="F93" s="48"/>
      <c r="G93" s="48"/>
      <c r="H93" s="48"/>
      <c r="I93" s="48"/>
      <c r="J93" s="48"/>
      <c r="K93" s="48"/>
      <c r="L93" s="48"/>
      <c r="M93" s="48" t="s">
        <v>182</v>
      </c>
      <c r="N93" s="48">
        <v>2940.8016702093391</v>
      </c>
      <c r="O93" s="48">
        <v>2940.8016702093391</v>
      </c>
      <c r="P93" s="75">
        <v>3158.8253310985378</v>
      </c>
      <c r="Q93" s="48"/>
      <c r="R93" s="48" t="s">
        <v>182</v>
      </c>
      <c r="S93" s="48">
        <v>3147.5684305610635</v>
      </c>
      <c r="T93" s="48">
        <v>3147.5684305610635</v>
      </c>
      <c r="U93" s="75">
        <v>3224.9431552071369</v>
      </c>
      <c r="W93" t="s">
        <v>182</v>
      </c>
      <c r="X93" s="48">
        <v>13828.912872951118</v>
      </c>
      <c r="Y93" s="48">
        <v>13828.912872951118</v>
      </c>
      <c r="Z93" s="75">
        <v>9467.4042065568447</v>
      </c>
      <c r="AA93" s="48"/>
      <c r="AB93" s="48" t="s">
        <v>182</v>
      </c>
      <c r="AC93" s="59">
        <v>34834.691759996611</v>
      </c>
      <c r="AD93" s="82">
        <v>181.85793326952441</v>
      </c>
      <c r="AE93" s="59"/>
      <c r="AF93" s="59"/>
      <c r="AG93" s="59"/>
      <c r="AH93" s="59"/>
      <c r="AI93" s="48"/>
      <c r="AJ93" s="75"/>
      <c r="AK93" s="48"/>
      <c r="AL93" s="48"/>
      <c r="AM93" s="75"/>
      <c r="AO93" t="s">
        <v>279</v>
      </c>
      <c r="AQ93" s="7">
        <f t="shared" si="7"/>
        <v>74669.257707439654</v>
      </c>
      <c r="AR93" s="48">
        <v>18715.649844948755</v>
      </c>
      <c r="AT93" s="7">
        <f t="shared" si="4"/>
        <v>93384.907552388409</v>
      </c>
      <c r="AV93" s="7">
        <f t="shared" si="6"/>
        <v>16033.030626132044</v>
      </c>
    </row>
    <row r="94" spans="4:48" x14ac:dyDescent="0.3">
      <c r="D94" s="48"/>
      <c r="E94" s="48"/>
      <c r="F94" s="48"/>
      <c r="G94" s="48"/>
      <c r="H94" s="48"/>
      <c r="I94" s="48"/>
      <c r="J94" s="48"/>
      <c r="K94" s="48"/>
      <c r="L94" s="48"/>
      <c r="M94" s="48" t="s">
        <v>183</v>
      </c>
      <c r="N94" s="48">
        <v>3379.7298497293336</v>
      </c>
      <c r="O94" s="48">
        <v>3379.7298497293336</v>
      </c>
      <c r="P94" s="75">
        <v>3630.2945451044006</v>
      </c>
      <c r="Q94" s="48"/>
      <c r="R94" s="48" t="s">
        <v>183</v>
      </c>
      <c r="S94" s="48">
        <v>4374.5279124417712</v>
      </c>
      <c r="T94" s="48">
        <v>4374.53</v>
      </c>
      <c r="U94" s="75">
        <v>4482.0642218656803</v>
      </c>
      <c r="W94" t="s">
        <v>183</v>
      </c>
      <c r="X94" s="48">
        <v>13828.912872951118</v>
      </c>
      <c r="Y94" s="48">
        <v>13828.912872951118</v>
      </c>
      <c r="Z94" s="75">
        <v>9467.4042065568447</v>
      </c>
      <c r="AA94" s="48"/>
      <c r="AB94" s="48" t="s">
        <v>183</v>
      </c>
      <c r="AC94" s="59">
        <v>46040.665192837259</v>
      </c>
      <c r="AD94" s="82">
        <v>240.35981934362115</v>
      </c>
      <c r="AE94" s="59"/>
      <c r="AF94" s="59"/>
      <c r="AG94" s="59"/>
      <c r="AH94" s="59"/>
      <c r="AI94" s="48"/>
      <c r="AJ94" s="75"/>
      <c r="AK94" s="48"/>
      <c r="AL94" s="48"/>
      <c r="AM94" s="75"/>
      <c r="AO94" t="s">
        <v>280</v>
      </c>
      <c r="AQ94" s="7">
        <f t="shared" si="7"/>
        <v>89207.008550639934</v>
      </c>
      <c r="AR94" s="48">
        <v>20954.026998816644</v>
      </c>
      <c r="AT94" s="7">
        <f t="shared" si="4"/>
        <v>110161.03554945657</v>
      </c>
      <c r="AV94" s="7">
        <f>P94+U94+Z94+AD94+AJ94+AM94</f>
        <v>17820.122792870548</v>
      </c>
    </row>
    <row r="95" spans="4:48" x14ac:dyDescent="0.3">
      <c r="D95" s="48"/>
      <c r="E95" s="48"/>
      <c r="F95" s="48"/>
      <c r="G95" s="48"/>
      <c r="H95" s="48"/>
      <c r="I95" s="48"/>
      <c r="J95" s="48"/>
      <c r="K95" s="48"/>
      <c r="L95" s="48"/>
      <c r="M95" s="48" t="s">
        <v>188</v>
      </c>
      <c r="N95" s="48">
        <v>28643.843915809168</v>
      </c>
      <c r="O95" s="48">
        <v>28643.843915809168</v>
      </c>
      <c r="P95" s="75">
        <v>30767.426670717959</v>
      </c>
      <c r="Q95" s="48"/>
      <c r="R95" s="48"/>
      <c r="S95" s="48"/>
      <c r="T95" s="48"/>
      <c r="U95" s="75"/>
      <c r="W95" t="s">
        <v>188</v>
      </c>
      <c r="X95" s="48">
        <v>71360.606003353954</v>
      </c>
      <c r="Y95" s="48">
        <v>71360.606003353954</v>
      </c>
      <c r="Z95" s="75">
        <v>48854.144043386717</v>
      </c>
      <c r="AA95" s="48"/>
      <c r="AB95" s="48" t="s">
        <v>188</v>
      </c>
      <c r="AC95" s="59">
        <v>390203.2665922317</v>
      </c>
      <c r="AD95" s="82">
        <v>2037.0945179130651</v>
      </c>
      <c r="AE95" s="59"/>
      <c r="AF95" s="59"/>
      <c r="AG95" s="59"/>
      <c r="AH95" s="59"/>
      <c r="AI95" s="48"/>
      <c r="AJ95" s="75"/>
      <c r="AK95" s="48"/>
      <c r="AL95" s="48"/>
      <c r="AM95" s="75"/>
      <c r="AO95" t="s">
        <v>281</v>
      </c>
      <c r="AQ95" s="7">
        <f t="shared" si="7"/>
        <v>590212.16643055796</v>
      </c>
      <c r="AR95" s="48">
        <v>206258.7056205452</v>
      </c>
      <c r="AT95" s="7">
        <f t="shared" si="4"/>
        <v>796470.87205110316</v>
      </c>
      <c r="AV95" s="7">
        <f t="shared" si="6"/>
        <v>81658.665232017738</v>
      </c>
    </row>
    <row r="96" spans="4:48" x14ac:dyDescent="0.3">
      <c r="D96" s="48"/>
      <c r="E96" s="48"/>
      <c r="F96" s="48"/>
      <c r="G96" s="48"/>
      <c r="H96" s="48"/>
      <c r="I96" s="48"/>
      <c r="J96" s="48"/>
      <c r="K96" s="48"/>
      <c r="L96" s="48"/>
      <c r="M96" s="48" t="s">
        <v>189</v>
      </c>
      <c r="N96" s="48">
        <v>1176.3206680837357</v>
      </c>
      <c r="O96" s="48">
        <v>1176.3206680837357</v>
      </c>
      <c r="P96" s="75">
        <v>1263.5301324394152</v>
      </c>
      <c r="Q96" s="48"/>
      <c r="R96" s="48" t="s">
        <v>189</v>
      </c>
      <c r="S96" s="48">
        <v>1259.0273722244253</v>
      </c>
      <c r="T96" s="48">
        <v>1259.0273722244253</v>
      </c>
      <c r="U96" s="75">
        <v>1289.9772620828546</v>
      </c>
      <c r="W96" t="s">
        <v>189</v>
      </c>
      <c r="X96" s="48">
        <v>5531.5651491804474</v>
      </c>
      <c r="Y96" s="48">
        <v>5531.5651491804474</v>
      </c>
      <c r="Z96" s="75">
        <v>3786.961682622738</v>
      </c>
      <c r="AA96" s="48"/>
      <c r="AB96" s="48" t="s">
        <v>189</v>
      </c>
      <c r="AC96" s="59">
        <v>13933.876703998645</v>
      </c>
      <c r="AD96" s="82">
        <v>72.743173307809769</v>
      </c>
      <c r="AE96" s="59"/>
      <c r="AF96" s="59"/>
      <c r="AG96" s="59"/>
      <c r="AH96" s="59"/>
      <c r="AI96" s="48"/>
      <c r="AJ96" s="75"/>
      <c r="AK96" s="48"/>
      <c r="AL96" s="48"/>
      <c r="AM96" s="75"/>
      <c r="AO96" t="s">
        <v>282</v>
      </c>
      <c r="AQ96" s="7">
        <f t="shared" si="7"/>
        <v>29867.703082975862</v>
      </c>
      <c r="AR96" s="48">
        <v>8414.3668216855731</v>
      </c>
      <c r="AT96" s="7">
        <f t="shared" si="4"/>
        <v>38282.069904661432</v>
      </c>
      <c r="AV96" s="7">
        <f t="shared" si="6"/>
        <v>6413.2122504528179</v>
      </c>
    </row>
    <row r="97" spans="4:48" x14ac:dyDescent="0.3">
      <c r="D97" s="48"/>
      <c r="E97" s="48"/>
      <c r="F97" s="48"/>
      <c r="G97" s="48"/>
      <c r="H97" s="48"/>
      <c r="I97" s="48"/>
      <c r="J97" s="48"/>
      <c r="K97" s="48"/>
      <c r="L97" s="48"/>
      <c r="M97" s="48" t="s">
        <v>191</v>
      </c>
      <c r="N97" s="48">
        <v>39093.418747996533</v>
      </c>
      <c r="O97" s="48">
        <v>39093.418747996533</v>
      </c>
      <c r="P97" s="75">
        <v>41991.706775528131</v>
      </c>
      <c r="Q97" s="48"/>
      <c r="R97" s="48" t="s">
        <v>191</v>
      </c>
      <c r="S97" s="48">
        <v>50600.272539410522</v>
      </c>
      <c r="T97" s="48">
        <v>50600.272539410522</v>
      </c>
      <c r="U97" s="75">
        <v>51844.147689745296</v>
      </c>
      <c r="X97" s="48"/>
      <c r="Y97" s="48"/>
      <c r="Z97" s="75"/>
      <c r="AA97" s="48"/>
      <c r="AB97" s="48"/>
      <c r="AD97" s="82"/>
      <c r="AE97" s="59"/>
      <c r="AF97" s="59"/>
      <c r="AH97" s="48"/>
      <c r="AI97" s="48"/>
      <c r="AJ97" s="75"/>
      <c r="AK97" s="48"/>
      <c r="AL97" s="48"/>
      <c r="AM97" s="75"/>
      <c r="AO97" t="s">
        <v>283</v>
      </c>
      <c r="AQ97" s="7">
        <f t="shared" si="7"/>
        <v>179387.38257481411</v>
      </c>
      <c r="AR97" s="48">
        <v>112899.11777716527</v>
      </c>
      <c r="AT97" s="7">
        <f t="shared" si="4"/>
        <v>292286.5003519794</v>
      </c>
      <c r="AV97" s="7">
        <f t="shared" si="6"/>
        <v>93835.854465273427</v>
      </c>
    </row>
    <row r="98" spans="4:48" x14ac:dyDescent="0.3">
      <c r="D98" s="48"/>
      <c r="E98" s="48"/>
      <c r="F98" s="48"/>
      <c r="G98" s="48"/>
      <c r="H98" s="48"/>
      <c r="I98" s="48"/>
      <c r="J98" s="48"/>
      <c r="K98" s="48"/>
      <c r="L98" s="48"/>
      <c r="M98" s="48" t="s">
        <v>192</v>
      </c>
      <c r="N98" s="48">
        <v>1176.3206680837357</v>
      </c>
      <c r="O98" s="48">
        <v>1176.3206680837357</v>
      </c>
      <c r="P98" s="75">
        <v>1263.5301324394152</v>
      </c>
      <c r="Q98" s="48"/>
      <c r="R98" s="48" t="s">
        <v>192</v>
      </c>
      <c r="S98" s="48">
        <v>1259.0273722244253</v>
      </c>
      <c r="T98" s="48">
        <v>1259.0273722244253</v>
      </c>
      <c r="U98" s="75">
        <v>1289.9772620828546</v>
      </c>
      <c r="W98" t="s">
        <v>192</v>
      </c>
      <c r="X98" s="48">
        <v>5531.5651491804474</v>
      </c>
      <c r="Y98" s="48">
        <v>5531.5651491804474</v>
      </c>
      <c r="Z98" s="75">
        <v>3786.961682622738</v>
      </c>
      <c r="AA98" s="48"/>
      <c r="AB98" s="48" t="s">
        <v>192</v>
      </c>
      <c r="AC98" s="59">
        <v>13933.876703998645</v>
      </c>
      <c r="AD98" s="82">
        <v>72.743173307809769</v>
      </c>
      <c r="AE98" s="59"/>
      <c r="AF98" s="59"/>
      <c r="AG98" s="59"/>
      <c r="AH98" s="59"/>
      <c r="AI98" s="48"/>
      <c r="AJ98" s="75"/>
      <c r="AK98" s="48"/>
      <c r="AL98" s="48"/>
      <c r="AM98" s="75"/>
      <c r="AO98" t="s">
        <v>284</v>
      </c>
      <c r="AQ98" s="7">
        <f t="shared" si="7"/>
        <v>29867.703082975862</v>
      </c>
      <c r="AR98" s="48">
        <v>8315.389495498468</v>
      </c>
      <c r="AT98" s="7">
        <f t="shared" si="4"/>
        <v>38183.09257847433</v>
      </c>
      <c r="AV98" s="7">
        <f t="shared" si="6"/>
        <v>6413.2122504528179</v>
      </c>
    </row>
    <row r="99" spans="4:48" x14ac:dyDescent="0.3">
      <c r="D99" s="48"/>
      <c r="E99" s="48"/>
      <c r="F99" s="48"/>
      <c r="G99" s="48"/>
      <c r="H99" s="48"/>
      <c r="I99" s="48"/>
      <c r="J99" s="48"/>
      <c r="K99" s="48"/>
      <c r="L99" s="48"/>
      <c r="M99" s="48" t="s">
        <v>194</v>
      </c>
      <c r="N99" s="48">
        <v>1176.3206680837357</v>
      </c>
      <c r="O99" s="48">
        <v>1176.3206680837357</v>
      </c>
      <c r="P99" s="75">
        <v>1263.5301324394152</v>
      </c>
      <c r="Q99" s="48"/>
      <c r="R99" s="48" t="s">
        <v>194</v>
      </c>
      <c r="S99" s="48">
        <v>1259.0273722244253</v>
      </c>
      <c r="T99" s="48">
        <v>1259.0273722244253</v>
      </c>
      <c r="U99" s="75">
        <v>1289.9772620828546</v>
      </c>
      <c r="X99" s="48"/>
      <c r="Y99" s="48"/>
      <c r="Z99" s="75"/>
      <c r="AA99" s="48"/>
      <c r="AB99" s="48"/>
      <c r="AD99" s="82"/>
      <c r="AE99" s="59"/>
      <c r="AF99" s="59"/>
      <c r="AH99" s="48"/>
      <c r="AI99" s="48"/>
      <c r="AJ99" s="75"/>
      <c r="AK99" s="48"/>
      <c r="AL99" s="48"/>
      <c r="AM99" s="75"/>
      <c r="AO99" t="s">
        <v>285</v>
      </c>
      <c r="AQ99" s="7">
        <f t="shared" si="7"/>
        <v>4870.6960806163224</v>
      </c>
      <c r="AR99" s="48">
        <v>3571.4640745660031</v>
      </c>
      <c r="AT99" s="7">
        <f t="shared" si="4"/>
        <v>8442.160155182326</v>
      </c>
      <c r="AV99" s="7">
        <f t="shared" si="6"/>
        <v>2553.5073945222698</v>
      </c>
    </row>
    <row r="100" spans="4:48" x14ac:dyDescent="0.3">
      <c r="D100" s="48"/>
      <c r="E100" s="48"/>
      <c r="F100" s="48"/>
      <c r="G100" s="48"/>
      <c r="H100" s="48"/>
      <c r="I100" s="48"/>
      <c r="J100" s="48"/>
      <c r="K100" s="48"/>
      <c r="L100" s="48"/>
      <c r="M100" s="48" t="s">
        <v>195</v>
      </c>
      <c r="N100" s="48">
        <v>1176.3206680837357</v>
      </c>
      <c r="O100" s="48">
        <v>1176.3206680837357</v>
      </c>
      <c r="P100" s="75">
        <v>1263.5301324394152</v>
      </c>
      <c r="Q100" s="48"/>
      <c r="R100" s="48" t="s">
        <v>195</v>
      </c>
      <c r="S100" s="48">
        <v>1259.0273722244253</v>
      </c>
      <c r="T100" s="48">
        <v>1259.0273722244253</v>
      </c>
      <c r="U100" s="75">
        <v>1289.9772620828546</v>
      </c>
      <c r="X100" s="48"/>
      <c r="Y100" s="48"/>
      <c r="Z100" s="75"/>
      <c r="AA100" s="48"/>
      <c r="AB100" s="48"/>
      <c r="AD100" s="82"/>
      <c r="AE100" s="59"/>
      <c r="AF100" s="59"/>
      <c r="AH100" s="48"/>
      <c r="AI100" s="48"/>
      <c r="AJ100" s="75"/>
      <c r="AK100" s="48"/>
      <c r="AL100" s="48"/>
      <c r="AM100" s="75"/>
      <c r="AO100" t="s">
        <v>286</v>
      </c>
      <c r="AQ100" s="7">
        <f t="shared" si="7"/>
        <v>4870.6960806163224</v>
      </c>
      <c r="AR100" s="48">
        <v>3571.4640745660031</v>
      </c>
      <c r="AT100" s="7">
        <f t="shared" si="4"/>
        <v>8442.160155182326</v>
      </c>
      <c r="AV100" s="7">
        <f t="shared" si="6"/>
        <v>2553.5073945222698</v>
      </c>
    </row>
    <row r="101" spans="4:48" x14ac:dyDescent="0.3">
      <c r="D101" s="48"/>
      <c r="E101" s="48"/>
      <c r="F101" s="48"/>
      <c r="G101" s="48"/>
      <c r="H101" s="48"/>
      <c r="I101" s="48"/>
      <c r="J101" s="48"/>
      <c r="K101" s="48"/>
      <c r="L101" s="48"/>
      <c r="M101" s="48" t="s">
        <v>196</v>
      </c>
      <c r="N101" s="48">
        <v>3176.934713563131</v>
      </c>
      <c r="O101" s="48">
        <v>3176.934713563131</v>
      </c>
      <c r="P101" s="75">
        <v>3412.4646861123197</v>
      </c>
      <c r="Q101" s="48"/>
      <c r="R101" s="48" t="s">
        <v>196</v>
      </c>
      <c r="S101" s="48">
        <v>4112.0415531436956</v>
      </c>
      <c r="T101" s="48">
        <v>4112.0415531436956</v>
      </c>
      <c r="U101" s="75">
        <v>4213.1253230209368</v>
      </c>
      <c r="W101" t="s">
        <v>196</v>
      </c>
      <c r="X101" s="48">
        <v>13828.912872951118</v>
      </c>
      <c r="Y101" s="48">
        <v>13828.912872951118</v>
      </c>
      <c r="Z101" s="75">
        <v>9467.4042065568447</v>
      </c>
      <c r="AA101" s="48"/>
      <c r="AB101" s="48" t="s">
        <v>196</v>
      </c>
      <c r="AC101" s="59">
        <v>43278.070730527863</v>
      </c>
      <c r="AD101" s="82">
        <v>225.93742333567471</v>
      </c>
      <c r="AE101" s="59"/>
      <c r="AF101" s="59"/>
      <c r="AG101" s="59"/>
      <c r="AH101" s="59"/>
      <c r="AI101" s="48"/>
      <c r="AJ101" s="75"/>
      <c r="AK101" s="48"/>
      <c r="AL101" s="48"/>
      <c r="AM101" s="75"/>
      <c r="AO101" t="s">
        <v>287</v>
      </c>
      <c r="AQ101" s="7">
        <f t="shared" si="7"/>
        <v>85513.849009843747</v>
      </c>
      <c r="AR101" s="48">
        <v>22811.232230983016</v>
      </c>
      <c r="AT101" s="7">
        <f t="shared" si="4"/>
        <v>108325.08124082677</v>
      </c>
      <c r="AV101" s="7">
        <f>P101+U101+Z101+AD101+AJ101+AM101</f>
        <v>17318.931639025777</v>
      </c>
    </row>
    <row r="102" spans="4:48" x14ac:dyDescent="0.3">
      <c r="D102" s="48"/>
      <c r="E102" s="48"/>
      <c r="F102" s="48"/>
      <c r="G102" s="48"/>
      <c r="H102" s="48"/>
      <c r="I102" s="48"/>
      <c r="J102" s="48"/>
      <c r="K102" s="48"/>
      <c r="L102" s="48"/>
      <c r="M102" s="48" t="s">
        <v>197</v>
      </c>
      <c r="N102" s="48">
        <v>2940.8016702093391</v>
      </c>
      <c r="O102" s="48">
        <v>2940.8016702093391</v>
      </c>
      <c r="P102" s="75">
        <v>3158.8253310985378</v>
      </c>
      <c r="Q102" s="48"/>
      <c r="R102" s="48" t="s">
        <v>197</v>
      </c>
      <c r="S102" s="48">
        <v>3137.4768140062256</v>
      </c>
      <c r="T102" s="48">
        <v>3137.4768140062256</v>
      </c>
      <c r="U102" s="75">
        <v>3214.6034626948131</v>
      </c>
      <c r="W102" t="s">
        <v>197</v>
      </c>
      <c r="X102" s="48">
        <v>13828.912872951118</v>
      </c>
      <c r="Y102" s="48">
        <v>13828.912872951118</v>
      </c>
      <c r="Z102" s="75">
        <v>9467.4042065568447</v>
      </c>
      <c r="AA102" s="48"/>
      <c r="AB102" s="48" t="s">
        <v>197</v>
      </c>
      <c r="AC102" s="59">
        <v>34834.691759996618</v>
      </c>
      <c r="AD102" s="82">
        <v>181.85793326952447</v>
      </c>
      <c r="AE102" s="59"/>
      <c r="AF102" s="59"/>
      <c r="AG102" s="59"/>
      <c r="AH102" s="59"/>
      <c r="AI102" s="48"/>
      <c r="AJ102" s="75"/>
      <c r="AK102" s="48"/>
      <c r="AL102" s="48"/>
      <c r="AM102" s="75"/>
      <c r="AO102" t="s">
        <v>288</v>
      </c>
      <c r="AQ102" s="7">
        <f t="shared" si="7"/>
        <v>74649.074474329973</v>
      </c>
      <c r="AR102" s="48">
        <v>21141.805268209355</v>
      </c>
      <c r="AT102" s="7">
        <f t="shared" si="4"/>
        <v>95790.879742539328</v>
      </c>
      <c r="AV102" s="7">
        <f t="shared" si="6"/>
        <v>16022.69093361972</v>
      </c>
    </row>
    <row r="103" spans="4:48" x14ac:dyDescent="0.3">
      <c r="D103" s="48"/>
      <c r="E103" s="48"/>
      <c r="F103" s="48"/>
      <c r="G103" s="48"/>
      <c r="H103" s="48"/>
      <c r="I103" s="48"/>
      <c r="J103" s="48"/>
      <c r="K103" s="48"/>
      <c r="L103" s="48"/>
      <c r="M103" s="48" t="s">
        <v>199</v>
      </c>
      <c r="N103" s="48">
        <v>2940.8016702093391</v>
      </c>
      <c r="O103" s="48">
        <v>2940.8016702093391</v>
      </c>
      <c r="P103" s="75">
        <v>3158.8253310985378</v>
      </c>
      <c r="Q103" s="48"/>
      <c r="R103" s="48" t="s">
        <v>199</v>
      </c>
      <c r="S103" s="48">
        <v>3147.5684305610635</v>
      </c>
      <c r="T103" s="48">
        <v>3147.5684305610635</v>
      </c>
      <c r="U103" s="75">
        <v>3224.9431552071369</v>
      </c>
      <c r="W103" t="s">
        <v>199</v>
      </c>
      <c r="X103" s="48">
        <v>13828.912872951118</v>
      </c>
      <c r="Y103" s="48">
        <v>13828.912872951118</v>
      </c>
      <c r="Z103" s="75">
        <v>9467.4042065568447</v>
      </c>
      <c r="AA103" s="48"/>
      <c r="AB103" s="48" t="s">
        <v>199</v>
      </c>
      <c r="AC103" s="59">
        <v>34834.691759996618</v>
      </c>
      <c r="AD103" s="82">
        <v>181.85793326952447</v>
      </c>
      <c r="AE103" s="59"/>
      <c r="AF103" s="59"/>
      <c r="AG103" s="59"/>
      <c r="AH103" s="59"/>
      <c r="AI103" s="48"/>
      <c r="AJ103" s="75"/>
      <c r="AK103" s="48"/>
      <c r="AL103" s="48"/>
      <c r="AM103" s="75"/>
      <c r="AO103" t="s">
        <v>289</v>
      </c>
      <c r="AQ103" s="7">
        <f t="shared" si="7"/>
        <v>74669.257707439654</v>
      </c>
      <c r="AR103" s="48">
        <v>18715.649844948755</v>
      </c>
      <c r="AT103" s="7">
        <f t="shared" si="4"/>
        <v>93384.907552388409</v>
      </c>
      <c r="AV103" s="7">
        <f t="shared" si="6"/>
        <v>16033.030626132044</v>
      </c>
    </row>
    <row r="104" spans="4:48" x14ac:dyDescent="0.3">
      <c r="D104" s="48"/>
      <c r="E104" s="48"/>
      <c r="F104" s="48"/>
      <c r="G104" s="48"/>
      <c r="H104" s="48"/>
      <c r="I104" s="48"/>
      <c r="J104" s="48"/>
      <c r="K104" s="48"/>
      <c r="L104" s="48"/>
      <c r="M104" s="48" t="s">
        <v>200</v>
      </c>
      <c r="N104" s="48">
        <v>1176.3206680837357</v>
      </c>
      <c r="O104" s="48">
        <v>1176.3206680837357</v>
      </c>
      <c r="P104" s="75">
        <v>1263.5301324394152</v>
      </c>
      <c r="Q104" s="48"/>
      <c r="R104" s="48" t="s">
        <v>200</v>
      </c>
      <c r="S104" s="48">
        <v>1259.0273722244253</v>
      </c>
      <c r="T104" s="48">
        <v>1259.0273722244253</v>
      </c>
      <c r="U104" s="75">
        <v>1289.9772620828546</v>
      </c>
      <c r="W104" t="s">
        <v>200</v>
      </c>
      <c r="X104" s="48">
        <v>5531.5651491804474</v>
      </c>
      <c r="Y104" s="48">
        <v>5531.5651491804474</v>
      </c>
      <c r="Z104" s="75">
        <v>3786.961682622738</v>
      </c>
      <c r="AA104" s="48"/>
      <c r="AB104" s="48" t="s">
        <v>200</v>
      </c>
      <c r="AC104" s="59">
        <v>13933.876703998645</v>
      </c>
      <c r="AD104" s="82">
        <v>72.743173307809769</v>
      </c>
      <c r="AE104" s="59"/>
      <c r="AF104" s="59"/>
      <c r="AG104" s="59"/>
      <c r="AH104" s="59"/>
      <c r="AI104" s="48"/>
      <c r="AJ104" s="75"/>
      <c r="AK104" s="48"/>
      <c r="AL104" s="48"/>
      <c r="AM104" s="75"/>
      <c r="AO104" t="s">
        <v>290</v>
      </c>
      <c r="AQ104" s="7">
        <f t="shared" si="7"/>
        <v>29867.703082975862</v>
      </c>
      <c r="AR104" s="48">
        <v>8315.389495498468</v>
      </c>
      <c r="AT104" s="7">
        <f t="shared" si="4"/>
        <v>38183.09257847433</v>
      </c>
      <c r="AV104" s="7">
        <f t="shared" si="6"/>
        <v>6413.2122504528179</v>
      </c>
    </row>
    <row r="105" spans="4:48" x14ac:dyDescent="0.3">
      <c r="D105" s="48"/>
      <c r="E105" s="48"/>
      <c r="F105" s="48"/>
      <c r="G105" s="48"/>
      <c r="H105" s="48"/>
      <c r="I105" s="48"/>
      <c r="J105" s="48"/>
      <c r="K105" s="48"/>
      <c r="L105" s="48"/>
      <c r="M105" s="48" t="s">
        <v>202</v>
      </c>
      <c r="N105" s="48">
        <v>1176.3206680837357</v>
      </c>
      <c r="O105" s="48">
        <v>1176.3206680837357</v>
      </c>
      <c r="P105" s="75">
        <v>1263.5301324394152</v>
      </c>
      <c r="Q105" s="48"/>
      <c r="R105" s="48" t="s">
        <v>202</v>
      </c>
      <c r="S105" s="48">
        <v>1259.0273722244253</v>
      </c>
      <c r="T105" s="48">
        <v>1259.0273722244253</v>
      </c>
      <c r="U105" s="75">
        <v>1289.9772620828546</v>
      </c>
      <c r="W105" t="s">
        <v>202</v>
      </c>
      <c r="X105" s="48">
        <v>5531.5651491804474</v>
      </c>
      <c r="Y105" s="48">
        <v>5531.5651491804474</v>
      </c>
      <c r="Z105" s="75">
        <v>3786.961682622738</v>
      </c>
      <c r="AA105" s="48"/>
      <c r="AB105" s="48" t="s">
        <v>202</v>
      </c>
      <c r="AC105" s="59">
        <v>13933.876703998645</v>
      </c>
      <c r="AD105" s="82">
        <v>72.743173307809769</v>
      </c>
      <c r="AE105" s="59"/>
      <c r="AF105" s="59"/>
      <c r="AG105" s="59"/>
      <c r="AH105" s="59"/>
      <c r="AI105" s="48"/>
      <c r="AJ105" s="75"/>
      <c r="AK105" s="48"/>
      <c r="AL105" s="48"/>
      <c r="AM105" s="75"/>
      <c r="AO105" t="s">
        <v>318</v>
      </c>
      <c r="AQ105" s="7">
        <f t="shared" si="7"/>
        <v>29867.703082975862</v>
      </c>
      <c r="AR105" s="48">
        <v>30177.924298852129</v>
      </c>
      <c r="AT105" s="7">
        <f t="shared" si="4"/>
        <v>60045.627381827988</v>
      </c>
      <c r="AV105" s="7">
        <f t="shared" si="6"/>
        <v>6413.2122504528179</v>
      </c>
    </row>
    <row r="106" spans="4:48" x14ac:dyDescent="0.3">
      <c r="D106" s="48"/>
      <c r="E106" s="48"/>
      <c r="F106" s="48"/>
      <c r="G106" s="48"/>
      <c r="H106" s="48"/>
      <c r="I106" s="48"/>
      <c r="J106" s="48"/>
      <c r="K106" s="48"/>
      <c r="L106" s="48"/>
      <c r="M106" s="48" t="s">
        <v>203</v>
      </c>
      <c r="N106" s="48">
        <v>4190.9103943941454</v>
      </c>
      <c r="O106" s="48">
        <v>4190.9103943941454</v>
      </c>
      <c r="P106" s="75">
        <v>4501.6139810727282</v>
      </c>
      <c r="Q106" s="48"/>
      <c r="R106" s="48" t="s">
        <v>203</v>
      </c>
      <c r="S106" s="48">
        <v>5424.4733496340723</v>
      </c>
      <c r="T106" s="48">
        <v>5424.4733496340723</v>
      </c>
      <c r="U106" s="75">
        <v>5557.8198172446537</v>
      </c>
      <c r="W106" t="s">
        <v>203</v>
      </c>
      <c r="X106" s="48">
        <v>13828.912872951118</v>
      </c>
      <c r="Y106" s="48">
        <v>13828.912872951118</v>
      </c>
      <c r="Z106" s="75">
        <v>9467.4042065568447</v>
      </c>
      <c r="AA106" s="48"/>
      <c r="AB106" s="48" t="s">
        <v>203</v>
      </c>
      <c r="AC106" s="59">
        <v>57091.043042074794</v>
      </c>
      <c r="AD106" s="82">
        <v>298.04940337540665</v>
      </c>
      <c r="AE106" s="59"/>
      <c r="AF106" s="59"/>
      <c r="AG106" s="59"/>
      <c r="AH106" s="59"/>
      <c r="AI106" s="48"/>
      <c r="AJ106" s="75"/>
      <c r="AK106" s="48"/>
      <c r="AL106" s="48"/>
      <c r="AM106" s="75"/>
      <c r="AO106" t="s">
        <v>319</v>
      </c>
      <c r="AQ106" s="7">
        <f t="shared" si="7"/>
        <v>103979.63627603347</v>
      </c>
      <c r="AR106" s="48">
        <v>8315.389495498468</v>
      </c>
      <c r="AT106" s="7">
        <f t="shared" si="4"/>
        <v>112295.02577153195</v>
      </c>
      <c r="AV106" s="7">
        <f t="shared" si="6"/>
        <v>19824.887408249633</v>
      </c>
    </row>
    <row r="107" spans="4:48" x14ac:dyDescent="0.3">
      <c r="D107" s="48"/>
      <c r="E107" s="48"/>
      <c r="F107" s="48"/>
      <c r="G107" s="48"/>
      <c r="H107" s="48"/>
      <c r="I107" s="48"/>
      <c r="J107" s="48"/>
      <c r="K107" s="48"/>
      <c r="L107" s="48"/>
      <c r="M107" s="48" t="s">
        <v>204</v>
      </c>
      <c r="N107" s="48">
        <v>1176.3206680837357</v>
      </c>
      <c r="O107" s="48">
        <v>1176.3206680837357</v>
      </c>
      <c r="P107" s="75">
        <v>1263.5301324394152</v>
      </c>
      <c r="Q107" s="48"/>
      <c r="R107" s="48" t="s">
        <v>204</v>
      </c>
      <c r="S107" s="48">
        <v>1259.0273722244253</v>
      </c>
      <c r="T107" s="48">
        <v>1259.0273722244253</v>
      </c>
      <c r="U107" s="75">
        <v>1289.9772620828546</v>
      </c>
      <c r="W107" t="s">
        <v>204</v>
      </c>
      <c r="X107" s="48">
        <v>5531.5651491804474</v>
      </c>
      <c r="Y107" s="48">
        <v>5531.5651491804474</v>
      </c>
      <c r="Z107" s="75">
        <v>3786.961682622738</v>
      </c>
      <c r="AA107" s="48"/>
      <c r="AB107" s="48" t="s">
        <v>204</v>
      </c>
      <c r="AC107" s="59">
        <v>13933.876703998645</v>
      </c>
      <c r="AD107" s="82">
        <v>72.743173307809769</v>
      </c>
      <c r="AE107" s="59"/>
      <c r="AF107" s="59"/>
      <c r="AG107" s="59"/>
      <c r="AH107" s="59"/>
      <c r="AI107" s="48"/>
      <c r="AJ107" s="75"/>
      <c r="AK107" s="48"/>
      <c r="AL107" s="48"/>
      <c r="AM107" s="75"/>
      <c r="AO107" t="s">
        <v>291</v>
      </c>
      <c r="AQ107" s="7">
        <f t="shared" si="7"/>
        <v>29867.703082975862</v>
      </c>
      <c r="AR107" s="48">
        <v>8315.389495498468</v>
      </c>
      <c r="AT107" s="7">
        <f t="shared" si="4"/>
        <v>38183.09257847433</v>
      </c>
      <c r="AV107" s="7">
        <f t="shared" si="6"/>
        <v>6413.2122504528179</v>
      </c>
    </row>
    <row r="108" spans="4:48" x14ac:dyDescent="0.3">
      <c r="D108" s="48"/>
      <c r="E108" s="48"/>
      <c r="F108" s="48"/>
      <c r="G108" s="48"/>
      <c r="H108" s="48"/>
      <c r="I108" s="48"/>
      <c r="J108" s="48"/>
      <c r="K108" s="48"/>
      <c r="L108" s="48"/>
      <c r="M108" s="48" t="s">
        <v>205</v>
      </c>
      <c r="N108" s="48">
        <v>1176.3206680837357</v>
      </c>
      <c r="O108" s="48">
        <v>1176.3206680837357</v>
      </c>
      <c r="P108" s="75">
        <v>1263.5301324394152</v>
      </c>
      <c r="Q108" s="48"/>
      <c r="R108" s="48" t="s">
        <v>205</v>
      </c>
      <c r="S108" s="48">
        <v>1259.0273722244253</v>
      </c>
      <c r="T108" s="48">
        <v>1259.0273722244253</v>
      </c>
      <c r="U108" s="75">
        <v>1289.9772620828546</v>
      </c>
      <c r="W108" t="s">
        <v>205</v>
      </c>
      <c r="X108" s="48">
        <v>5531.5651491804474</v>
      </c>
      <c r="Y108" s="48">
        <v>5531.5651491804474</v>
      </c>
      <c r="Z108" s="75">
        <v>3786.961682622738</v>
      </c>
      <c r="AA108" s="48"/>
      <c r="AB108" s="48" t="s">
        <v>205</v>
      </c>
      <c r="AC108" s="59">
        <v>13933.876703998645</v>
      </c>
      <c r="AD108" s="82">
        <v>72.743173307809769</v>
      </c>
      <c r="AE108" s="59"/>
      <c r="AF108" s="59"/>
      <c r="AG108" s="59"/>
      <c r="AH108" s="59"/>
      <c r="AI108" s="48"/>
      <c r="AJ108" s="75"/>
      <c r="AK108" s="48"/>
      <c r="AL108" s="48"/>
      <c r="AM108" s="75"/>
      <c r="AO108" t="s">
        <v>292</v>
      </c>
      <c r="AQ108" s="7">
        <f t="shared" si="7"/>
        <v>29867.703082975862</v>
      </c>
      <c r="AR108" s="48">
        <v>8315.389495498468</v>
      </c>
      <c r="AT108" s="7">
        <f t="shared" si="4"/>
        <v>38183.09257847433</v>
      </c>
      <c r="AV108" s="7">
        <f t="shared" si="6"/>
        <v>6413.2122504528179</v>
      </c>
    </row>
    <row r="109" spans="4:48" x14ac:dyDescent="0.3">
      <c r="D109" s="48"/>
      <c r="E109" s="48"/>
      <c r="F109" s="48"/>
      <c r="G109" s="48"/>
      <c r="H109" s="48"/>
      <c r="I109" s="48"/>
      <c r="J109" s="48"/>
      <c r="K109" s="48"/>
      <c r="L109" s="48"/>
      <c r="M109" s="48"/>
      <c r="N109" s="48"/>
      <c r="O109" s="48"/>
      <c r="P109" s="75"/>
      <c r="Q109" s="48"/>
      <c r="R109" s="48"/>
      <c r="S109" s="48"/>
      <c r="T109" s="48"/>
      <c r="U109" s="75"/>
      <c r="X109" s="48"/>
      <c r="Y109" s="48"/>
      <c r="Z109" s="75"/>
      <c r="AA109" s="48"/>
      <c r="AB109" s="48"/>
      <c r="AD109" s="82"/>
      <c r="AE109" s="59"/>
      <c r="AF109" s="59"/>
      <c r="AH109" s="48"/>
      <c r="AI109" s="48"/>
      <c r="AJ109" s="75"/>
      <c r="AK109" s="48"/>
      <c r="AL109" s="48"/>
      <c r="AM109" s="75"/>
      <c r="AQ109" s="7">
        <f t="shared" si="7"/>
        <v>0</v>
      </c>
      <c r="AR109" s="48"/>
      <c r="AT109" s="7">
        <f t="shared" si="4"/>
        <v>0</v>
      </c>
    </row>
    <row r="110" spans="4:48" x14ac:dyDescent="0.3">
      <c r="D110" s="48"/>
      <c r="E110" s="48"/>
      <c r="F110" s="48"/>
      <c r="G110" s="48"/>
      <c r="H110" s="48"/>
      <c r="I110" s="48"/>
      <c r="J110" s="48"/>
      <c r="K110" s="48"/>
      <c r="L110" s="48"/>
      <c r="M110" s="48"/>
      <c r="N110" s="48"/>
      <c r="O110" s="48"/>
      <c r="P110" s="75"/>
      <c r="Q110" s="48"/>
      <c r="R110" s="48"/>
      <c r="S110" s="48"/>
      <c r="T110" s="48"/>
      <c r="U110" s="75"/>
      <c r="X110" s="48"/>
      <c r="Y110" s="48"/>
      <c r="Z110" s="75"/>
      <c r="AA110" s="48"/>
      <c r="AB110" s="48"/>
      <c r="AD110" s="82"/>
      <c r="AE110" s="59"/>
      <c r="AF110" s="59"/>
      <c r="AH110" s="48"/>
      <c r="AI110" s="48"/>
      <c r="AJ110" s="75"/>
      <c r="AK110" s="48"/>
      <c r="AL110" s="48"/>
      <c r="AM110" s="75"/>
      <c r="AQ110" s="7">
        <f t="shared" si="7"/>
        <v>0</v>
      </c>
      <c r="AR110" s="48"/>
      <c r="AT110" s="7">
        <f t="shared" si="4"/>
        <v>0</v>
      </c>
    </row>
    <row r="111" spans="4:48" x14ac:dyDescent="0.3">
      <c r="D111" s="48"/>
      <c r="E111" s="48"/>
      <c r="F111" s="48"/>
      <c r="G111" s="48"/>
      <c r="H111" s="48"/>
      <c r="I111" s="48"/>
      <c r="J111" s="48"/>
      <c r="K111" s="48"/>
      <c r="L111" s="48"/>
      <c r="M111" s="48" t="s">
        <v>141</v>
      </c>
      <c r="N111" s="48">
        <v>0</v>
      </c>
      <c r="O111" s="48">
        <v>0</v>
      </c>
      <c r="P111" s="75">
        <v>0</v>
      </c>
      <c r="Q111" s="48"/>
      <c r="R111" s="48" t="s">
        <v>141</v>
      </c>
      <c r="S111" s="48">
        <v>0</v>
      </c>
      <c r="T111" s="48">
        <v>0</v>
      </c>
      <c r="U111" s="75">
        <v>0</v>
      </c>
      <c r="W111" t="s">
        <v>141</v>
      </c>
      <c r="X111" s="48">
        <v>0</v>
      </c>
      <c r="Y111" s="48">
        <v>0</v>
      </c>
      <c r="Z111" s="75">
        <v>0</v>
      </c>
      <c r="AA111" s="48"/>
      <c r="AB111" s="48" t="s">
        <v>141</v>
      </c>
      <c r="AC111" s="59">
        <v>0</v>
      </c>
      <c r="AD111" s="82">
        <v>0</v>
      </c>
      <c r="AE111" s="59"/>
      <c r="AF111" s="59"/>
      <c r="AG111" s="59"/>
      <c r="AH111" s="59"/>
      <c r="AI111" s="48"/>
      <c r="AJ111" s="75"/>
      <c r="AK111" s="48"/>
      <c r="AL111" s="48"/>
      <c r="AM111" s="75"/>
      <c r="AO111" s="48" t="s">
        <v>141</v>
      </c>
      <c r="AQ111" s="7">
        <f t="shared" si="7"/>
        <v>0</v>
      </c>
      <c r="AT111" s="7">
        <f t="shared" si="4"/>
        <v>0</v>
      </c>
      <c r="AV111" s="7">
        <f>P111+U111+Z111+AD111+AJ111+AM111</f>
        <v>0</v>
      </c>
    </row>
    <row r="112" spans="4:48" x14ac:dyDescent="0.3">
      <c r="D112" s="48"/>
      <c r="E112" s="48"/>
      <c r="F112" s="48"/>
      <c r="G112" s="48"/>
      <c r="H112" s="48"/>
      <c r="I112" s="48"/>
      <c r="J112" s="48"/>
      <c r="K112" s="48"/>
      <c r="L112" s="48"/>
      <c r="M112" s="48"/>
      <c r="N112" s="48"/>
      <c r="O112" s="48"/>
      <c r="P112" s="75"/>
      <c r="Q112" s="48"/>
      <c r="R112" s="48"/>
      <c r="S112" s="48"/>
      <c r="T112" s="48"/>
      <c r="U112" s="75"/>
      <c r="W112" t="s">
        <v>219</v>
      </c>
      <c r="X112" s="48">
        <v>41425.659674005678</v>
      </c>
      <c r="Y112" s="48">
        <v>41425.659674005678</v>
      </c>
      <c r="Z112" s="75">
        <v>28360.397397845398</v>
      </c>
      <c r="AA112" s="48"/>
      <c r="AB112" s="48" t="s">
        <v>219</v>
      </c>
      <c r="AC112" s="59">
        <v>132044.7700238809</v>
      </c>
      <c r="AD112" s="82">
        <v>689.3527045119165</v>
      </c>
      <c r="AE112" s="59"/>
      <c r="AF112" s="59"/>
      <c r="AG112" s="59"/>
      <c r="AH112" s="59"/>
      <c r="AI112" s="48"/>
      <c r="AJ112" s="75"/>
      <c r="AK112" s="48"/>
      <c r="AL112" s="48"/>
      <c r="AM112" s="75"/>
      <c r="AO112" s="48" t="s">
        <v>219</v>
      </c>
      <c r="AQ112" s="7">
        <f t="shared" si="7"/>
        <v>214896.08937189227</v>
      </c>
      <c r="AT112" s="7">
        <f t="shared" si="4"/>
        <v>214896.08937189227</v>
      </c>
      <c r="AV112" s="7">
        <f t="shared" ref="AV112:AV126" si="8">P112+U112+Z112+AD112+AJ112+AM112</f>
        <v>29049.750102357313</v>
      </c>
    </row>
    <row r="113" spans="4:48" x14ac:dyDescent="0.3">
      <c r="D113" s="48"/>
      <c r="E113" s="48"/>
      <c r="F113" s="48"/>
      <c r="G113" s="48"/>
      <c r="H113" s="48"/>
      <c r="I113" s="48"/>
      <c r="J113" s="48"/>
      <c r="K113" s="48"/>
      <c r="L113" s="48"/>
      <c r="M113" s="48" t="s">
        <v>142</v>
      </c>
      <c r="N113" s="48">
        <v>25089.553709092437</v>
      </c>
      <c r="O113" s="48">
        <v>25089.553709092437</v>
      </c>
      <c r="P113" s="75">
        <v>26949.63030152144</v>
      </c>
      <c r="Q113" s="48"/>
      <c r="R113" s="48" t="s">
        <v>142</v>
      </c>
      <c r="S113" s="48">
        <v>32474.475147746376</v>
      </c>
      <c r="T113" s="48">
        <v>32474.475147746376</v>
      </c>
      <c r="U113" s="75">
        <v>33272.775050676435</v>
      </c>
      <c r="W113" t="s">
        <v>142</v>
      </c>
      <c r="X113" s="48">
        <v>85604.562472915102</v>
      </c>
      <c r="Y113" s="48">
        <v>85604.562472915102</v>
      </c>
      <c r="Z113" s="75">
        <v>58605.691011457093</v>
      </c>
      <c r="AA113" s="48"/>
      <c r="AB113" s="48" t="s">
        <v>142</v>
      </c>
      <c r="AC113" s="59">
        <v>336636.25467390724</v>
      </c>
      <c r="AD113" s="82">
        <v>1757.442665500882</v>
      </c>
      <c r="AE113" s="59"/>
      <c r="AF113" s="59"/>
      <c r="AG113" s="59"/>
      <c r="AH113" s="59"/>
      <c r="AI113" s="48"/>
      <c r="AJ113" s="75"/>
      <c r="AK113" s="48"/>
      <c r="AL113" s="48"/>
      <c r="AM113" s="75"/>
      <c r="AO113" t="s">
        <v>270</v>
      </c>
      <c r="AQ113" s="7">
        <f t="shared" si="7"/>
        <v>622973.43733341503</v>
      </c>
      <c r="AR113" s="44">
        <v>238760.59496536897</v>
      </c>
      <c r="AT113" s="7">
        <f t="shared" si="4"/>
        <v>861734.032298784</v>
      </c>
      <c r="AV113" s="7">
        <f t="shared" si="8"/>
        <v>120585.53902915586</v>
      </c>
    </row>
    <row r="114" spans="4:48" x14ac:dyDescent="0.3">
      <c r="D114" s="48"/>
      <c r="E114" s="48"/>
      <c r="F114" s="48"/>
      <c r="G114" s="48"/>
      <c r="H114" s="48"/>
      <c r="I114" s="48"/>
      <c r="J114" s="48"/>
      <c r="K114" s="48"/>
      <c r="L114" s="48"/>
      <c r="M114" s="48" t="s">
        <v>143</v>
      </c>
      <c r="N114" s="48">
        <v>37825.318179520531</v>
      </c>
      <c r="O114" s="48">
        <v>37825.318179520531</v>
      </c>
      <c r="P114" s="75">
        <v>40629.592411046935</v>
      </c>
      <c r="Q114" s="48"/>
      <c r="R114" s="48" t="s">
        <v>143</v>
      </c>
      <c r="S114" s="48">
        <v>48958.91610584061</v>
      </c>
      <c r="T114" s="48">
        <v>48958.91610584061</v>
      </c>
      <c r="U114" s="75">
        <v>50162.44280787465</v>
      </c>
      <c r="W114" t="s">
        <v>143</v>
      </c>
      <c r="X114" s="48">
        <v>129058.48588224196</v>
      </c>
      <c r="Y114" s="48">
        <v>129058.48588224196</v>
      </c>
      <c r="Z114" s="75">
        <v>88354.656895936438</v>
      </c>
      <c r="AA114" s="48"/>
      <c r="AB114" s="48" t="s">
        <v>143</v>
      </c>
      <c r="AC114" s="59">
        <v>507516.93678744423</v>
      </c>
      <c r="AD114" s="82">
        <v>2649.5420674120946</v>
      </c>
      <c r="AE114" s="59"/>
      <c r="AF114" s="59"/>
      <c r="AG114" s="59"/>
      <c r="AH114" s="59"/>
      <c r="AI114" s="48"/>
      <c r="AJ114" s="75"/>
      <c r="AK114" s="48"/>
      <c r="AL114" s="48"/>
      <c r="AM114" s="75"/>
      <c r="AO114" t="s">
        <v>263</v>
      </c>
      <c r="AQ114" s="7">
        <f t="shared" si="7"/>
        <v>939202.37712265039</v>
      </c>
      <c r="AR114" s="44">
        <v>359093.29860740341</v>
      </c>
      <c r="AT114" s="7">
        <f t="shared" si="4"/>
        <v>1298295.6757300538</v>
      </c>
      <c r="AV114" s="7">
        <f t="shared" si="8"/>
        <v>181796.2341822701</v>
      </c>
    </row>
    <row r="115" spans="4:48" x14ac:dyDescent="0.3">
      <c r="D115" s="48"/>
      <c r="E115" s="48"/>
      <c r="F115" s="48"/>
      <c r="G115" s="48"/>
      <c r="H115" s="48"/>
      <c r="I115" s="48"/>
      <c r="J115" s="48"/>
      <c r="K115" s="48"/>
      <c r="L115" s="48"/>
      <c r="M115" s="48"/>
      <c r="N115" s="48"/>
      <c r="O115" s="48"/>
      <c r="P115" s="75"/>
      <c r="Q115" s="48"/>
      <c r="R115" s="48"/>
      <c r="S115" s="48"/>
      <c r="T115" s="48"/>
      <c r="U115" s="75"/>
      <c r="W115" t="s">
        <v>220</v>
      </c>
      <c r="X115" s="48">
        <v>44107.208567553993</v>
      </c>
      <c r="Y115" s="48">
        <v>44107.208567553993</v>
      </c>
      <c r="Z115" s="75">
        <v>30196.211066505057</v>
      </c>
      <c r="AA115" s="48"/>
      <c r="AB115" s="48" t="s">
        <v>220</v>
      </c>
      <c r="AC115" s="59">
        <v>152099.34175987419</v>
      </c>
      <c r="AD115" s="82">
        <v>794.04956801915694</v>
      </c>
      <c r="AE115" s="59"/>
      <c r="AF115" s="59"/>
      <c r="AG115" s="59"/>
      <c r="AH115" s="59"/>
      <c r="AI115" s="48"/>
      <c r="AJ115" s="75"/>
      <c r="AK115" s="48"/>
      <c r="AL115" s="48"/>
      <c r="AM115" s="75"/>
      <c r="AO115" s="48" t="s">
        <v>220</v>
      </c>
      <c r="AQ115" s="7">
        <f t="shared" si="7"/>
        <v>240313.75889498217</v>
      </c>
      <c r="AT115" s="7">
        <f t="shared" si="4"/>
        <v>240313.75889498217</v>
      </c>
      <c r="AV115" s="7">
        <f t="shared" si="8"/>
        <v>30990.260634524213</v>
      </c>
    </row>
    <row r="116" spans="4:48" x14ac:dyDescent="0.3">
      <c r="D116" s="48"/>
      <c r="E116" s="48"/>
      <c r="F116" s="48"/>
      <c r="G116" s="48"/>
      <c r="H116" s="48"/>
      <c r="I116" s="48"/>
      <c r="J116" s="48"/>
      <c r="K116" s="48"/>
      <c r="L116" s="48"/>
      <c r="M116" s="48" t="s">
        <v>144</v>
      </c>
      <c r="N116" s="48">
        <v>31265.512258014394</v>
      </c>
      <c r="O116" s="48">
        <v>31265.512258014394</v>
      </c>
      <c r="P116" s="75">
        <v>33583.458929196473</v>
      </c>
      <c r="Q116" s="48"/>
      <c r="R116" s="48" t="s">
        <v>144</v>
      </c>
      <c r="S116" s="48">
        <v>40468.280646877065</v>
      </c>
      <c r="T116" s="48">
        <v>40468.280646877065</v>
      </c>
      <c r="U116" s="75">
        <v>41463.087317813835</v>
      </c>
      <c r="W116" t="s">
        <v>144</v>
      </c>
      <c r="X116" s="48">
        <v>106676.68816958411</v>
      </c>
      <c r="Y116" s="48">
        <v>106676.68816958411</v>
      </c>
      <c r="Z116" s="75">
        <v>73031.867045290579</v>
      </c>
      <c r="AA116" s="48"/>
      <c r="AB116" s="48" t="s">
        <v>144</v>
      </c>
      <c r="AC116" s="59">
        <v>419501.48133503116</v>
      </c>
      <c r="AD116" s="82">
        <v>2190.0487285695494</v>
      </c>
      <c r="AE116" s="59"/>
      <c r="AF116" s="59"/>
      <c r="AG116" s="59"/>
      <c r="AH116" s="59"/>
      <c r="AI116" s="48"/>
      <c r="AJ116" s="75"/>
      <c r="AK116" s="48"/>
      <c r="AL116" s="48"/>
      <c r="AM116" s="75"/>
      <c r="AO116" t="s">
        <v>267</v>
      </c>
      <c r="AQ116" s="7">
        <f t="shared" si="7"/>
        <v>776322.44348398224</v>
      </c>
      <c r="AR116" s="44">
        <v>297087.07433745137</v>
      </c>
      <c r="AT116" s="7">
        <f t="shared" si="4"/>
        <v>1073409.5178214335</v>
      </c>
      <c r="AV116" s="7">
        <f t="shared" si="8"/>
        <v>150268.46202087044</v>
      </c>
    </row>
    <row r="117" spans="4:48" x14ac:dyDescent="0.3">
      <c r="D117" s="48"/>
      <c r="E117" s="48"/>
      <c r="F117" s="48"/>
      <c r="G117" s="48"/>
      <c r="H117" s="48"/>
      <c r="I117" s="48"/>
      <c r="J117" s="48"/>
      <c r="K117" s="48"/>
      <c r="L117" s="48"/>
      <c r="M117" s="48" t="s">
        <v>145</v>
      </c>
      <c r="N117" s="48">
        <v>4713.2315241772849</v>
      </c>
      <c r="O117" s="48">
        <v>4713.2315241772849</v>
      </c>
      <c r="P117" s="75">
        <v>5062.6586895414703</v>
      </c>
      <c r="Q117" s="48"/>
      <c r="R117" s="48" t="s">
        <v>145</v>
      </c>
      <c r="S117" s="48">
        <v>6100.535775652369</v>
      </c>
      <c r="T117" s="48">
        <v>6100.535775652369</v>
      </c>
      <c r="U117" s="75">
        <v>6250.5014670259106</v>
      </c>
      <c r="W117" t="s">
        <v>145</v>
      </c>
      <c r="X117" s="48">
        <v>20422.6425457857</v>
      </c>
      <c r="Y117" s="48">
        <v>20422.6425457857</v>
      </c>
      <c r="Z117" s="75">
        <v>13981.533741901228</v>
      </c>
      <c r="AA117" s="48"/>
      <c r="AB117" s="48" t="s">
        <v>145</v>
      </c>
      <c r="AC117" s="59">
        <v>63239.251925594603</v>
      </c>
      <c r="AD117" s="82">
        <v>330.14673234187808</v>
      </c>
      <c r="AE117" s="59"/>
      <c r="AF117" s="59"/>
      <c r="AG117" s="59"/>
      <c r="AH117" s="59"/>
      <c r="AI117" s="48"/>
      <c r="AJ117" s="75"/>
      <c r="AK117" s="48"/>
      <c r="AL117" s="48"/>
      <c r="AM117" s="75"/>
      <c r="AO117" t="s">
        <v>271</v>
      </c>
      <c r="AQ117" s="7">
        <f t="shared" si="7"/>
        <v>125712.0716168253</v>
      </c>
      <c r="AR117" s="44">
        <v>44852.593828359277</v>
      </c>
      <c r="AT117" s="7">
        <f t="shared" si="4"/>
        <v>170564.66544518457</v>
      </c>
      <c r="AV117" s="7">
        <f t="shared" si="8"/>
        <v>25624.840630810486</v>
      </c>
    </row>
    <row r="118" spans="4:48" x14ac:dyDescent="0.3">
      <c r="D118" s="48"/>
      <c r="E118" s="48"/>
      <c r="F118" s="48"/>
      <c r="G118" s="48"/>
      <c r="H118" s="48"/>
      <c r="I118" s="48"/>
      <c r="J118" s="48"/>
      <c r="K118" s="48"/>
      <c r="L118" s="48"/>
      <c r="M118" s="48" t="s">
        <v>146</v>
      </c>
      <c r="N118" s="48">
        <v>16755.718847048222</v>
      </c>
      <c r="O118" s="48">
        <v>16755.718847048222</v>
      </c>
      <c r="P118" s="75">
        <v>17997.945822389796</v>
      </c>
      <c r="Q118" s="48"/>
      <c r="R118" s="48" t="s">
        <v>146</v>
      </c>
      <c r="S118" s="48">
        <v>21687.638671862842</v>
      </c>
      <c r="T118" s="48">
        <v>21687.638671862842</v>
      </c>
      <c r="U118" s="75">
        <v>22220.77245671269</v>
      </c>
      <c r="W118" t="s">
        <v>146</v>
      </c>
      <c r="X118" s="48">
        <v>78756.613384874378</v>
      </c>
      <c r="Y118" s="48">
        <v>78756.613384874378</v>
      </c>
      <c r="Z118" s="75">
        <v>53917.520466307906</v>
      </c>
      <c r="AA118" s="48"/>
      <c r="AB118" s="48" t="s">
        <v>146</v>
      </c>
      <c r="AC118" s="59">
        <v>224817.96617191998</v>
      </c>
      <c r="AD118" s="82">
        <v>1173.6842964356174</v>
      </c>
      <c r="AE118" s="59"/>
      <c r="AF118" s="59"/>
      <c r="AG118" s="59"/>
      <c r="AH118" s="59"/>
      <c r="AI118" s="48"/>
      <c r="AJ118" s="75"/>
      <c r="AK118" s="48"/>
      <c r="AL118" s="48"/>
      <c r="AM118" s="75"/>
      <c r="AO118" t="s">
        <v>269</v>
      </c>
      <c r="AQ118" s="7">
        <f t="shared" si="7"/>
        <v>459217.90797949082</v>
      </c>
      <c r="AR118" s="44">
        <v>159069.86468561328</v>
      </c>
      <c r="AT118" s="7">
        <f t="shared" si="4"/>
        <v>618287.77266510413</v>
      </c>
      <c r="AV118" s="7">
        <f t="shared" si="8"/>
        <v>95309.923041846007</v>
      </c>
    </row>
    <row r="119" spans="4:48" x14ac:dyDescent="0.3">
      <c r="D119" s="48"/>
      <c r="E119" s="48"/>
      <c r="F119" s="48"/>
      <c r="G119" s="48"/>
      <c r="H119" s="48"/>
      <c r="I119" s="48"/>
      <c r="J119" s="48"/>
      <c r="K119" s="48"/>
      <c r="L119" s="48"/>
      <c r="M119" s="48" t="s">
        <v>147</v>
      </c>
      <c r="N119" s="48">
        <v>33747.093419865247</v>
      </c>
      <c r="O119" s="48">
        <v>33747.093419865247</v>
      </c>
      <c r="P119" s="75">
        <v>36249.018295079652</v>
      </c>
      <c r="Q119" s="48"/>
      <c r="R119" s="48" t="s">
        <v>147</v>
      </c>
      <c r="S119" s="48">
        <v>43680.296560035204</v>
      </c>
      <c r="T119" s="48">
        <v>43680.296560035204</v>
      </c>
      <c r="U119" s="75">
        <v>44754.062228154165</v>
      </c>
      <c r="W119" t="s">
        <v>147</v>
      </c>
      <c r="X119" s="48">
        <v>115143.74470093581</v>
      </c>
      <c r="Y119" s="48">
        <v>115143.74470093581</v>
      </c>
      <c r="Z119" s="75">
        <v>78828.493819826559</v>
      </c>
      <c r="AA119" s="48"/>
      <c r="AB119" s="48" t="s">
        <v>147</v>
      </c>
      <c r="AC119" s="59">
        <v>452797.81644250063</v>
      </c>
      <c r="AD119" s="82">
        <v>2363.8755196837906</v>
      </c>
      <c r="AE119" s="59"/>
      <c r="AF119" s="59"/>
      <c r="AG119" s="59"/>
      <c r="AH119" s="59"/>
      <c r="AI119" s="48"/>
      <c r="AJ119" s="75"/>
      <c r="AK119" s="48"/>
      <c r="AL119" s="48"/>
      <c r="AM119" s="75"/>
      <c r="AO119" t="s">
        <v>264</v>
      </c>
      <c r="AQ119" s="7">
        <f t="shared" si="7"/>
        <v>837940.08580417302</v>
      </c>
      <c r="AR119" s="44">
        <v>321147.95682843629</v>
      </c>
      <c r="AT119" s="7">
        <f t="shared" si="4"/>
        <v>1159088.0426326094</v>
      </c>
      <c r="AV119" s="7">
        <f t="shared" si="8"/>
        <v>162195.44986274416</v>
      </c>
    </row>
    <row r="120" spans="4:48" x14ac:dyDescent="0.3">
      <c r="D120" s="48"/>
      <c r="E120" s="48"/>
      <c r="F120" s="48"/>
      <c r="G120" s="48"/>
      <c r="H120" s="48"/>
      <c r="I120" s="48"/>
      <c r="J120" s="48"/>
      <c r="K120" s="48"/>
      <c r="L120" s="48"/>
      <c r="M120" s="48" t="s">
        <v>148</v>
      </c>
      <c r="N120" s="48">
        <v>13223.061134310952</v>
      </c>
      <c r="O120" s="48">
        <v>13223.061134310952</v>
      </c>
      <c r="P120" s="75">
        <v>14203.385726026429</v>
      </c>
      <c r="Q120" s="48"/>
      <c r="R120" s="48" t="s">
        <v>148</v>
      </c>
      <c r="S120" s="48">
        <v>17115.169730089438</v>
      </c>
      <c r="T120" s="48">
        <v>17115.169730089438</v>
      </c>
      <c r="U120" s="75">
        <v>17535.901343826084</v>
      </c>
      <c r="W120" t="s">
        <v>148</v>
      </c>
      <c r="X120" s="48">
        <v>16876.963898819798</v>
      </c>
      <c r="Y120" s="48">
        <v>16876.963898819798</v>
      </c>
      <c r="Z120" s="75">
        <v>11554.128692366039</v>
      </c>
      <c r="AA120" s="48"/>
      <c r="AB120" s="48" t="s">
        <v>148</v>
      </c>
      <c r="AC120" s="59">
        <v>40086.223114947927</v>
      </c>
      <c r="AD120" s="82">
        <v>209.27406903703795</v>
      </c>
      <c r="AE120" s="59"/>
      <c r="AF120" s="59"/>
      <c r="AG120" s="59"/>
      <c r="AH120" s="59"/>
      <c r="AI120" s="48"/>
      <c r="AJ120" s="75"/>
      <c r="AK120" s="48"/>
      <c r="AL120" s="48"/>
      <c r="AM120" s="75"/>
      <c r="AO120" t="s">
        <v>148</v>
      </c>
      <c r="AQ120" s="7">
        <f t="shared" si="7"/>
        <v>134516.61264138829</v>
      </c>
      <c r="AR120" s="44">
        <v>150754.89000000001</v>
      </c>
      <c r="AT120" s="7">
        <f t="shared" si="4"/>
        <v>285271.50264138833</v>
      </c>
      <c r="AV120" s="7">
        <f t="shared" si="8"/>
        <v>43502.689831255593</v>
      </c>
    </row>
    <row r="121" spans="4:48" x14ac:dyDescent="0.3">
      <c r="D121" s="48"/>
      <c r="E121" s="48"/>
      <c r="F121" s="48"/>
      <c r="G121" s="48"/>
      <c r="H121" s="48"/>
      <c r="I121" s="48"/>
      <c r="J121" s="48"/>
      <c r="K121" s="48"/>
      <c r="L121" s="48"/>
      <c r="M121" s="48"/>
      <c r="N121" s="48"/>
      <c r="O121" s="48"/>
      <c r="P121" s="75"/>
      <c r="Q121" s="48"/>
      <c r="R121" s="48"/>
      <c r="S121" s="48"/>
      <c r="T121" s="48"/>
      <c r="U121" s="75"/>
      <c r="W121" t="s">
        <v>221</v>
      </c>
      <c r="X121" s="48">
        <v>20873.45388410864</v>
      </c>
      <c r="Y121" s="48">
        <v>20873.45388410864</v>
      </c>
      <c r="Z121" s="75">
        <v>14290.163436803005</v>
      </c>
      <c r="AA121" s="48"/>
      <c r="AB121" s="48" t="s">
        <v>221</v>
      </c>
      <c r="AC121" s="59">
        <v>67562.900787417486</v>
      </c>
      <c r="AD121" s="82">
        <v>352.71876632488579</v>
      </c>
      <c r="AE121" s="59"/>
      <c r="AF121" s="59"/>
      <c r="AG121" s="59"/>
      <c r="AH121" s="59"/>
      <c r="AI121" s="48"/>
      <c r="AJ121" s="75"/>
      <c r="AK121" s="48"/>
      <c r="AL121" s="48"/>
      <c r="AM121" s="75"/>
      <c r="AO121" t="s">
        <v>221</v>
      </c>
      <c r="AQ121" s="7">
        <f t="shared" si="7"/>
        <v>109309.80855563477</v>
      </c>
      <c r="AR121" s="44"/>
      <c r="AT121" s="7">
        <f t="shared" si="4"/>
        <v>109309.80855563477</v>
      </c>
      <c r="AV121" s="7">
        <f t="shared" si="8"/>
        <v>14642.882203127891</v>
      </c>
    </row>
    <row r="122" spans="4:48" x14ac:dyDescent="0.3">
      <c r="D122" s="48"/>
      <c r="E122" s="48"/>
      <c r="F122" s="48"/>
      <c r="G122" s="48"/>
      <c r="H122" s="48"/>
      <c r="I122" s="48"/>
      <c r="J122" s="48"/>
      <c r="K122" s="48"/>
      <c r="L122" s="48"/>
      <c r="M122" s="48" t="s">
        <v>149</v>
      </c>
      <c r="N122" s="48">
        <v>21913.232789668473</v>
      </c>
      <c r="O122" s="48">
        <v>21913.232789668473</v>
      </c>
      <c r="P122" s="75">
        <v>23537.824914706493</v>
      </c>
      <c r="Q122" s="48"/>
      <c r="R122" s="48" t="s">
        <v>149</v>
      </c>
      <c r="S122" s="48">
        <v>28363.228054430434</v>
      </c>
      <c r="T122" s="48">
        <v>28363.228054430434</v>
      </c>
      <c r="U122" s="75">
        <v>29060.463717196992</v>
      </c>
      <c r="W122" t="s">
        <v>149</v>
      </c>
      <c r="X122" s="48">
        <v>85971.886504191236</v>
      </c>
      <c r="Y122" s="48">
        <v>85971.886504191236</v>
      </c>
      <c r="Z122" s="75">
        <v>58857.164508385053</v>
      </c>
      <c r="AA122" s="48"/>
      <c r="AB122" s="48" t="s">
        <v>149</v>
      </c>
      <c r="AC122" s="59">
        <v>294018.32729444321</v>
      </c>
      <c r="AD122" s="82">
        <v>1534.9515854345325</v>
      </c>
      <c r="AE122" s="59"/>
      <c r="AF122" s="59"/>
      <c r="AG122" s="59"/>
      <c r="AH122" s="59"/>
      <c r="AI122" s="48"/>
      <c r="AJ122" s="75"/>
      <c r="AK122" s="48"/>
      <c r="AL122" s="48"/>
      <c r="AM122" s="75"/>
      <c r="AO122" t="s">
        <v>265</v>
      </c>
      <c r="AQ122" s="7">
        <f t="shared" si="7"/>
        <v>566515.02199102356</v>
      </c>
      <c r="AR122" s="44">
        <v>311769.16591880505</v>
      </c>
      <c r="AT122" s="7">
        <f t="shared" si="4"/>
        <v>878284.18790982862</v>
      </c>
      <c r="AV122" s="7">
        <f t="shared" si="8"/>
        <v>112990.40472572307</v>
      </c>
    </row>
    <row r="123" spans="4:48" x14ac:dyDescent="0.3">
      <c r="D123" s="48"/>
      <c r="E123" s="48"/>
      <c r="F123" s="48"/>
      <c r="G123" s="48"/>
      <c r="H123" s="48"/>
      <c r="I123" s="48"/>
      <c r="J123" s="48"/>
      <c r="K123" s="48"/>
      <c r="L123" s="48"/>
      <c r="M123" s="48" t="s">
        <v>150</v>
      </c>
      <c r="N123" s="48">
        <v>18309.010683980112</v>
      </c>
      <c r="O123" s="48">
        <v>18309.010683980112</v>
      </c>
      <c r="P123" s="75">
        <v>19666.394820767768</v>
      </c>
      <c r="Q123" s="48"/>
      <c r="R123" s="48" t="s">
        <v>150</v>
      </c>
      <c r="S123" s="48">
        <v>23698.130278868255</v>
      </c>
      <c r="T123" s="48">
        <v>23698.130278868255</v>
      </c>
      <c r="U123" s="75">
        <v>24280.686733288963</v>
      </c>
      <c r="W123" t="s">
        <v>150</v>
      </c>
      <c r="X123" s="48">
        <v>80929.641894764369</v>
      </c>
      <c r="Y123" s="48">
        <v>80929.641894764369</v>
      </c>
      <c r="Z123" s="75">
        <v>55405.196283236393</v>
      </c>
      <c r="AA123" s="48"/>
      <c r="AB123" s="48" t="s">
        <v>150</v>
      </c>
      <c r="AC123" s="59">
        <v>245659.08405162176</v>
      </c>
      <c r="AD123" s="82">
        <v>1282.4874014190693</v>
      </c>
      <c r="AE123" s="59"/>
      <c r="AF123" s="59"/>
      <c r="AG123" s="59"/>
      <c r="AH123" s="59"/>
      <c r="AI123" s="48"/>
      <c r="AJ123" s="75"/>
      <c r="AK123" s="48"/>
      <c r="AL123" s="48"/>
      <c r="AM123" s="75"/>
      <c r="AO123" t="s">
        <v>268</v>
      </c>
      <c r="AQ123" s="7">
        <f t="shared" si="7"/>
        <v>491532.64976684726</v>
      </c>
      <c r="AR123" s="44">
        <v>173872.10722895872</v>
      </c>
      <c r="AT123" s="7">
        <f t="shared" si="4"/>
        <v>665404.756995806</v>
      </c>
      <c r="AV123" s="7">
        <f t="shared" si="8"/>
        <v>100634.76523871219</v>
      </c>
    </row>
    <row r="124" spans="4:48" x14ac:dyDescent="0.3">
      <c r="D124" s="48"/>
      <c r="E124" s="48"/>
      <c r="F124" s="48"/>
      <c r="G124" s="48"/>
      <c r="H124" s="48"/>
      <c r="I124" s="48"/>
      <c r="J124" s="48"/>
      <c r="K124" s="48"/>
      <c r="L124" s="48"/>
      <c r="M124" s="48" t="s">
        <v>151</v>
      </c>
      <c r="N124" s="48">
        <v>93829.182229599042</v>
      </c>
      <c r="O124" s="48">
        <v>93829.182229599042</v>
      </c>
      <c r="P124" s="75">
        <v>100785.44249535193</v>
      </c>
      <c r="Q124" s="48"/>
      <c r="R124" s="48" t="s">
        <v>151</v>
      </c>
      <c r="S124" s="48">
        <v>121447.09634050724</v>
      </c>
      <c r="T124" s="48">
        <v>121447.09634050724</v>
      </c>
      <c r="U124" s="75">
        <v>124432.5550670509</v>
      </c>
      <c r="W124" t="s">
        <v>151</v>
      </c>
      <c r="X124" s="48">
        <v>0</v>
      </c>
      <c r="Y124" s="48">
        <v>0</v>
      </c>
      <c r="Z124" s="75">
        <v>0</v>
      </c>
      <c r="AA124" s="48"/>
      <c r="AB124" s="48" t="s">
        <v>151</v>
      </c>
      <c r="AC124" s="59">
        <v>1258942.4607198534</v>
      </c>
      <c r="AD124" s="82">
        <v>6572.4328950337249</v>
      </c>
      <c r="AE124" s="59"/>
      <c r="AF124" s="59"/>
      <c r="AG124" s="59"/>
      <c r="AH124" s="59"/>
      <c r="AI124" s="48"/>
      <c r="AJ124" s="75"/>
      <c r="AK124" s="48"/>
      <c r="AL124" s="48"/>
      <c r="AM124" s="75"/>
      <c r="AO124" t="s">
        <v>151</v>
      </c>
      <c r="AQ124" s="7">
        <f t="shared" si="7"/>
        <v>1689495.0178600661</v>
      </c>
      <c r="AT124" s="7">
        <f t="shared" si="4"/>
        <v>1689495.0178600661</v>
      </c>
      <c r="AV124" s="7">
        <f t="shared" si="8"/>
        <v>231790.43045743657</v>
      </c>
    </row>
    <row r="125" spans="4:48" x14ac:dyDescent="0.3">
      <c r="D125" s="48"/>
      <c r="E125" s="48"/>
      <c r="F125" s="48"/>
      <c r="G125" s="48"/>
      <c r="H125" s="48"/>
      <c r="I125" s="48"/>
      <c r="J125" s="48"/>
      <c r="K125" s="48"/>
      <c r="L125" s="48"/>
      <c r="M125" s="48" t="s">
        <v>152</v>
      </c>
      <c r="N125" s="39">
        <v>20749.346243381351</v>
      </c>
      <c r="O125" s="39">
        <v>20749.346243381351</v>
      </c>
      <c r="P125" s="75">
        <v>22287.650738671411</v>
      </c>
      <c r="Q125" s="48"/>
      <c r="R125" s="48" t="s">
        <v>152</v>
      </c>
      <c r="S125" s="48">
        <v>26856.760256699137</v>
      </c>
      <c r="T125" s="48">
        <v>26856.760256699137</v>
      </c>
      <c r="U125" s="75">
        <v>27516.963354929248</v>
      </c>
      <c r="W125" t="s">
        <v>152</v>
      </c>
      <c r="X125" s="48">
        <v>84343.629284765571</v>
      </c>
      <c r="Y125" s="48">
        <v>84343.629284765571</v>
      </c>
      <c r="Z125" s="75">
        <v>57742.444255956601</v>
      </c>
      <c r="AA125" s="48"/>
      <c r="AB125" s="48" t="s">
        <v>152</v>
      </c>
      <c r="AC125" s="59">
        <v>278402.01094420638</v>
      </c>
      <c r="AD125" s="82">
        <v>1453.4250705365741</v>
      </c>
      <c r="AE125" s="59"/>
      <c r="AF125" s="59"/>
      <c r="AG125" s="59"/>
      <c r="AH125" s="59"/>
      <c r="AI125" s="48"/>
      <c r="AJ125" s="75"/>
      <c r="AK125" s="48"/>
      <c r="AL125" s="48"/>
      <c r="AM125" s="75"/>
      <c r="AO125" t="s">
        <v>266</v>
      </c>
      <c r="AQ125" s="7">
        <f t="shared" si="7"/>
        <v>542301.48251389852</v>
      </c>
      <c r="AR125" s="44">
        <v>197185.09885792132</v>
      </c>
      <c r="AT125" s="7">
        <f t="shared" si="4"/>
        <v>739486.58137181983</v>
      </c>
      <c r="AV125" s="7">
        <f t="shared" si="8"/>
        <v>109000.48342009382</v>
      </c>
    </row>
    <row r="126" spans="4:48" x14ac:dyDescent="0.3">
      <c r="D126" s="48"/>
      <c r="E126" s="48"/>
      <c r="F126" s="48"/>
      <c r="G126" s="48"/>
      <c r="H126" s="48"/>
      <c r="I126" s="48"/>
      <c r="J126" s="48"/>
      <c r="K126" s="48"/>
      <c r="L126" s="48"/>
      <c r="M126" s="48" t="s">
        <v>153</v>
      </c>
      <c r="N126" s="60">
        <v>3233.629719171834</v>
      </c>
      <c r="O126" s="60">
        <v>3233.629719171834</v>
      </c>
      <c r="P126" s="75">
        <v>3473.3629172571609</v>
      </c>
      <c r="Q126" s="48"/>
      <c r="R126" s="48" t="s">
        <v>153</v>
      </c>
      <c r="S126" s="60">
        <v>3526.5882134099465</v>
      </c>
      <c r="T126" s="60">
        <v>3526.5882134099465</v>
      </c>
      <c r="U126" s="75">
        <v>3613.280146555318</v>
      </c>
      <c r="W126" t="s">
        <v>153</v>
      </c>
      <c r="X126" s="60">
        <v>15962.573145053657</v>
      </c>
      <c r="Y126" s="60">
        <v>15962.573145053657</v>
      </c>
      <c r="Z126" s="75">
        <v>10928.128156519517</v>
      </c>
      <c r="AA126" s="48"/>
      <c r="AB126" s="48" t="s">
        <v>153</v>
      </c>
      <c r="AC126" s="63">
        <v>38510.806012895991</v>
      </c>
      <c r="AD126" s="82">
        <v>201.04944916123813</v>
      </c>
      <c r="AE126" s="63"/>
      <c r="AF126" s="63"/>
      <c r="AG126" s="59"/>
      <c r="AH126" s="63"/>
      <c r="AI126" s="60"/>
      <c r="AJ126" s="81"/>
      <c r="AK126" s="60"/>
      <c r="AL126" s="60"/>
      <c r="AM126" s="76"/>
      <c r="AO126" t="s">
        <v>153</v>
      </c>
      <c r="AQ126" s="51">
        <f t="shared" si="7"/>
        <v>83956.388168166857</v>
      </c>
      <c r="AR126" s="42"/>
      <c r="AT126" s="51">
        <f t="shared" si="4"/>
        <v>83956.388168166857</v>
      </c>
      <c r="AV126" s="7">
        <f t="shared" si="8"/>
        <v>18215.820669493234</v>
      </c>
    </row>
    <row r="127" spans="4:48" x14ac:dyDescent="0.3">
      <c r="D127" s="48"/>
      <c r="E127" s="48"/>
      <c r="F127" s="48"/>
      <c r="G127" s="48"/>
      <c r="H127" s="48"/>
      <c r="I127" s="48"/>
      <c r="J127" s="48"/>
      <c r="K127" s="48"/>
      <c r="L127" s="48"/>
      <c r="M127" s="48"/>
      <c r="N127" s="48"/>
      <c r="O127" s="48"/>
      <c r="P127" s="75"/>
      <c r="Q127" s="48"/>
      <c r="R127" s="48"/>
      <c r="S127" s="48"/>
      <c r="T127" s="48"/>
      <c r="U127" s="75"/>
      <c r="X127" s="48"/>
      <c r="Y127" s="48"/>
      <c r="Z127" s="75"/>
      <c r="AA127" s="48"/>
      <c r="AB127" s="48" t="s">
        <v>312</v>
      </c>
      <c r="AC127" s="7">
        <f>SUM(AC75:AC126)</f>
        <v>5806886.9279106483</v>
      </c>
      <c r="AD127" s="83"/>
      <c r="AE127" s="7"/>
      <c r="AF127" s="7"/>
      <c r="AI127" s="48"/>
      <c r="AJ127" s="75"/>
      <c r="AK127" s="48"/>
      <c r="AL127" s="48"/>
      <c r="AM127" s="75"/>
      <c r="AT127" s="7"/>
    </row>
    <row r="128" spans="4:48" ht="15" thickBot="1" x14ac:dyDescent="0.35">
      <c r="D128" s="48"/>
      <c r="E128" s="48"/>
      <c r="F128" s="48"/>
      <c r="G128" s="48"/>
      <c r="H128" s="48"/>
      <c r="I128" s="48"/>
      <c r="J128" s="48"/>
      <c r="K128" s="48"/>
      <c r="L128" s="48"/>
      <c r="M128" s="54" t="s">
        <v>304</v>
      </c>
      <c r="N128" s="54">
        <f>SUM(N5:N126)</f>
        <v>1414828.730491475</v>
      </c>
      <c r="O128" s="54">
        <f>SUM(O5:O126)</f>
        <v>1414828.730491475</v>
      </c>
      <c r="P128" s="77">
        <f>SUM(P5:P126)</f>
        <v>1519720.5810979162</v>
      </c>
      <c r="Q128" s="54"/>
      <c r="R128" s="54"/>
      <c r="S128" s="54">
        <f>SUM(S5:S126)</f>
        <v>1514304.8516310942</v>
      </c>
      <c r="T128" s="54">
        <f>SUM(T5:T126)</f>
        <v>1514304.8537186529</v>
      </c>
      <c r="U128" s="77">
        <f>SUM(U5:U126)</f>
        <v>1551530.0696080963</v>
      </c>
      <c r="V128" s="15"/>
      <c r="W128" s="15"/>
      <c r="X128" s="54">
        <f>SUM(X5:X126)</f>
        <v>3273341.1954636676</v>
      </c>
      <c r="Y128" s="54">
        <f>SUM(Y5:Y126)</f>
        <v>3273341.1954636676</v>
      </c>
      <c r="Z128" s="77">
        <f>SUM(Z5:Z126)</f>
        <v>2240960.2611673106</v>
      </c>
      <c r="AA128" s="54"/>
      <c r="AB128" s="54"/>
      <c r="AC128" s="54">
        <f>SUM(AC5:AC126)-AC72</f>
        <v>16759077.332112312</v>
      </c>
      <c r="AD128" s="77">
        <f>SUM(AD5:AD126)-AD72</f>
        <v>87492.410959756831</v>
      </c>
      <c r="AE128" s="33"/>
      <c r="AF128" s="33"/>
      <c r="AG128" s="15"/>
      <c r="AH128" s="54">
        <f>SUM(AH17:AH126)</f>
        <v>471609.57578598952</v>
      </c>
      <c r="AI128" s="54">
        <f>SUM(AI17:AI126)</f>
        <v>471609.57578598952</v>
      </c>
      <c r="AJ128" s="77">
        <f>SUM(AJ17:AJ55)</f>
        <v>506573.52703263867</v>
      </c>
      <c r="AK128" s="54">
        <f>SUM(AK17:AK126)</f>
        <v>504768.2838770313</v>
      </c>
      <c r="AL128" s="54">
        <f>SUM(AL17:AL126)</f>
        <v>504768.2838770313</v>
      </c>
      <c r="AM128" s="77">
        <f>SUM(AM17:AM55)</f>
        <v>517176.68986936565</v>
      </c>
      <c r="AO128" s="7"/>
      <c r="AQ128" s="54">
        <f>SUM(AQ5:AQ127)</f>
        <v>176324956.08752412</v>
      </c>
      <c r="AR128" s="64">
        <f>SUM(AR5:AR126)</f>
        <v>70653231.419232368</v>
      </c>
      <c r="AT128" s="33">
        <f>SUM(AT5:AT127)</f>
        <v>246978187.50675631</v>
      </c>
      <c r="AV128" s="179">
        <f>SUM(AV5:AV126)</f>
        <v>36399570.058498852</v>
      </c>
    </row>
    <row r="129" spans="4:47" ht="15" thickTop="1" x14ac:dyDescent="0.3">
      <c r="D129" s="48"/>
      <c r="E129" s="48"/>
      <c r="F129" s="48"/>
      <c r="G129" s="48"/>
      <c r="H129" s="48"/>
      <c r="I129" s="48"/>
      <c r="J129" s="48"/>
      <c r="K129" s="48"/>
      <c r="L129" s="48"/>
      <c r="M129" s="48"/>
      <c r="N129" s="61" t="s">
        <v>305</v>
      </c>
      <c r="O129" s="61" t="s">
        <v>305</v>
      </c>
      <c r="P129" s="61"/>
      <c r="Q129" s="48"/>
      <c r="R129" s="48"/>
      <c r="S129" s="61" t="s">
        <v>305</v>
      </c>
      <c r="T129" s="61" t="s">
        <v>305</v>
      </c>
      <c r="U129" s="61"/>
      <c r="V129" s="15"/>
      <c r="W129" s="15"/>
      <c r="X129" s="61" t="s">
        <v>305</v>
      </c>
      <c r="Y129" s="61" t="s">
        <v>305</v>
      </c>
      <c r="Z129" s="61"/>
      <c r="AA129" s="54"/>
      <c r="AB129" s="54"/>
      <c r="AC129" s="65"/>
      <c r="AD129" s="65"/>
      <c r="AE129" s="65"/>
      <c r="AF129" s="65"/>
      <c r="AH129" s="61"/>
      <c r="AI129" s="61"/>
      <c r="AJ129" s="61"/>
      <c r="AK129" s="61"/>
      <c r="AL129" s="61"/>
      <c r="AM129" s="61"/>
      <c r="AQ129" s="65" t="s">
        <v>305</v>
      </c>
      <c r="AR129" s="65" t="s">
        <v>305</v>
      </c>
      <c r="AT129" s="65" t="s">
        <v>313</v>
      </c>
    </row>
    <row r="130" spans="4:47" x14ac:dyDescent="0.3">
      <c r="D130" s="48"/>
      <c r="E130" s="48"/>
      <c r="F130" s="48"/>
      <c r="G130" s="48"/>
      <c r="H130" s="48"/>
      <c r="I130" s="48"/>
      <c r="J130" s="48"/>
      <c r="K130" s="48"/>
      <c r="L130" s="48"/>
      <c r="O130" s="48"/>
      <c r="P130" s="48"/>
      <c r="Q130" s="48"/>
      <c r="R130" s="48"/>
      <c r="S130" s="54"/>
      <c r="T130" s="54"/>
      <c r="U130" s="54"/>
      <c r="V130" s="15"/>
      <c r="W130" s="15"/>
      <c r="X130" s="54"/>
      <c r="Y130" s="54"/>
      <c r="Z130" s="54"/>
      <c r="AA130" s="54"/>
      <c r="AB130" s="54"/>
      <c r="AC130" s="15"/>
      <c r="AD130" s="15"/>
      <c r="AH130" s="54"/>
      <c r="AI130" s="54"/>
      <c r="AJ130" s="54"/>
      <c r="AK130" s="54"/>
      <c r="AL130" s="54"/>
      <c r="AM130" s="54"/>
      <c r="AQ130" s="7"/>
      <c r="AR130" s="54" t="s">
        <v>293</v>
      </c>
      <c r="AS130" s="48"/>
      <c r="AT130" s="54">
        <v>12468215.630000001</v>
      </c>
      <c r="AU130" s="66"/>
    </row>
    <row r="131" spans="4:47" x14ac:dyDescent="0.3">
      <c r="D131" s="48"/>
      <c r="E131" s="48"/>
      <c r="F131" s="48"/>
      <c r="G131" s="48"/>
      <c r="H131" s="48"/>
      <c r="I131" s="48"/>
      <c r="J131" s="48"/>
      <c r="K131" s="48"/>
      <c r="L131" s="48"/>
      <c r="O131" s="48"/>
      <c r="P131" s="48"/>
      <c r="Q131" s="48"/>
      <c r="R131" s="48"/>
      <c r="S131" s="54"/>
      <c r="T131" s="54"/>
      <c r="U131" s="54"/>
      <c r="V131" s="15"/>
      <c r="W131" s="15"/>
      <c r="X131" s="54"/>
      <c r="Y131" s="54"/>
      <c r="Z131" s="54"/>
      <c r="AA131" s="54"/>
      <c r="AB131" s="54"/>
      <c r="AC131" s="15"/>
      <c r="AD131" s="15"/>
      <c r="AH131" s="54"/>
      <c r="AI131" s="54"/>
      <c r="AJ131" s="54"/>
      <c r="AK131" s="54"/>
      <c r="AL131" s="54"/>
      <c r="AM131" s="54"/>
      <c r="AR131" s="54" t="s">
        <v>294</v>
      </c>
      <c r="AS131" s="48"/>
      <c r="AT131" s="54">
        <v>11516328.51</v>
      </c>
      <c r="AU131" s="66"/>
    </row>
    <row r="132" spans="4:47" x14ac:dyDescent="0.3">
      <c r="D132" s="48"/>
      <c r="E132" s="48"/>
      <c r="F132" s="48"/>
      <c r="G132" s="48"/>
      <c r="H132" s="48"/>
      <c r="I132" s="48"/>
      <c r="J132" s="48"/>
      <c r="K132" s="48"/>
      <c r="L132" s="48"/>
      <c r="M132" s="48"/>
      <c r="N132" s="48"/>
      <c r="O132" s="48"/>
      <c r="P132" s="48"/>
      <c r="Q132" s="48"/>
      <c r="R132" s="48"/>
      <c r="S132" s="54"/>
      <c r="T132" s="54"/>
      <c r="U132" s="54"/>
      <c r="V132" s="15"/>
      <c r="W132" s="15"/>
      <c r="X132" s="54"/>
      <c r="Y132" s="54"/>
      <c r="Z132" s="54"/>
      <c r="AA132" s="54"/>
      <c r="AB132" s="54"/>
      <c r="AC132" s="15"/>
      <c r="AD132" s="15"/>
      <c r="AH132" s="48"/>
      <c r="AI132" s="48"/>
      <c r="AJ132" s="48"/>
      <c r="AK132" s="48"/>
      <c r="AL132" s="48"/>
      <c r="AM132" s="48"/>
    </row>
    <row r="133" spans="4:47" x14ac:dyDescent="0.3">
      <c r="D133" s="48"/>
      <c r="E133" s="48"/>
      <c r="F133" s="48"/>
      <c r="G133" s="48"/>
      <c r="H133" s="48"/>
      <c r="I133" s="48"/>
      <c r="J133" s="48"/>
      <c r="K133" s="48"/>
      <c r="L133" s="48"/>
      <c r="M133" s="48"/>
      <c r="N133" s="48"/>
      <c r="O133" s="48"/>
      <c r="P133" s="48"/>
      <c r="Q133" s="48"/>
      <c r="R133" s="48"/>
      <c r="S133" s="54"/>
      <c r="T133" s="54"/>
      <c r="U133" s="54"/>
      <c r="V133" s="15"/>
      <c r="AA133" s="54"/>
      <c r="AB133" s="54"/>
      <c r="AC133" s="15"/>
      <c r="AD133" s="15"/>
      <c r="AH133" s="48"/>
      <c r="AI133" s="48"/>
      <c r="AJ133" s="48"/>
      <c r="AK133" s="48"/>
      <c r="AL133" s="48"/>
      <c r="AM133" s="48"/>
    </row>
    <row r="134" spans="4:47" x14ac:dyDescent="0.3">
      <c r="D134" s="48"/>
      <c r="E134" s="48"/>
      <c r="F134" s="48"/>
      <c r="G134" s="48"/>
      <c r="H134" s="48"/>
      <c r="I134" s="48"/>
      <c r="J134" s="48"/>
      <c r="K134" s="48"/>
      <c r="L134" s="48"/>
      <c r="M134" s="48"/>
      <c r="N134" s="48"/>
      <c r="O134" s="48"/>
      <c r="P134" s="48"/>
      <c r="Q134" s="48"/>
      <c r="R134" s="48"/>
      <c r="S134" s="54"/>
      <c r="T134" s="54"/>
      <c r="U134" s="54"/>
      <c r="V134" s="15"/>
      <c r="AB134" s="54"/>
      <c r="AC134" s="15"/>
      <c r="AD134" s="15"/>
      <c r="AH134" s="48"/>
      <c r="AI134" s="48"/>
      <c r="AJ134" s="48"/>
      <c r="AK134" s="48"/>
      <c r="AL134" s="48"/>
      <c r="AM134" s="48"/>
      <c r="AQ134" s="7"/>
    </row>
    <row r="135" spans="4:47" x14ac:dyDescent="0.3">
      <c r="D135" s="48"/>
      <c r="E135" s="48"/>
      <c r="F135" s="48"/>
      <c r="G135" s="48"/>
      <c r="H135" s="48"/>
      <c r="I135" s="48"/>
      <c r="J135" s="48"/>
      <c r="K135" s="48"/>
      <c r="L135" s="48"/>
      <c r="M135" s="48"/>
      <c r="N135" s="48"/>
      <c r="O135" s="48"/>
      <c r="P135" s="48"/>
      <c r="Q135" s="48"/>
      <c r="R135" s="48"/>
      <c r="S135" s="48"/>
      <c r="T135" s="48"/>
      <c r="U135" s="48"/>
      <c r="AA135" s="48"/>
      <c r="AB135" s="48"/>
      <c r="AH135" s="48"/>
      <c r="AI135" s="48"/>
      <c r="AJ135" s="48"/>
      <c r="AK135" s="48"/>
      <c r="AL135" s="48"/>
      <c r="AM135" s="48"/>
      <c r="AQ135" s="7"/>
    </row>
    <row r="136" spans="4:47" x14ac:dyDescent="0.3">
      <c r="D136" s="48"/>
      <c r="E136" s="48"/>
      <c r="F136" s="48"/>
      <c r="G136" s="48"/>
      <c r="H136" s="48"/>
      <c r="I136" s="48"/>
      <c r="J136" s="48"/>
      <c r="K136" s="48"/>
      <c r="L136" s="48"/>
      <c r="M136" s="48"/>
      <c r="N136" s="48"/>
      <c r="O136" s="48"/>
      <c r="P136" s="48"/>
      <c r="Q136" s="48"/>
      <c r="R136" s="48"/>
      <c r="S136" s="48"/>
      <c r="T136" s="48"/>
      <c r="U136" s="48"/>
      <c r="AA136" s="48"/>
      <c r="AB136" s="48"/>
      <c r="AH136" s="48"/>
      <c r="AI136" s="48"/>
      <c r="AJ136" s="48"/>
      <c r="AK136" s="48"/>
      <c r="AL136" s="48"/>
      <c r="AM136" s="48"/>
      <c r="AQ136" s="7"/>
    </row>
    <row r="137" spans="4:47" x14ac:dyDescent="0.3">
      <c r="D137" s="48"/>
      <c r="E137" s="48"/>
      <c r="F137" s="48"/>
      <c r="G137" s="48"/>
      <c r="H137" s="48"/>
      <c r="I137" s="48"/>
      <c r="J137" s="48"/>
      <c r="K137" s="48"/>
      <c r="L137" s="48"/>
      <c r="M137" s="48"/>
      <c r="N137" s="48"/>
      <c r="O137" s="48"/>
      <c r="P137" s="48"/>
      <c r="Q137" s="48"/>
      <c r="R137" s="48"/>
      <c r="S137" s="48"/>
      <c r="T137" s="48"/>
      <c r="U137" s="48"/>
      <c r="AA137" s="48"/>
      <c r="AB137" s="48"/>
      <c r="AH137" s="48"/>
      <c r="AI137" s="48"/>
      <c r="AJ137" s="48"/>
      <c r="AK137" s="48"/>
      <c r="AL137" s="48"/>
      <c r="AM137" s="48"/>
    </row>
    <row r="138" spans="4:47" x14ac:dyDescent="0.3">
      <c r="AA138" s="48"/>
      <c r="AB138" s="48"/>
    </row>
    <row r="139" spans="4:47" x14ac:dyDescent="0.3">
      <c r="S139" s="7"/>
      <c r="AA139" s="48"/>
      <c r="AB139" s="48"/>
    </row>
    <row r="141" spans="4:47" x14ac:dyDescent="0.3">
      <c r="S141" s="7"/>
    </row>
    <row r="143" spans="4:47" x14ac:dyDescent="0.3">
      <c r="AR143" s="4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345AED64094D4D8307469A9ED6BB78" ma:contentTypeVersion="14" ma:contentTypeDescription="Create a new document." ma:contentTypeScope="" ma:versionID="93a429a7de876ef560d989c835c1103e">
  <xsd:schema xmlns:xsd="http://www.w3.org/2001/XMLSchema" xmlns:xs="http://www.w3.org/2001/XMLSchema" xmlns:p="http://schemas.microsoft.com/office/2006/metadata/properties" xmlns:ns2="7fc5aa47-f438-4196-b3b6-d3756d88bd61" xmlns:ns3="97f4d639-200a-4f35-a684-0b5f72844889" targetNamespace="http://schemas.microsoft.com/office/2006/metadata/properties" ma:root="true" ma:fieldsID="daebf5502880c01ea945cfb55f90afdf" ns2:_="" ns3:_="">
    <xsd:import namespace="7fc5aa47-f438-4196-b3b6-d3756d88bd61"/>
    <xsd:import namespace="97f4d639-200a-4f35-a684-0b5f7284488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c5aa47-f438-4196-b3b6-d3756d88bd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801ea644-9c4e-4dfb-916f-08a355146fa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f4d639-200a-4f35-a684-0b5f7284488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b6ff682-9065-43df-a90a-fcd3992773f7}" ma:internalName="TaxCatchAll" ma:showField="CatchAllData" ma:web="97f4d639-200a-4f35-a684-0b5f7284488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7f4d639-200a-4f35-a684-0b5f72844889" xsi:nil="true"/>
    <lcf76f155ced4ddcb4097134ff3c332f xmlns="7fc5aa47-f438-4196-b3b6-d3756d88bd6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67708C-ADB5-4839-A9E0-6B39DCDE6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c5aa47-f438-4196-b3b6-d3756d88bd61"/>
    <ds:schemaRef ds:uri="97f4d639-200a-4f35-a684-0b5f728448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A09C15-62E0-4A1A-AA34-EE3DD8E67C10}">
  <ds:schemaRefs>
    <ds:schemaRef ds:uri="http://schemas.microsoft.com/office/2006/metadata/properties"/>
    <ds:schemaRef ds:uri="http://schemas.microsoft.com/office/infopath/2007/PartnerControls"/>
    <ds:schemaRef ds:uri="97f4d639-200a-4f35-a684-0b5f72844889"/>
    <ds:schemaRef ds:uri="7fc5aa47-f438-4196-b3b6-d3756d88bd61"/>
  </ds:schemaRefs>
</ds:datastoreItem>
</file>

<file path=customXml/itemProps3.xml><?xml version="1.0" encoding="utf-8"?>
<ds:datastoreItem xmlns:ds="http://schemas.openxmlformats.org/officeDocument/2006/customXml" ds:itemID="{990D4254-DF1F-42CC-95C3-24024C3B78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Summary</vt:lpstr>
      <vt:lpstr>Wave 1 Distribution Breakdown</vt:lpstr>
      <vt:lpstr>Wave 1 Payment - Before partial</vt:lpstr>
      <vt:lpstr>Wave 1 J&amp;J Payment Detail</vt:lpstr>
      <vt:lpstr>Wave1 Distrib Part. Payment Det</vt:lpstr>
      <vt:lpstr>Wave 1 Distrib Partial Payment</vt:lpstr>
      <vt:lpstr>Endo Payment Detail</vt:lpstr>
      <vt:lpstr>Wave 2 Distribution Breakdown</vt:lpstr>
      <vt:lpstr>Wave 2 Payment Detail</vt:lpstr>
      <vt:lpstr>County Breakdown</vt:lpstr>
      <vt:lpstr>Teva Allergan Walmart County</vt:lpstr>
      <vt:lpstr>Walgreens and CVS County</vt:lpstr>
      <vt:lpstr>Teva Allergan Lit Breakdown</vt:lpstr>
      <vt:lpstr>Teva Litigating</vt:lpstr>
      <vt:lpstr>Allergan Litigating</vt:lpstr>
      <vt:lpstr>Pharmacies Breakdown</vt:lpstr>
      <vt:lpstr>Walgreens and CVS Litigating</vt:lpstr>
      <vt:lpstr>Walmart Litigating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Carson Shaffer</dc:creator>
  <cp:lastModifiedBy>Briana Anderson</cp:lastModifiedBy>
  <cp:lastPrinted>2025-12-03T15:05:13Z</cp:lastPrinted>
  <dcterms:created xsi:type="dcterms:W3CDTF">2025-10-31T18:25:56Z</dcterms:created>
  <dcterms:modified xsi:type="dcterms:W3CDTF">2025-12-03T15:05:18Z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dDocumentId">
    <vt:lpwstr>4922-2664-1788</vt:lpwstr>
  </property>
  <property fmtid="{D5CDD505-2E9C-101B-9397-08002B2CF9AE}" pid="3" name="ContentTypeId">
    <vt:lpwstr>0x010100E2345AED64094D4D8307469A9ED6BB78</vt:lpwstr>
  </property>
  <property fmtid="{D5CDD505-2E9C-101B-9397-08002B2CF9AE}" pid="4" name="MediaServiceImageTags">
    <vt:lpwstr/>
  </property>
</Properties>
</file>