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ccapoffice.sharepoint.com/sites/PAOpioidTrust/Shared Documents/Payments and Disbursements/Disbursements/Wave 1/Payment 3/"/>
    </mc:Choice>
  </mc:AlternateContent>
  <xr:revisionPtr revIDLastSave="117" documentId="11_8F5242C4EB3B3B5C9ACC4D1D37F5EF52D60AA89A" xr6:coauthVersionLast="47" xr6:coauthVersionMax="47" xr10:uidLastSave="{80C8621B-A09F-4F8A-A642-588C58CBCD6A}"/>
  <bookViews>
    <workbookView xWindow="19090" yWindow="-110" windowWidth="38620" windowHeight="21100" xr2:uid="{00000000-000D-0000-FFFF-FFFF00000000}"/>
  </bookViews>
  <sheets>
    <sheet name="Payment 3 Breakdown" sheetId="1" r:id="rId1"/>
    <sheet name="Payment 3 Correction" sheetId="8" r:id="rId2"/>
    <sheet name="Dist and JJ Totals" sheetId="2" r:id="rId3"/>
    <sheet name="Fees Calculations" sheetId="3" r:id="rId4"/>
    <sheet name="Dist and JJ County Payments" sheetId="4" r:id="rId5"/>
    <sheet name="Distributors Litigating Subs" sheetId="6" r:id="rId6"/>
    <sheet name="J&amp;J Litigating Subs" sheetId="7" r:id="rId7"/>
    <sheet name="MNK Total" sheetId="15" r:id="rId8"/>
    <sheet name="MNK County" sheetId="10" r:id="rId9"/>
    <sheet name="MNK Litigating Subs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5" l="1"/>
  <c r="F4" i="15" s="1"/>
  <c r="F3" i="15"/>
  <c r="E3" i="15"/>
  <c r="D3" i="15"/>
  <c r="G3" i="15" s="1"/>
  <c r="F2" i="15"/>
  <c r="E2" i="15"/>
  <c r="D2" i="15"/>
  <c r="G2" i="15" s="1"/>
  <c r="E4" i="14"/>
  <c r="E2" i="14"/>
  <c r="D9" i="14"/>
  <c r="D59" i="14" s="1"/>
  <c r="C9" i="14"/>
  <c r="E9" i="14" s="1"/>
  <c r="D4" i="14"/>
  <c r="D6" i="14" s="1"/>
  <c r="C4" i="14"/>
  <c r="C7" i="14" s="1"/>
  <c r="D64" i="14" l="1"/>
  <c r="D18" i="14"/>
  <c r="C64" i="14"/>
  <c r="E64" i="14" s="1"/>
  <c r="D22" i="14"/>
  <c r="C63" i="14"/>
  <c r="D62" i="14"/>
  <c r="D26" i="14"/>
  <c r="C62" i="14"/>
  <c r="E62" i="14" s="1"/>
  <c r="D30" i="14"/>
  <c r="C61" i="14"/>
  <c r="D34" i="14"/>
  <c r="C60" i="14"/>
  <c r="D38" i="14"/>
  <c r="C59" i="14"/>
  <c r="E59" i="14" s="1"/>
  <c r="D45" i="14"/>
  <c r="C58" i="14"/>
  <c r="C6" i="14"/>
  <c r="E6" i="14" s="1"/>
  <c r="D53" i="14"/>
  <c r="D12" i="14"/>
  <c r="D60" i="14"/>
  <c r="C15" i="14"/>
  <c r="D58" i="14"/>
  <c r="E4" i="15"/>
  <c r="D4" i="15"/>
  <c r="G4" i="15" s="1"/>
  <c r="D14" i="14"/>
  <c r="D16" i="14"/>
  <c r="D20" i="14"/>
  <c r="D24" i="14"/>
  <c r="D28" i="14"/>
  <c r="D32" i="14"/>
  <c r="D36" i="14"/>
  <c r="D41" i="14"/>
  <c r="D49" i="14"/>
  <c r="D57" i="14"/>
  <c r="D63" i="14"/>
  <c r="D61" i="14"/>
  <c r="D7" i="14"/>
  <c r="E7" i="14" s="1"/>
  <c r="C57" i="14"/>
  <c r="C55" i="14"/>
  <c r="C53" i="14"/>
  <c r="C51" i="14"/>
  <c r="C49" i="14"/>
  <c r="C47" i="14"/>
  <c r="C45" i="14"/>
  <c r="E45" i="14" s="1"/>
  <c r="C43" i="14"/>
  <c r="C41" i="14"/>
  <c r="C56" i="14"/>
  <c r="E56" i="14" s="1"/>
  <c r="C52" i="14"/>
  <c r="E52" i="14" s="1"/>
  <c r="C48" i="14"/>
  <c r="C44" i="14"/>
  <c r="C40" i="14"/>
  <c r="C38" i="14"/>
  <c r="E38" i="14" s="1"/>
  <c r="C36" i="14"/>
  <c r="C34" i="14"/>
  <c r="E34" i="14" s="1"/>
  <c r="C32" i="14"/>
  <c r="E32" i="14" s="1"/>
  <c r="C30" i="14"/>
  <c r="E30" i="14" s="1"/>
  <c r="C28" i="14"/>
  <c r="E28" i="14" s="1"/>
  <c r="C26" i="14"/>
  <c r="E26" i="14" s="1"/>
  <c r="C24" i="14"/>
  <c r="E24" i="14" s="1"/>
  <c r="C22" i="14"/>
  <c r="E22" i="14" s="1"/>
  <c r="C20" i="14"/>
  <c r="E20" i="14" s="1"/>
  <c r="C18" i="14"/>
  <c r="E18" i="14" s="1"/>
  <c r="C16" i="14"/>
  <c r="E16" i="14" s="1"/>
  <c r="C14" i="14"/>
  <c r="E14" i="14" s="1"/>
  <c r="C12" i="14"/>
  <c r="C50" i="14"/>
  <c r="E50" i="14" s="1"/>
  <c r="C42" i="14"/>
  <c r="E42" i="14" s="1"/>
  <c r="C37" i="14"/>
  <c r="C33" i="14"/>
  <c r="E33" i="14" s="1"/>
  <c r="C29" i="14"/>
  <c r="E29" i="14" s="1"/>
  <c r="C25" i="14"/>
  <c r="E25" i="14" s="1"/>
  <c r="C21" i="14"/>
  <c r="E21" i="14" s="1"/>
  <c r="C17" i="14"/>
  <c r="C13" i="14"/>
  <c r="C54" i="14"/>
  <c r="C46" i="14"/>
  <c r="C39" i="14"/>
  <c r="C35" i="14"/>
  <c r="C31" i="14"/>
  <c r="E31" i="14" s="1"/>
  <c r="C27" i="14"/>
  <c r="E27" i="14" s="1"/>
  <c r="C23" i="14"/>
  <c r="E23" i="14" s="1"/>
  <c r="C19" i="14"/>
  <c r="D56" i="14"/>
  <c r="D54" i="14"/>
  <c r="D52" i="14"/>
  <c r="D50" i="14"/>
  <c r="D48" i="14"/>
  <c r="D46" i="14"/>
  <c r="D44" i="14"/>
  <c r="D42" i="14"/>
  <c r="D40" i="14"/>
  <c r="D13" i="14"/>
  <c r="D15" i="14"/>
  <c r="D17" i="14"/>
  <c r="D19" i="14"/>
  <c r="D21" i="14"/>
  <c r="D23" i="14"/>
  <c r="D25" i="14"/>
  <c r="D27" i="14"/>
  <c r="D29" i="14"/>
  <c r="D31" i="14"/>
  <c r="D33" i="14"/>
  <c r="D35" i="14"/>
  <c r="D37" i="14"/>
  <c r="D39" i="14"/>
  <c r="D43" i="14"/>
  <c r="D47" i="14"/>
  <c r="D51" i="14"/>
  <c r="D55" i="14"/>
  <c r="E41" i="14" l="1"/>
  <c r="E61" i="14"/>
  <c r="E43" i="14"/>
  <c r="E15" i="14"/>
  <c r="E49" i="14"/>
  <c r="E39" i="14"/>
  <c r="E12" i="14"/>
  <c r="E36" i="14"/>
  <c r="E51" i="14"/>
  <c r="E63" i="14"/>
  <c r="E37" i="14"/>
  <c r="E46" i="14"/>
  <c r="E53" i="14"/>
  <c r="E58" i="14"/>
  <c r="E35" i="14"/>
  <c r="E54" i="14"/>
  <c r="E40" i="14"/>
  <c r="E55" i="14"/>
  <c r="E19" i="14"/>
  <c r="E47" i="14"/>
  <c r="E13" i="14"/>
  <c r="E44" i="14"/>
  <c r="E57" i="14"/>
  <c r="E17" i="14"/>
  <c r="E48" i="14"/>
  <c r="E60" i="14"/>
  <c r="G123" i="1" l="1"/>
  <c r="D70" i="10" l="1"/>
  <c r="C70" i="10"/>
  <c r="E70" i="10" s="1"/>
  <c r="D69" i="10"/>
  <c r="C69" i="10"/>
  <c r="D68" i="10"/>
  <c r="C68" i="10"/>
  <c r="E68" i="10" s="1"/>
  <c r="D67" i="10"/>
  <c r="C67" i="10"/>
  <c r="E67" i="10" s="1"/>
  <c r="D66" i="10"/>
  <c r="C66" i="10"/>
  <c r="D65" i="10"/>
  <c r="C65" i="10"/>
  <c r="E65" i="10" s="1"/>
  <c r="D64" i="10"/>
  <c r="C64" i="10"/>
  <c r="E64" i="10" s="1"/>
  <c r="D63" i="10"/>
  <c r="C63" i="10"/>
  <c r="E63" i="10" s="1"/>
  <c r="D62" i="10"/>
  <c r="C62" i="10"/>
  <c r="E62" i="10" s="1"/>
  <c r="D61" i="10"/>
  <c r="C61" i="10"/>
  <c r="E61" i="10" s="1"/>
  <c r="D60" i="10"/>
  <c r="C60" i="10"/>
  <c r="D59" i="10"/>
  <c r="C59" i="10"/>
  <c r="E59" i="10" s="1"/>
  <c r="D58" i="10"/>
  <c r="C58" i="10"/>
  <c r="D57" i="10"/>
  <c r="C57" i="10"/>
  <c r="E57" i="10" s="1"/>
  <c r="D56" i="10"/>
  <c r="C56" i="10"/>
  <c r="E56" i="10" s="1"/>
  <c r="D55" i="10"/>
  <c r="C55" i="10"/>
  <c r="E55" i="10" s="1"/>
  <c r="D54" i="10"/>
  <c r="C54" i="10"/>
  <c r="E54" i="10" s="1"/>
  <c r="D53" i="10"/>
  <c r="C53" i="10"/>
  <c r="E53" i="10" s="1"/>
  <c r="D52" i="10"/>
  <c r="C52" i="10"/>
  <c r="E52" i="10" s="1"/>
  <c r="D51" i="10"/>
  <c r="C51" i="10"/>
  <c r="E51" i="10" s="1"/>
  <c r="D50" i="10"/>
  <c r="C50" i="10"/>
  <c r="E50" i="10" s="1"/>
  <c r="D49" i="10"/>
  <c r="C49" i="10"/>
  <c r="E49" i="10" s="1"/>
  <c r="D48" i="10"/>
  <c r="C48" i="10"/>
  <c r="E48" i="10" s="1"/>
  <c r="D47" i="10"/>
  <c r="C47" i="10"/>
  <c r="E47" i="10" s="1"/>
  <c r="D46" i="10"/>
  <c r="C46" i="10"/>
  <c r="E46" i="10" s="1"/>
  <c r="D45" i="10"/>
  <c r="C45" i="10"/>
  <c r="E45" i="10" s="1"/>
  <c r="D44" i="10"/>
  <c r="C44" i="10"/>
  <c r="E44" i="10" s="1"/>
  <c r="D43" i="10"/>
  <c r="C43" i="10"/>
  <c r="E43" i="10" s="1"/>
  <c r="D42" i="10"/>
  <c r="C42" i="10"/>
  <c r="E42" i="10" s="1"/>
  <c r="D41" i="10"/>
  <c r="C41" i="10"/>
  <c r="E41" i="10" s="1"/>
  <c r="D40" i="10"/>
  <c r="C40" i="10"/>
  <c r="E40" i="10" s="1"/>
  <c r="D39" i="10"/>
  <c r="C39" i="10"/>
  <c r="E39" i="10" s="1"/>
  <c r="D38" i="10"/>
  <c r="C38" i="10"/>
  <c r="E38" i="10" s="1"/>
  <c r="D37" i="10"/>
  <c r="C37" i="10"/>
  <c r="E37" i="10" s="1"/>
  <c r="D36" i="10"/>
  <c r="C36" i="10"/>
  <c r="E36" i="10" s="1"/>
  <c r="D35" i="10"/>
  <c r="C35" i="10"/>
  <c r="E35" i="10" s="1"/>
  <c r="D34" i="10"/>
  <c r="C34" i="10"/>
  <c r="E34" i="10" s="1"/>
  <c r="D33" i="10"/>
  <c r="C33" i="10"/>
  <c r="E33" i="10" s="1"/>
  <c r="D32" i="10"/>
  <c r="C32" i="10"/>
  <c r="E32" i="10" s="1"/>
  <c r="D31" i="10"/>
  <c r="C31" i="10"/>
  <c r="E31" i="10" s="1"/>
  <c r="D30" i="10"/>
  <c r="C30" i="10"/>
  <c r="E30" i="10" s="1"/>
  <c r="D29" i="10"/>
  <c r="C29" i="10"/>
  <c r="E29" i="10" s="1"/>
  <c r="D28" i="10"/>
  <c r="C28" i="10"/>
  <c r="E28" i="10" s="1"/>
  <c r="D27" i="10"/>
  <c r="C27" i="10"/>
  <c r="E27" i="10" s="1"/>
  <c r="D26" i="10"/>
  <c r="C26" i="10"/>
  <c r="E26" i="10" s="1"/>
  <c r="D25" i="10"/>
  <c r="C25" i="10"/>
  <c r="E25" i="10" s="1"/>
  <c r="D24" i="10"/>
  <c r="C24" i="10"/>
  <c r="E24" i="10" s="1"/>
  <c r="D23" i="10"/>
  <c r="C23" i="10"/>
  <c r="E23" i="10" s="1"/>
  <c r="D22" i="10"/>
  <c r="C22" i="10"/>
  <c r="E22" i="10" s="1"/>
  <c r="D21" i="10"/>
  <c r="C21" i="10"/>
  <c r="E21" i="10" s="1"/>
  <c r="D20" i="10"/>
  <c r="C20" i="10"/>
  <c r="E20" i="10" s="1"/>
  <c r="D19" i="10"/>
  <c r="C19" i="10"/>
  <c r="E19" i="10" s="1"/>
  <c r="D18" i="10"/>
  <c r="C18" i="10"/>
  <c r="E18" i="10" s="1"/>
  <c r="D17" i="10"/>
  <c r="C17" i="10"/>
  <c r="E17" i="10" s="1"/>
  <c r="D16" i="10"/>
  <c r="C16" i="10"/>
  <c r="D15" i="10"/>
  <c r="C15" i="10"/>
  <c r="E15" i="10" s="1"/>
  <c r="D14" i="10"/>
  <c r="C14" i="10"/>
  <c r="E14" i="10" s="1"/>
  <c r="D13" i="10"/>
  <c r="C13" i="10"/>
  <c r="E13" i="10" s="1"/>
  <c r="D12" i="10"/>
  <c r="C12" i="10"/>
  <c r="E12" i="10" s="1"/>
  <c r="D11" i="10"/>
  <c r="C11" i="10"/>
  <c r="E11" i="10" s="1"/>
  <c r="D10" i="10"/>
  <c r="C10" i="10"/>
  <c r="E10" i="10" s="1"/>
  <c r="D9" i="10"/>
  <c r="C9" i="10"/>
  <c r="E9" i="10" s="1"/>
  <c r="D8" i="10"/>
  <c r="C8" i="10"/>
  <c r="E8" i="10" s="1"/>
  <c r="D7" i="10"/>
  <c r="C7" i="10"/>
  <c r="E7" i="10" s="1"/>
  <c r="D6" i="10"/>
  <c r="C6" i="10"/>
  <c r="E6" i="10" s="1"/>
  <c r="D5" i="10"/>
  <c r="C5" i="10"/>
  <c r="E5" i="10" s="1"/>
  <c r="D4" i="10"/>
  <c r="C4" i="10"/>
  <c r="E4" i="10" s="1"/>
  <c r="E1" i="10"/>
  <c r="E60" i="10" l="1"/>
  <c r="E66" i="10"/>
  <c r="E69" i="10"/>
  <c r="E16" i="10"/>
  <c r="E58" i="10"/>
  <c r="F79" i="7"/>
  <c r="L77" i="7"/>
  <c r="N55" i="7"/>
  <c r="L44" i="7"/>
  <c r="N35" i="7"/>
  <c r="L35" i="7"/>
  <c r="J31" i="7"/>
  <c r="H31" i="7"/>
  <c r="L29" i="7"/>
  <c r="F27" i="7"/>
  <c r="N25" i="7"/>
  <c r="L21" i="7"/>
  <c r="J21" i="7"/>
  <c r="N19" i="7"/>
  <c r="F17" i="7"/>
  <c r="N15" i="7"/>
  <c r="N13" i="7"/>
  <c r="L13" i="7"/>
  <c r="F13" i="7"/>
  <c r="N9" i="7"/>
  <c r="N33" i="7" s="1"/>
  <c r="M9" i="7"/>
  <c r="M14" i="7" s="1"/>
  <c r="L9" i="7"/>
  <c r="L69" i="7" s="1"/>
  <c r="K9" i="7"/>
  <c r="K12" i="7" s="1"/>
  <c r="J9" i="7"/>
  <c r="J50" i="7" s="1"/>
  <c r="I9" i="7"/>
  <c r="I14" i="7" s="1"/>
  <c r="H9" i="7"/>
  <c r="H40" i="7" s="1"/>
  <c r="G9" i="7"/>
  <c r="G12" i="7" s="1"/>
  <c r="F9" i="7"/>
  <c r="F25" i="7" s="1"/>
  <c r="E9" i="7"/>
  <c r="E14" i="7" s="1"/>
  <c r="N4" i="7"/>
  <c r="N7" i="7" s="1"/>
  <c r="M4" i="7"/>
  <c r="M8" i="7" s="1"/>
  <c r="L4" i="7"/>
  <c r="L7" i="7" s="1"/>
  <c r="K4" i="7"/>
  <c r="K8" i="7" s="1"/>
  <c r="J4" i="7"/>
  <c r="J7" i="7" s="1"/>
  <c r="I4" i="7"/>
  <c r="I8" i="7" s="1"/>
  <c r="H4" i="7"/>
  <c r="H7" i="7" s="1"/>
  <c r="G4" i="7"/>
  <c r="G8" i="7" s="1"/>
  <c r="F4" i="7"/>
  <c r="F7" i="7" s="1"/>
  <c r="E4" i="7"/>
  <c r="E8" i="7" s="1"/>
  <c r="H73" i="6"/>
  <c r="N71" i="6"/>
  <c r="M61" i="6"/>
  <c r="P60" i="6"/>
  <c r="J54" i="6"/>
  <c r="E54" i="6"/>
  <c r="F51" i="6"/>
  <c r="Q50" i="6"/>
  <c r="J47" i="6"/>
  <c r="F47" i="6"/>
  <c r="R43" i="6"/>
  <c r="N43" i="6"/>
  <c r="G40" i="6"/>
  <c r="R39" i="6"/>
  <c r="D37" i="6"/>
  <c r="S36" i="6"/>
  <c r="H33" i="6"/>
  <c r="D33" i="6"/>
  <c r="P29" i="6"/>
  <c r="L29" i="6"/>
  <c r="S26" i="6"/>
  <c r="O26" i="6"/>
  <c r="D25" i="6"/>
  <c r="U24" i="6"/>
  <c r="H23" i="6"/>
  <c r="F23" i="6"/>
  <c r="J21" i="6"/>
  <c r="H21" i="6"/>
  <c r="N19" i="6"/>
  <c r="L19" i="6"/>
  <c r="P17" i="6"/>
  <c r="N17" i="6"/>
  <c r="T15" i="6"/>
  <c r="R15" i="6"/>
  <c r="G14" i="6"/>
  <c r="T13" i="6"/>
  <c r="M12" i="6"/>
  <c r="I12" i="6"/>
  <c r="U9" i="6"/>
  <c r="U38" i="6" s="1"/>
  <c r="T9" i="6"/>
  <c r="T45" i="6" s="1"/>
  <c r="S9" i="6"/>
  <c r="S18" i="6" s="1"/>
  <c r="R9" i="6"/>
  <c r="R25" i="6" s="1"/>
  <c r="Q9" i="6"/>
  <c r="Q20" i="6" s="1"/>
  <c r="P9" i="6"/>
  <c r="P45" i="6" s="1"/>
  <c r="O9" i="6"/>
  <c r="O18" i="6" s="1"/>
  <c r="N9" i="6"/>
  <c r="N31" i="6" s="1"/>
  <c r="M9" i="6"/>
  <c r="M66" i="6" s="1"/>
  <c r="L9" i="6"/>
  <c r="L49" i="6" s="1"/>
  <c r="K9" i="6"/>
  <c r="K28" i="6" s="1"/>
  <c r="J9" i="6"/>
  <c r="J67" i="6" s="1"/>
  <c r="I9" i="6"/>
  <c r="I42" i="6" s="1"/>
  <c r="H9" i="6"/>
  <c r="H53" i="6" s="1"/>
  <c r="G9" i="6"/>
  <c r="G22" i="6" s="1"/>
  <c r="F9" i="6"/>
  <c r="F58" i="6" s="1"/>
  <c r="E9" i="6"/>
  <c r="E24" i="6" s="1"/>
  <c r="D9" i="6"/>
  <c r="D19" i="6" s="1"/>
  <c r="H8" i="6"/>
  <c r="D8" i="6"/>
  <c r="R6" i="6"/>
  <c r="U4" i="6"/>
  <c r="T4" i="6"/>
  <c r="T7" i="6" s="1"/>
  <c r="S4" i="6"/>
  <c r="R4" i="6"/>
  <c r="R7" i="6" s="1"/>
  <c r="Q4" i="6"/>
  <c r="P4" i="6"/>
  <c r="P7" i="6" s="1"/>
  <c r="O4" i="6"/>
  <c r="O8" i="6" s="1"/>
  <c r="N4" i="6"/>
  <c r="N7" i="6" s="1"/>
  <c r="M4" i="6"/>
  <c r="M8" i="6" s="1"/>
  <c r="L4" i="6"/>
  <c r="L7" i="6" s="1"/>
  <c r="K4" i="6"/>
  <c r="K8" i="6" s="1"/>
  <c r="J4" i="6"/>
  <c r="J7" i="6" s="1"/>
  <c r="I4" i="6"/>
  <c r="I8" i="6" s="1"/>
  <c r="H4" i="6"/>
  <c r="H7" i="6" s="1"/>
  <c r="G4" i="6"/>
  <c r="G8" i="6" s="1"/>
  <c r="F4" i="6"/>
  <c r="F7" i="6" s="1"/>
  <c r="E4" i="6"/>
  <c r="E8" i="6" s="1"/>
  <c r="D4" i="6"/>
  <c r="D7" i="6" s="1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U2" i="4"/>
  <c r="C13" i="3"/>
  <c r="C12" i="3"/>
  <c r="C3" i="3"/>
  <c r="B3" i="3"/>
  <c r="G4" i="2"/>
  <c r="G20" i="2" s="1"/>
  <c r="F4" i="2"/>
  <c r="F20" i="2" s="1"/>
  <c r="H20" i="2"/>
  <c r="D20" i="2"/>
  <c r="C20" i="2"/>
  <c r="O19" i="2"/>
  <c r="E19" i="2"/>
  <c r="J19" i="2" s="1"/>
  <c r="O18" i="2"/>
  <c r="E18" i="2"/>
  <c r="J18" i="2" s="1"/>
  <c r="M18" i="2" s="1"/>
  <c r="N18" i="2" s="1"/>
  <c r="O17" i="2"/>
  <c r="E17" i="2"/>
  <c r="J17" i="2" s="1"/>
  <c r="O16" i="2"/>
  <c r="E16" i="2"/>
  <c r="J16" i="2" s="1"/>
  <c r="M16" i="2" s="1"/>
  <c r="N16" i="2" s="1"/>
  <c r="O15" i="2"/>
  <c r="E15" i="2"/>
  <c r="J15" i="2" s="1"/>
  <c r="O14" i="2"/>
  <c r="E14" i="2"/>
  <c r="J14" i="2" s="1"/>
  <c r="M14" i="2" s="1"/>
  <c r="N14" i="2" s="1"/>
  <c r="O13" i="2"/>
  <c r="E13" i="2"/>
  <c r="J13" i="2" s="1"/>
  <c r="O12" i="2"/>
  <c r="J12" i="2"/>
  <c r="M12" i="2" s="1"/>
  <c r="N12" i="2" s="1"/>
  <c r="E12" i="2"/>
  <c r="O11" i="2"/>
  <c r="E11" i="2"/>
  <c r="J11" i="2" s="1"/>
  <c r="O10" i="2"/>
  <c r="E10" i="2"/>
  <c r="J10" i="2" s="1"/>
  <c r="M10" i="2" s="1"/>
  <c r="N10" i="2" s="1"/>
  <c r="O9" i="2"/>
  <c r="E9" i="2"/>
  <c r="J9" i="2" s="1"/>
  <c r="O8" i="2"/>
  <c r="J8" i="2"/>
  <c r="M8" i="2" s="1"/>
  <c r="N8" i="2" s="1"/>
  <c r="E8" i="2"/>
  <c r="O7" i="2"/>
  <c r="E7" i="2"/>
  <c r="J7" i="2" s="1"/>
  <c r="K7" i="2" s="1"/>
  <c r="O6" i="2"/>
  <c r="E6" i="2"/>
  <c r="J6" i="2" s="1"/>
  <c r="L6" i="2" s="1"/>
  <c r="O5" i="2"/>
  <c r="E5" i="2"/>
  <c r="J5" i="2" s="1"/>
  <c r="L5" i="2" s="1"/>
  <c r="E4" i="2"/>
  <c r="J4" i="2" s="1"/>
  <c r="K3" i="2"/>
  <c r="E3" i="2"/>
  <c r="J3" i="2" s="1"/>
  <c r="L3" i="2" s="1"/>
  <c r="O2" i="2"/>
  <c r="E2" i="2"/>
  <c r="N13" i="6" l="1"/>
  <c r="L15" i="6"/>
  <c r="H17" i="6"/>
  <c r="F19" i="6"/>
  <c r="U20" i="6"/>
  <c r="O22" i="6"/>
  <c r="I24" i="6"/>
  <c r="T25" i="6"/>
  <c r="S28" i="6"/>
  <c r="R31" i="6"/>
  <c r="N35" i="6"/>
  <c r="F39" i="6"/>
  <c r="Q42" i="6"/>
  <c r="E46" i="6"/>
  <c r="P49" i="6"/>
  <c r="L53" i="6"/>
  <c r="N58" i="6"/>
  <c r="G68" i="6"/>
  <c r="H25" i="7"/>
  <c r="F35" i="7"/>
  <c r="F42" i="7"/>
  <c r="N50" i="7"/>
  <c r="F71" i="7"/>
  <c r="P13" i="6"/>
  <c r="N15" i="6"/>
  <c r="J17" i="6"/>
  <c r="H19" i="6"/>
  <c r="D21" i="6"/>
  <c r="S22" i="6"/>
  <c r="M24" i="6"/>
  <c r="G26" i="6"/>
  <c r="D29" i="6"/>
  <c r="G32" i="6"/>
  <c r="R35" i="6"/>
  <c r="J39" i="6"/>
  <c r="F43" i="6"/>
  <c r="M46" i="6"/>
  <c r="T49" i="6"/>
  <c r="P53" i="6"/>
  <c r="S59" i="6"/>
  <c r="D69" i="6"/>
  <c r="H13" i="7"/>
  <c r="G16" i="7"/>
  <c r="F21" i="7"/>
  <c r="J25" i="7"/>
  <c r="N29" i="7"/>
  <c r="H35" i="7"/>
  <c r="J42" i="7"/>
  <c r="L53" i="7"/>
  <c r="N71" i="7"/>
  <c r="U3" i="4"/>
  <c r="U5" i="4"/>
  <c r="U7" i="4"/>
  <c r="U9" i="4"/>
  <c r="U11" i="4"/>
  <c r="U13" i="4"/>
  <c r="U15" i="4"/>
  <c r="U17" i="4"/>
  <c r="U19" i="4"/>
  <c r="U21" i="4"/>
  <c r="U23" i="4"/>
  <c r="U25" i="4"/>
  <c r="U27" i="4"/>
  <c r="U29" i="4"/>
  <c r="U31" i="4"/>
  <c r="U33" i="4"/>
  <c r="U35" i="4"/>
  <c r="U37" i="4"/>
  <c r="U39" i="4"/>
  <c r="U41" i="4"/>
  <c r="U43" i="4"/>
  <c r="U45" i="4"/>
  <c r="U47" i="4"/>
  <c r="U49" i="4"/>
  <c r="U51" i="4"/>
  <c r="U53" i="4"/>
  <c r="U55" i="4"/>
  <c r="U57" i="4"/>
  <c r="U59" i="4"/>
  <c r="U61" i="4"/>
  <c r="U63" i="4"/>
  <c r="U65" i="4"/>
  <c r="U67" i="4"/>
  <c r="U69" i="4"/>
  <c r="E12" i="6"/>
  <c r="R13" i="6"/>
  <c r="P15" i="6"/>
  <c r="L17" i="6"/>
  <c r="J19" i="6"/>
  <c r="F21" i="6"/>
  <c r="D23" i="6"/>
  <c r="Q24" i="6"/>
  <c r="K26" i="6"/>
  <c r="H29" i="6"/>
  <c r="O32" i="6"/>
  <c r="K36" i="6"/>
  <c r="N39" i="6"/>
  <c r="J43" i="6"/>
  <c r="U46" i="6"/>
  <c r="I50" i="6"/>
  <c r="T53" i="6"/>
  <c r="H60" i="6"/>
  <c r="T69" i="6"/>
  <c r="J13" i="7"/>
  <c r="K16" i="7"/>
  <c r="H21" i="7"/>
  <c r="L25" i="7"/>
  <c r="F31" i="7"/>
  <c r="J35" i="7"/>
  <c r="N42" i="7"/>
  <c r="F55" i="7"/>
  <c r="H73" i="7"/>
  <c r="L8" i="6"/>
  <c r="Q12" i="6"/>
  <c r="K14" i="6"/>
  <c r="E16" i="6"/>
  <c r="R17" i="6"/>
  <c r="P19" i="6"/>
  <c r="L21" i="6"/>
  <c r="J23" i="6"/>
  <c r="F25" i="6"/>
  <c r="D27" i="6"/>
  <c r="T29" i="6"/>
  <c r="L33" i="6"/>
  <c r="H37" i="6"/>
  <c r="O40" i="6"/>
  <c r="K44" i="6"/>
  <c r="N47" i="6"/>
  <c r="J51" i="6"/>
  <c r="R54" i="6"/>
  <c r="J62" i="6"/>
  <c r="U74" i="6"/>
  <c r="J17" i="7"/>
  <c r="N21" i="7"/>
  <c r="H27" i="7"/>
  <c r="L31" i="7"/>
  <c r="H36" i="7"/>
  <c r="F46" i="7"/>
  <c r="J59" i="7"/>
  <c r="H87" i="7"/>
  <c r="P8" i="6"/>
  <c r="U12" i="6"/>
  <c r="O14" i="6"/>
  <c r="I16" i="6"/>
  <c r="T17" i="6"/>
  <c r="R19" i="6"/>
  <c r="N21" i="6"/>
  <c r="L23" i="6"/>
  <c r="H25" i="6"/>
  <c r="F27" i="6"/>
  <c r="E30" i="6"/>
  <c r="P33" i="6"/>
  <c r="L37" i="6"/>
  <c r="D41" i="6"/>
  <c r="S44" i="6"/>
  <c r="R47" i="6"/>
  <c r="N51" i="6"/>
  <c r="O55" i="6"/>
  <c r="R62" i="6"/>
  <c r="R75" i="6"/>
  <c r="L17" i="7"/>
  <c r="F23" i="7"/>
  <c r="J27" i="7"/>
  <c r="N31" i="7"/>
  <c r="L36" i="7"/>
  <c r="J46" i="7"/>
  <c r="L61" i="7"/>
  <c r="F93" i="7"/>
  <c r="H44" i="7"/>
  <c r="T8" i="6"/>
  <c r="D13" i="6"/>
  <c r="S14" i="6"/>
  <c r="M16" i="6"/>
  <c r="G18" i="6"/>
  <c r="T19" i="6"/>
  <c r="P21" i="6"/>
  <c r="N23" i="6"/>
  <c r="J25" i="6"/>
  <c r="H27" i="6"/>
  <c r="M30" i="6"/>
  <c r="T33" i="6"/>
  <c r="P37" i="6"/>
  <c r="H41" i="6"/>
  <c r="D45" i="6"/>
  <c r="G48" i="6"/>
  <c r="R51" i="6"/>
  <c r="D56" i="6"/>
  <c r="G63" i="6"/>
  <c r="O76" i="6"/>
  <c r="E7" i="7"/>
  <c r="N17" i="7"/>
  <c r="H23" i="7"/>
  <c r="L27" i="7"/>
  <c r="F33" i="7"/>
  <c r="F38" i="7"/>
  <c r="N46" i="7"/>
  <c r="F63" i="7"/>
  <c r="H57" i="7"/>
  <c r="F13" i="6"/>
  <c r="D15" i="6"/>
  <c r="Q16" i="6"/>
  <c r="K18" i="6"/>
  <c r="E20" i="6"/>
  <c r="R21" i="6"/>
  <c r="P23" i="6"/>
  <c r="L25" i="6"/>
  <c r="J27" i="6"/>
  <c r="U30" i="6"/>
  <c r="I34" i="6"/>
  <c r="T37" i="6"/>
  <c r="L41" i="6"/>
  <c r="H45" i="6"/>
  <c r="O48" i="6"/>
  <c r="K52" i="6"/>
  <c r="L56" i="6"/>
  <c r="S64" i="6"/>
  <c r="N85" i="6"/>
  <c r="G7" i="7"/>
  <c r="F15" i="7"/>
  <c r="F19" i="7"/>
  <c r="J23" i="7"/>
  <c r="N27" i="7"/>
  <c r="H33" i="7"/>
  <c r="J38" i="7"/>
  <c r="H48" i="7"/>
  <c r="N63" i="7"/>
  <c r="H17" i="7"/>
  <c r="H13" i="6"/>
  <c r="F15" i="6"/>
  <c r="U16" i="6"/>
  <c r="I20" i="6"/>
  <c r="T21" i="6"/>
  <c r="R23" i="6"/>
  <c r="N25" i="6"/>
  <c r="N27" i="6"/>
  <c r="F31" i="6"/>
  <c r="Q34" i="6"/>
  <c r="E38" i="6"/>
  <c r="P41" i="6"/>
  <c r="L45" i="6"/>
  <c r="D49" i="6"/>
  <c r="S52" i="6"/>
  <c r="T56" i="6"/>
  <c r="P65" i="6"/>
  <c r="I7" i="7"/>
  <c r="H15" i="7"/>
  <c r="H19" i="7"/>
  <c r="L23" i="7"/>
  <c r="F29" i="7"/>
  <c r="J33" i="7"/>
  <c r="N38" i="7"/>
  <c r="L48" i="7"/>
  <c r="H65" i="7"/>
  <c r="J13" i="6"/>
  <c r="H15" i="6"/>
  <c r="D17" i="6"/>
  <c r="M20" i="6"/>
  <c r="T23" i="6"/>
  <c r="P25" i="6"/>
  <c r="R27" i="6"/>
  <c r="J31" i="6"/>
  <c r="F35" i="6"/>
  <c r="M38" i="6"/>
  <c r="T41" i="6"/>
  <c r="H49" i="6"/>
  <c r="D53" i="6"/>
  <c r="I57" i="6"/>
  <c r="K7" i="7"/>
  <c r="J15" i="7"/>
  <c r="J19" i="7"/>
  <c r="N23" i="7"/>
  <c r="H29" i="7"/>
  <c r="L33" i="7"/>
  <c r="F50" i="7"/>
  <c r="J67" i="7"/>
  <c r="O20" i="2"/>
  <c r="L13" i="6"/>
  <c r="J15" i="6"/>
  <c r="F17" i="6"/>
  <c r="K22" i="6"/>
  <c r="J35" i="6"/>
  <c r="M7" i="7"/>
  <c r="L15" i="7"/>
  <c r="L19" i="7"/>
  <c r="J29" i="7"/>
  <c r="L40" i="7"/>
  <c r="U4" i="4"/>
  <c r="U6" i="4"/>
  <c r="U8" i="4"/>
  <c r="U10" i="4"/>
  <c r="U12" i="4"/>
  <c r="U14" i="4"/>
  <c r="U16" i="4"/>
  <c r="U18" i="4"/>
  <c r="U20" i="4"/>
  <c r="U22" i="4"/>
  <c r="U24" i="4"/>
  <c r="U26" i="4"/>
  <c r="U28" i="4"/>
  <c r="U30" i="4"/>
  <c r="U32" i="4"/>
  <c r="U34" i="4"/>
  <c r="U36" i="4"/>
  <c r="U38" i="4"/>
  <c r="U40" i="4"/>
  <c r="U42" i="4"/>
  <c r="U44" i="4"/>
  <c r="U46" i="4"/>
  <c r="U48" i="4"/>
  <c r="U50" i="4"/>
  <c r="U52" i="4"/>
  <c r="U54" i="4"/>
  <c r="U56" i="4"/>
  <c r="U58" i="4"/>
  <c r="U60" i="4"/>
  <c r="U62" i="4"/>
  <c r="U64" i="4"/>
  <c r="U66" i="4"/>
  <c r="U68" i="4"/>
  <c r="H6" i="7"/>
  <c r="L6" i="7"/>
  <c r="F8" i="7"/>
  <c r="J8" i="7"/>
  <c r="N8" i="7"/>
  <c r="F6" i="7"/>
  <c r="J6" i="7"/>
  <c r="N6" i="7"/>
  <c r="H8" i="7"/>
  <c r="L8" i="7"/>
  <c r="E97" i="7"/>
  <c r="E95" i="7"/>
  <c r="E93" i="7"/>
  <c r="E91" i="7"/>
  <c r="E89" i="7"/>
  <c r="E87" i="7"/>
  <c r="E85" i="7"/>
  <c r="E83" i="7"/>
  <c r="E94" i="7"/>
  <c r="E90" i="7"/>
  <c r="E86" i="7"/>
  <c r="E81" i="7"/>
  <c r="E79" i="7"/>
  <c r="E77" i="7"/>
  <c r="E75" i="7"/>
  <c r="E92" i="7"/>
  <c r="E84" i="7"/>
  <c r="E80" i="7"/>
  <c r="E76" i="7"/>
  <c r="E73" i="7"/>
  <c r="E71" i="7"/>
  <c r="E69" i="7"/>
  <c r="E67" i="7"/>
  <c r="E65" i="7"/>
  <c r="E63" i="7"/>
  <c r="E61" i="7"/>
  <c r="E59" i="7"/>
  <c r="E57" i="7"/>
  <c r="E55" i="7"/>
  <c r="E53" i="7"/>
  <c r="E88" i="7"/>
  <c r="E78" i="7"/>
  <c r="E72" i="7"/>
  <c r="E68" i="7"/>
  <c r="E64" i="7"/>
  <c r="E60" i="7"/>
  <c r="E56" i="7"/>
  <c r="E52" i="7"/>
  <c r="E50" i="7"/>
  <c r="E48" i="7"/>
  <c r="E46" i="7"/>
  <c r="E44" i="7"/>
  <c r="E42" i="7"/>
  <c r="E40" i="7"/>
  <c r="E38" i="7"/>
  <c r="E70" i="7"/>
  <c r="E62" i="7"/>
  <c r="E54" i="7"/>
  <c r="E51" i="7"/>
  <c r="E47" i="7"/>
  <c r="E43" i="7"/>
  <c r="E39" i="7"/>
  <c r="E35" i="7"/>
  <c r="E33" i="7"/>
  <c r="E31" i="7"/>
  <c r="E29" i="7"/>
  <c r="E27" i="7"/>
  <c r="E25" i="7"/>
  <c r="E23" i="7"/>
  <c r="E21" i="7"/>
  <c r="E19" i="7"/>
  <c r="E17" i="7"/>
  <c r="E15" i="7"/>
  <c r="E13" i="7"/>
  <c r="E96" i="7"/>
  <c r="E82" i="7"/>
  <c r="E74" i="7"/>
  <c r="E66" i="7"/>
  <c r="E58" i="7"/>
  <c r="E49" i="7"/>
  <c r="E45" i="7"/>
  <c r="E41" i="7"/>
  <c r="E37" i="7"/>
  <c r="E36" i="7"/>
  <c r="E34" i="7"/>
  <c r="E32" i="7"/>
  <c r="E30" i="7"/>
  <c r="E28" i="7"/>
  <c r="E26" i="7"/>
  <c r="E24" i="7"/>
  <c r="E22" i="7"/>
  <c r="E20" i="7"/>
  <c r="E18" i="7"/>
  <c r="G97" i="7"/>
  <c r="G95" i="7"/>
  <c r="G93" i="7"/>
  <c r="G91" i="7"/>
  <c r="G89" i="7"/>
  <c r="G87" i="7"/>
  <c r="G85" i="7"/>
  <c r="G83" i="7"/>
  <c r="G96" i="7"/>
  <c r="G92" i="7"/>
  <c r="G88" i="7"/>
  <c r="G84" i="7"/>
  <c r="G81" i="7"/>
  <c r="G79" i="7"/>
  <c r="G77" i="7"/>
  <c r="G75" i="7"/>
  <c r="G94" i="7"/>
  <c r="G86" i="7"/>
  <c r="G82" i="7"/>
  <c r="G78" i="7"/>
  <c r="G73" i="7"/>
  <c r="G71" i="7"/>
  <c r="G69" i="7"/>
  <c r="G67" i="7"/>
  <c r="G65" i="7"/>
  <c r="G63" i="7"/>
  <c r="G61" i="7"/>
  <c r="G59" i="7"/>
  <c r="G57" i="7"/>
  <c r="G55" i="7"/>
  <c r="G53" i="7"/>
  <c r="G80" i="7"/>
  <c r="G74" i="7"/>
  <c r="G70" i="7"/>
  <c r="G66" i="7"/>
  <c r="G62" i="7"/>
  <c r="G58" i="7"/>
  <c r="G54" i="7"/>
  <c r="G50" i="7"/>
  <c r="G48" i="7"/>
  <c r="G46" i="7"/>
  <c r="G44" i="7"/>
  <c r="G42" i="7"/>
  <c r="G40" i="7"/>
  <c r="G38" i="7"/>
  <c r="G36" i="7"/>
  <c r="G72" i="7"/>
  <c r="G64" i="7"/>
  <c r="G56" i="7"/>
  <c r="G49" i="7"/>
  <c r="G45" i="7"/>
  <c r="G41" i="7"/>
  <c r="G37" i="7"/>
  <c r="G35" i="7"/>
  <c r="G33" i="7"/>
  <c r="G31" i="7"/>
  <c r="G29" i="7"/>
  <c r="G27" i="7"/>
  <c r="G25" i="7"/>
  <c r="G23" i="7"/>
  <c r="G21" i="7"/>
  <c r="G19" i="7"/>
  <c r="G17" i="7"/>
  <c r="G15" i="7"/>
  <c r="G13" i="7"/>
  <c r="G90" i="7"/>
  <c r="G76" i="7"/>
  <c r="G68" i="7"/>
  <c r="G60" i="7"/>
  <c r="G52" i="7"/>
  <c r="G51" i="7"/>
  <c r="G47" i="7"/>
  <c r="G43" i="7"/>
  <c r="G39" i="7"/>
  <c r="G34" i="7"/>
  <c r="G32" i="7"/>
  <c r="G30" i="7"/>
  <c r="G28" i="7"/>
  <c r="G26" i="7"/>
  <c r="G24" i="7"/>
  <c r="G22" i="7"/>
  <c r="G20" i="7"/>
  <c r="G18" i="7"/>
  <c r="I97" i="7"/>
  <c r="I95" i="7"/>
  <c r="I93" i="7"/>
  <c r="I91" i="7"/>
  <c r="I89" i="7"/>
  <c r="I87" i="7"/>
  <c r="I85" i="7"/>
  <c r="I83" i="7"/>
  <c r="I94" i="7"/>
  <c r="I90" i="7"/>
  <c r="I86" i="7"/>
  <c r="I81" i="7"/>
  <c r="I79" i="7"/>
  <c r="I77" i="7"/>
  <c r="I75" i="7"/>
  <c r="I96" i="7"/>
  <c r="I88" i="7"/>
  <c r="I80" i="7"/>
  <c r="I76" i="7"/>
  <c r="I73" i="7"/>
  <c r="I71" i="7"/>
  <c r="I69" i="7"/>
  <c r="I67" i="7"/>
  <c r="I65" i="7"/>
  <c r="I63" i="7"/>
  <c r="I61" i="7"/>
  <c r="I59" i="7"/>
  <c r="I57" i="7"/>
  <c r="I55" i="7"/>
  <c r="I53" i="7"/>
  <c r="I92" i="7"/>
  <c r="I82" i="7"/>
  <c r="I72" i="7"/>
  <c r="I68" i="7"/>
  <c r="I64" i="7"/>
  <c r="I60" i="7"/>
  <c r="I56" i="7"/>
  <c r="I52" i="7"/>
  <c r="I50" i="7"/>
  <c r="I48" i="7"/>
  <c r="I46" i="7"/>
  <c r="I44" i="7"/>
  <c r="I42" i="7"/>
  <c r="I40" i="7"/>
  <c r="I38" i="7"/>
  <c r="I36" i="7"/>
  <c r="I78" i="7"/>
  <c r="I74" i="7"/>
  <c r="I66" i="7"/>
  <c r="I58" i="7"/>
  <c r="I51" i="7"/>
  <c r="I47" i="7"/>
  <c r="I43" i="7"/>
  <c r="I39" i="7"/>
  <c r="I35" i="7"/>
  <c r="I33" i="7"/>
  <c r="I31" i="7"/>
  <c r="I29" i="7"/>
  <c r="I27" i="7"/>
  <c r="I25" i="7"/>
  <c r="I23" i="7"/>
  <c r="I21" i="7"/>
  <c r="I19" i="7"/>
  <c r="I17" i="7"/>
  <c r="I15" i="7"/>
  <c r="I13" i="7"/>
  <c r="I84" i="7"/>
  <c r="I70" i="7"/>
  <c r="I62" i="7"/>
  <c r="I54" i="7"/>
  <c r="I49" i="7"/>
  <c r="I45" i="7"/>
  <c r="I41" i="7"/>
  <c r="I37" i="7"/>
  <c r="I34" i="7"/>
  <c r="I32" i="7"/>
  <c r="I30" i="7"/>
  <c r="I28" i="7"/>
  <c r="I26" i="7"/>
  <c r="I24" i="7"/>
  <c r="I22" i="7"/>
  <c r="I20" i="7"/>
  <c r="I18" i="7"/>
  <c r="K97" i="7"/>
  <c r="K95" i="7"/>
  <c r="K93" i="7"/>
  <c r="K91" i="7"/>
  <c r="K89" i="7"/>
  <c r="K87" i="7"/>
  <c r="K85" i="7"/>
  <c r="K83" i="7"/>
  <c r="K96" i="7"/>
  <c r="K92" i="7"/>
  <c r="K88" i="7"/>
  <c r="K84" i="7"/>
  <c r="K81" i="7"/>
  <c r="K79" i="7"/>
  <c r="K77" i="7"/>
  <c r="K75" i="7"/>
  <c r="K90" i="7"/>
  <c r="K82" i="7"/>
  <c r="K78" i="7"/>
  <c r="K73" i="7"/>
  <c r="K71" i="7"/>
  <c r="K69" i="7"/>
  <c r="K67" i="7"/>
  <c r="K65" i="7"/>
  <c r="K63" i="7"/>
  <c r="K61" i="7"/>
  <c r="K59" i="7"/>
  <c r="K57" i="7"/>
  <c r="K55" i="7"/>
  <c r="K53" i="7"/>
  <c r="K86" i="7"/>
  <c r="K76" i="7"/>
  <c r="K74" i="7"/>
  <c r="K70" i="7"/>
  <c r="K66" i="7"/>
  <c r="K62" i="7"/>
  <c r="K58" i="7"/>
  <c r="K54" i="7"/>
  <c r="K50" i="7"/>
  <c r="K48" i="7"/>
  <c r="K46" i="7"/>
  <c r="K44" i="7"/>
  <c r="K42" i="7"/>
  <c r="K40" i="7"/>
  <c r="K38" i="7"/>
  <c r="K36" i="7"/>
  <c r="K94" i="7"/>
  <c r="K68" i="7"/>
  <c r="K60" i="7"/>
  <c r="K52" i="7"/>
  <c r="K49" i="7"/>
  <c r="K45" i="7"/>
  <c r="K41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80" i="7"/>
  <c r="K72" i="7"/>
  <c r="K64" i="7"/>
  <c r="K56" i="7"/>
  <c r="K51" i="7"/>
  <c r="K47" i="7"/>
  <c r="K43" i="7"/>
  <c r="K39" i="7"/>
  <c r="K34" i="7"/>
  <c r="K32" i="7"/>
  <c r="K30" i="7"/>
  <c r="K28" i="7"/>
  <c r="K26" i="7"/>
  <c r="K24" i="7"/>
  <c r="K22" i="7"/>
  <c r="K20" i="7"/>
  <c r="K18" i="7"/>
  <c r="M97" i="7"/>
  <c r="M95" i="7"/>
  <c r="M93" i="7"/>
  <c r="M91" i="7"/>
  <c r="M89" i="7"/>
  <c r="M87" i="7"/>
  <c r="M85" i="7"/>
  <c r="M83" i="7"/>
  <c r="M94" i="7"/>
  <c r="M90" i="7"/>
  <c r="M86" i="7"/>
  <c r="M82" i="7"/>
  <c r="M81" i="7"/>
  <c r="M79" i="7"/>
  <c r="M77" i="7"/>
  <c r="M75" i="7"/>
  <c r="M92" i="7"/>
  <c r="M84" i="7"/>
  <c r="M80" i="7"/>
  <c r="M76" i="7"/>
  <c r="M73" i="7"/>
  <c r="M71" i="7"/>
  <c r="M69" i="7"/>
  <c r="M67" i="7"/>
  <c r="M65" i="7"/>
  <c r="M63" i="7"/>
  <c r="M61" i="7"/>
  <c r="M59" i="7"/>
  <c r="M57" i="7"/>
  <c r="M55" i="7"/>
  <c r="M53" i="7"/>
  <c r="M51" i="7"/>
  <c r="M96" i="7"/>
  <c r="M78" i="7"/>
  <c r="M72" i="7"/>
  <c r="M68" i="7"/>
  <c r="M64" i="7"/>
  <c r="M60" i="7"/>
  <c r="M56" i="7"/>
  <c r="M52" i="7"/>
  <c r="M50" i="7"/>
  <c r="M48" i="7"/>
  <c r="M46" i="7"/>
  <c r="M44" i="7"/>
  <c r="M42" i="7"/>
  <c r="M40" i="7"/>
  <c r="M38" i="7"/>
  <c r="M36" i="7"/>
  <c r="M88" i="7"/>
  <c r="M70" i="7"/>
  <c r="M62" i="7"/>
  <c r="M54" i="7"/>
  <c r="M47" i="7"/>
  <c r="M43" i="7"/>
  <c r="M39" i="7"/>
  <c r="M35" i="7"/>
  <c r="M33" i="7"/>
  <c r="M31" i="7"/>
  <c r="M29" i="7"/>
  <c r="M27" i="7"/>
  <c r="M25" i="7"/>
  <c r="M23" i="7"/>
  <c r="M21" i="7"/>
  <c r="M19" i="7"/>
  <c r="M17" i="7"/>
  <c r="M15" i="7"/>
  <c r="M13" i="7"/>
  <c r="M74" i="7"/>
  <c r="M66" i="7"/>
  <c r="M58" i="7"/>
  <c r="M49" i="7"/>
  <c r="M45" i="7"/>
  <c r="M41" i="7"/>
  <c r="M37" i="7"/>
  <c r="M34" i="7"/>
  <c r="M32" i="7"/>
  <c r="M30" i="7"/>
  <c r="M28" i="7"/>
  <c r="M26" i="7"/>
  <c r="M24" i="7"/>
  <c r="M22" i="7"/>
  <c r="M20" i="7"/>
  <c r="M18" i="7"/>
  <c r="M16" i="7"/>
  <c r="E12" i="7"/>
  <c r="I12" i="7"/>
  <c r="M12" i="7"/>
  <c r="G14" i="7"/>
  <c r="K14" i="7"/>
  <c r="E16" i="7"/>
  <c r="I16" i="7"/>
  <c r="E6" i="7"/>
  <c r="G6" i="7"/>
  <c r="I6" i="7"/>
  <c r="K6" i="7"/>
  <c r="M6" i="7"/>
  <c r="F96" i="7"/>
  <c r="F94" i="7"/>
  <c r="F92" i="7"/>
  <c r="F90" i="7"/>
  <c r="F88" i="7"/>
  <c r="F86" i="7"/>
  <c r="F84" i="7"/>
  <c r="F95" i="7"/>
  <c r="F91" i="7"/>
  <c r="F87" i="7"/>
  <c r="F83" i="7"/>
  <c r="F82" i="7"/>
  <c r="F80" i="7"/>
  <c r="F78" i="7"/>
  <c r="F76" i="7"/>
  <c r="F97" i="7"/>
  <c r="F89" i="7"/>
  <c r="F81" i="7"/>
  <c r="F77" i="7"/>
  <c r="F74" i="7"/>
  <c r="F72" i="7"/>
  <c r="F70" i="7"/>
  <c r="F68" i="7"/>
  <c r="F66" i="7"/>
  <c r="F64" i="7"/>
  <c r="F62" i="7"/>
  <c r="F60" i="7"/>
  <c r="F58" i="7"/>
  <c r="F56" i="7"/>
  <c r="F54" i="7"/>
  <c r="F52" i="7"/>
  <c r="F85" i="7"/>
  <c r="F75" i="7"/>
  <c r="F73" i="7"/>
  <c r="F69" i="7"/>
  <c r="F65" i="7"/>
  <c r="F61" i="7"/>
  <c r="F57" i="7"/>
  <c r="F53" i="7"/>
  <c r="F51" i="7"/>
  <c r="F49" i="7"/>
  <c r="F47" i="7"/>
  <c r="F45" i="7"/>
  <c r="F43" i="7"/>
  <c r="F41" i="7"/>
  <c r="F39" i="7"/>
  <c r="F37" i="7"/>
  <c r="H96" i="7"/>
  <c r="H94" i="7"/>
  <c r="H92" i="7"/>
  <c r="H90" i="7"/>
  <c r="H88" i="7"/>
  <c r="H86" i="7"/>
  <c r="H84" i="7"/>
  <c r="H97" i="7"/>
  <c r="H93" i="7"/>
  <c r="H89" i="7"/>
  <c r="H85" i="7"/>
  <c r="H82" i="7"/>
  <c r="H80" i="7"/>
  <c r="H78" i="7"/>
  <c r="H76" i="7"/>
  <c r="H91" i="7"/>
  <c r="H83" i="7"/>
  <c r="H79" i="7"/>
  <c r="H75" i="7"/>
  <c r="H74" i="7"/>
  <c r="H72" i="7"/>
  <c r="H70" i="7"/>
  <c r="H68" i="7"/>
  <c r="H66" i="7"/>
  <c r="H64" i="7"/>
  <c r="H62" i="7"/>
  <c r="H60" i="7"/>
  <c r="H58" i="7"/>
  <c r="H56" i="7"/>
  <c r="H54" i="7"/>
  <c r="H52" i="7"/>
  <c r="H95" i="7"/>
  <c r="H77" i="7"/>
  <c r="H71" i="7"/>
  <c r="H67" i="7"/>
  <c r="H63" i="7"/>
  <c r="H59" i="7"/>
  <c r="H55" i="7"/>
  <c r="H51" i="7"/>
  <c r="H49" i="7"/>
  <c r="H47" i="7"/>
  <c r="H45" i="7"/>
  <c r="H43" i="7"/>
  <c r="H41" i="7"/>
  <c r="H39" i="7"/>
  <c r="H37" i="7"/>
  <c r="J96" i="7"/>
  <c r="J94" i="7"/>
  <c r="J92" i="7"/>
  <c r="J90" i="7"/>
  <c r="J88" i="7"/>
  <c r="J86" i="7"/>
  <c r="J84" i="7"/>
  <c r="J95" i="7"/>
  <c r="J91" i="7"/>
  <c r="J87" i="7"/>
  <c r="J83" i="7"/>
  <c r="J82" i="7"/>
  <c r="J80" i="7"/>
  <c r="J78" i="7"/>
  <c r="J76" i="7"/>
  <c r="J93" i="7"/>
  <c r="J85" i="7"/>
  <c r="J81" i="7"/>
  <c r="J77" i="7"/>
  <c r="J74" i="7"/>
  <c r="J72" i="7"/>
  <c r="J70" i="7"/>
  <c r="J68" i="7"/>
  <c r="J66" i="7"/>
  <c r="J64" i="7"/>
  <c r="J62" i="7"/>
  <c r="J60" i="7"/>
  <c r="J58" i="7"/>
  <c r="J56" i="7"/>
  <c r="J54" i="7"/>
  <c r="J52" i="7"/>
  <c r="J89" i="7"/>
  <c r="J79" i="7"/>
  <c r="J73" i="7"/>
  <c r="J69" i="7"/>
  <c r="J65" i="7"/>
  <c r="J61" i="7"/>
  <c r="J57" i="7"/>
  <c r="J53" i="7"/>
  <c r="J51" i="7"/>
  <c r="J49" i="7"/>
  <c r="J47" i="7"/>
  <c r="J45" i="7"/>
  <c r="J43" i="7"/>
  <c r="J41" i="7"/>
  <c r="J39" i="7"/>
  <c r="J37" i="7"/>
  <c r="L96" i="7"/>
  <c r="L94" i="7"/>
  <c r="L92" i="7"/>
  <c r="L90" i="7"/>
  <c r="L88" i="7"/>
  <c r="L86" i="7"/>
  <c r="L84" i="7"/>
  <c r="L82" i="7"/>
  <c r="L97" i="7"/>
  <c r="L93" i="7"/>
  <c r="L89" i="7"/>
  <c r="L85" i="7"/>
  <c r="L80" i="7"/>
  <c r="L78" i="7"/>
  <c r="L76" i="7"/>
  <c r="L95" i="7"/>
  <c r="L87" i="7"/>
  <c r="L79" i="7"/>
  <c r="L75" i="7"/>
  <c r="L74" i="7"/>
  <c r="L72" i="7"/>
  <c r="L70" i="7"/>
  <c r="L68" i="7"/>
  <c r="L66" i="7"/>
  <c r="L64" i="7"/>
  <c r="L62" i="7"/>
  <c r="L60" i="7"/>
  <c r="L58" i="7"/>
  <c r="L56" i="7"/>
  <c r="L54" i="7"/>
  <c r="L52" i="7"/>
  <c r="L83" i="7"/>
  <c r="L81" i="7"/>
  <c r="L71" i="7"/>
  <c r="L67" i="7"/>
  <c r="L63" i="7"/>
  <c r="L59" i="7"/>
  <c r="L55" i="7"/>
  <c r="L51" i="7"/>
  <c r="L49" i="7"/>
  <c r="L47" i="7"/>
  <c r="L45" i="7"/>
  <c r="L43" i="7"/>
  <c r="L41" i="7"/>
  <c r="L39" i="7"/>
  <c r="L37" i="7"/>
  <c r="N96" i="7"/>
  <c r="N94" i="7"/>
  <c r="N92" i="7"/>
  <c r="N90" i="7"/>
  <c r="N88" i="7"/>
  <c r="N86" i="7"/>
  <c r="N84" i="7"/>
  <c r="N82" i="7"/>
  <c r="N95" i="7"/>
  <c r="N91" i="7"/>
  <c r="N87" i="7"/>
  <c r="N83" i="7"/>
  <c r="N80" i="7"/>
  <c r="N78" i="7"/>
  <c r="N76" i="7"/>
  <c r="N74" i="7"/>
  <c r="N97" i="7"/>
  <c r="N89" i="7"/>
  <c r="N81" i="7"/>
  <c r="N77" i="7"/>
  <c r="N72" i="7"/>
  <c r="N70" i="7"/>
  <c r="N68" i="7"/>
  <c r="N66" i="7"/>
  <c r="N64" i="7"/>
  <c r="N62" i="7"/>
  <c r="N60" i="7"/>
  <c r="N58" i="7"/>
  <c r="N56" i="7"/>
  <c r="N54" i="7"/>
  <c r="N52" i="7"/>
  <c r="N93" i="7"/>
  <c r="N75" i="7"/>
  <c r="N73" i="7"/>
  <c r="N69" i="7"/>
  <c r="N65" i="7"/>
  <c r="N61" i="7"/>
  <c r="N57" i="7"/>
  <c r="N53" i="7"/>
  <c r="N49" i="7"/>
  <c r="N47" i="7"/>
  <c r="N45" i="7"/>
  <c r="N43" i="7"/>
  <c r="N41" i="7"/>
  <c r="N39" i="7"/>
  <c r="N37" i="7"/>
  <c r="F12" i="7"/>
  <c r="H12" i="7"/>
  <c r="J12" i="7"/>
  <c r="L12" i="7"/>
  <c r="N12" i="7"/>
  <c r="F14" i="7"/>
  <c r="H14" i="7"/>
  <c r="J14" i="7"/>
  <c r="L14" i="7"/>
  <c r="N14" i="7"/>
  <c r="F16" i="7"/>
  <c r="H16" i="7"/>
  <c r="J16" i="7"/>
  <c r="L16" i="7"/>
  <c r="N16" i="7"/>
  <c r="F18" i="7"/>
  <c r="H18" i="7"/>
  <c r="J18" i="7"/>
  <c r="L18" i="7"/>
  <c r="N18" i="7"/>
  <c r="F20" i="7"/>
  <c r="H20" i="7"/>
  <c r="J20" i="7"/>
  <c r="L20" i="7"/>
  <c r="N20" i="7"/>
  <c r="F22" i="7"/>
  <c r="H22" i="7"/>
  <c r="J22" i="7"/>
  <c r="L22" i="7"/>
  <c r="N22" i="7"/>
  <c r="F24" i="7"/>
  <c r="H24" i="7"/>
  <c r="J24" i="7"/>
  <c r="L24" i="7"/>
  <c r="N24" i="7"/>
  <c r="F26" i="7"/>
  <c r="H26" i="7"/>
  <c r="J26" i="7"/>
  <c r="L26" i="7"/>
  <c r="N26" i="7"/>
  <c r="F28" i="7"/>
  <c r="H28" i="7"/>
  <c r="J28" i="7"/>
  <c r="L28" i="7"/>
  <c r="N28" i="7"/>
  <c r="F30" i="7"/>
  <c r="H30" i="7"/>
  <c r="J30" i="7"/>
  <c r="L30" i="7"/>
  <c r="N30" i="7"/>
  <c r="F32" i="7"/>
  <c r="H32" i="7"/>
  <c r="J32" i="7"/>
  <c r="L32" i="7"/>
  <c r="N32" i="7"/>
  <c r="F34" i="7"/>
  <c r="H34" i="7"/>
  <c r="J34" i="7"/>
  <c r="L34" i="7"/>
  <c r="N34" i="7"/>
  <c r="F36" i="7"/>
  <c r="J36" i="7"/>
  <c r="N36" i="7"/>
  <c r="H38" i="7"/>
  <c r="L38" i="7"/>
  <c r="F40" i="7"/>
  <c r="J40" i="7"/>
  <c r="N40" i="7"/>
  <c r="H42" i="7"/>
  <c r="L42" i="7"/>
  <c r="F44" i="7"/>
  <c r="J44" i="7"/>
  <c r="N44" i="7"/>
  <c r="H46" i="7"/>
  <c r="L46" i="7"/>
  <c r="F48" i="7"/>
  <c r="J48" i="7"/>
  <c r="N48" i="7"/>
  <c r="H50" i="7"/>
  <c r="L50" i="7"/>
  <c r="N51" i="7"/>
  <c r="H53" i="7"/>
  <c r="J55" i="7"/>
  <c r="L57" i="7"/>
  <c r="F59" i="7"/>
  <c r="N59" i="7"/>
  <c r="H61" i="7"/>
  <c r="J63" i="7"/>
  <c r="L65" i="7"/>
  <c r="F67" i="7"/>
  <c r="N67" i="7"/>
  <c r="H69" i="7"/>
  <c r="J71" i="7"/>
  <c r="L73" i="7"/>
  <c r="J75" i="7"/>
  <c r="N79" i="7"/>
  <c r="H81" i="7"/>
  <c r="N85" i="7"/>
  <c r="L91" i="7"/>
  <c r="J97" i="7"/>
  <c r="Q8" i="6"/>
  <c r="Q6" i="6"/>
  <c r="S8" i="6"/>
  <c r="S6" i="6"/>
  <c r="U8" i="6"/>
  <c r="U6" i="6"/>
  <c r="E6" i="6"/>
  <c r="G6" i="6"/>
  <c r="I6" i="6"/>
  <c r="K6" i="6"/>
  <c r="M6" i="6"/>
  <c r="O6" i="6"/>
  <c r="G7" i="6"/>
  <c r="K7" i="6"/>
  <c r="O7" i="6"/>
  <c r="S7" i="6"/>
  <c r="D6" i="6"/>
  <c r="F6" i="6"/>
  <c r="H6" i="6"/>
  <c r="J6" i="6"/>
  <c r="L6" i="6"/>
  <c r="N6" i="6"/>
  <c r="P6" i="6"/>
  <c r="T6" i="6"/>
  <c r="E7" i="6"/>
  <c r="I7" i="6"/>
  <c r="M7" i="6"/>
  <c r="Q7" i="6"/>
  <c r="U7" i="6"/>
  <c r="F8" i="6"/>
  <c r="J8" i="6"/>
  <c r="N8" i="6"/>
  <c r="R8" i="6"/>
  <c r="E89" i="6"/>
  <c r="E87" i="6"/>
  <c r="E85" i="6"/>
  <c r="E83" i="6"/>
  <c r="E86" i="6"/>
  <c r="E82" i="6"/>
  <c r="E81" i="6"/>
  <c r="E79" i="6"/>
  <c r="E77" i="6"/>
  <c r="E84" i="6"/>
  <c r="E80" i="6"/>
  <c r="E75" i="6"/>
  <c r="E73" i="6"/>
  <c r="E71" i="6"/>
  <c r="E69" i="6"/>
  <c r="E67" i="6"/>
  <c r="E65" i="6"/>
  <c r="E78" i="6"/>
  <c r="E76" i="6"/>
  <c r="E72" i="6"/>
  <c r="E68" i="6"/>
  <c r="E64" i="6"/>
  <c r="E62" i="6"/>
  <c r="E60" i="6"/>
  <c r="E58" i="6"/>
  <c r="E56" i="6"/>
  <c r="E88" i="6"/>
  <c r="E70" i="6"/>
  <c r="E63" i="6"/>
  <c r="E59" i="6"/>
  <c r="E55" i="6"/>
  <c r="E53" i="6"/>
  <c r="E51" i="6"/>
  <c r="E49" i="6"/>
  <c r="E47" i="6"/>
  <c r="E45" i="6"/>
  <c r="E43" i="6"/>
  <c r="E41" i="6"/>
  <c r="E39" i="6"/>
  <c r="E37" i="6"/>
  <c r="E35" i="6"/>
  <c r="E33" i="6"/>
  <c r="E31" i="6"/>
  <c r="E29" i="6"/>
  <c r="E66" i="6"/>
  <c r="E57" i="6"/>
  <c r="E52" i="6"/>
  <c r="E48" i="6"/>
  <c r="E44" i="6"/>
  <c r="E40" i="6"/>
  <c r="E36" i="6"/>
  <c r="E32" i="6"/>
  <c r="E28" i="6"/>
  <c r="E27" i="6"/>
  <c r="E25" i="6"/>
  <c r="E23" i="6"/>
  <c r="E21" i="6"/>
  <c r="E19" i="6"/>
  <c r="E17" i="6"/>
  <c r="E15" i="6"/>
  <c r="E13" i="6"/>
  <c r="G89" i="6"/>
  <c r="G87" i="6"/>
  <c r="G85" i="6"/>
  <c r="G83" i="6"/>
  <c r="G81" i="6"/>
  <c r="G88" i="6"/>
  <c r="G84" i="6"/>
  <c r="G79" i="6"/>
  <c r="G77" i="6"/>
  <c r="G86" i="6"/>
  <c r="G78" i="6"/>
  <c r="G75" i="6"/>
  <c r="G73" i="6"/>
  <c r="G71" i="6"/>
  <c r="G69" i="6"/>
  <c r="G67" i="6"/>
  <c r="G65" i="6"/>
  <c r="G80" i="6"/>
  <c r="G74" i="6"/>
  <c r="G70" i="6"/>
  <c r="G66" i="6"/>
  <c r="G62" i="6"/>
  <c r="G60" i="6"/>
  <c r="G58" i="6"/>
  <c r="G56" i="6"/>
  <c r="G72" i="6"/>
  <c r="G64" i="6"/>
  <c r="G61" i="6"/>
  <c r="G57" i="6"/>
  <c r="G53" i="6"/>
  <c r="G51" i="6"/>
  <c r="G49" i="6"/>
  <c r="G47" i="6"/>
  <c r="G45" i="6"/>
  <c r="G43" i="6"/>
  <c r="G41" i="6"/>
  <c r="G39" i="6"/>
  <c r="G37" i="6"/>
  <c r="G35" i="6"/>
  <c r="G33" i="6"/>
  <c r="G31" i="6"/>
  <c r="G29" i="6"/>
  <c r="G76" i="6"/>
  <c r="G59" i="6"/>
  <c r="G54" i="6"/>
  <c r="G50" i="6"/>
  <c r="G46" i="6"/>
  <c r="G42" i="6"/>
  <c r="G38" i="6"/>
  <c r="G34" i="6"/>
  <c r="G30" i="6"/>
  <c r="G27" i="6"/>
  <c r="G25" i="6"/>
  <c r="G23" i="6"/>
  <c r="G21" i="6"/>
  <c r="G19" i="6"/>
  <c r="G17" i="6"/>
  <c r="G15" i="6"/>
  <c r="G13" i="6"/>
  <c r="I89" i="6"/>
  <c r="I87" i="6"/>
  <c r="I85" i="6"/>
  <c r="I83" i="6"/>
  <c r="I81" i="6"/>
  <c r="I86" i="6"/>
  <c r="I82" i="6"/>
  <c r="I79" i="6"/>
  <c r="I77" i="6"/>
  <c r="I88" i="6"/>
  <c r="I80" i="6"/>
  <c r="I75" i="6"/>
  <c r="I73" i="6"/>
  <c r="I71" i="6"/>
  <c r="I69" i="6"/>
  <c r="I67" i="6"/>
  <c r="I65" i="6"/>
  <c r="I63" i="6"/>
  <c r="I84" i="6"/>
  <c r="I76" i="6"/>
  <c r="I72" i="6"/>
  <c r="I68" i="6"/>
  <c r="I64" i="6"/>
  <c r="I62" i="6"/>
  <c r="I60" i="6"/>
  <c r="I58" i="6"/>
  <c r="I56" i="6"/>
  <c r="I54" i="6"/>
  <c r="I74" i="6"/>
  <c r="I66" i="6"/>
  <c r="I59" i="6"/>
  <c r="I55" i="6"/>
  <c r="I53" i="6"/>
  <c r="I51" i="6"/>
  <c r="I49" i="6"/>
  <c r="I47" i="6"/>
  <c r="I45" i="6"/>
  <c r="I43" i="6"/>
  <c r="I41" i="6"/>
  <c r="I39" i="6"/>
  <c r="I37" i="6"/>
  <c r="I35" i="6"/>
  <c r="I33" i="6"/>
  <c r="I31" i="6"/>
  <c r="I29" i="6"/>
  <c r="I70" i="6"/>
  <c r="I61" i="6"/>
  <c r="I52" i="6"/>
  <c r="I48" i="6"/>
  <c r="I44" i="6"/>
  <c r="I40" i="6"/>
  <c r="I36" i="6"/>
  <c r="I32" i="6"/>
  <c r="I28" i="6"/>
  <c r="I27" i="6"/>
  <c r="I25" i="6"/>
  <c r="I23" i="6"/>
  <c r="I21" i="6"/>
  <c r="I19" i="6"/>
  <c r="I17" i="6"/>
  <c r="I15" i="6"/>
  <c r="I13" i="6"/>
  <c r="K89" i="6"/>
  <c r="K87" i="6"/>
  <c r="K85" i="6"/>
  <c r="K83" i="6"/>
  <c r="K81" i="6"/>
  <c r="K88" i="6"/>
  <c r="K84" i="6"/>
  <c r="K79" i="6"/>
  <c r="K77" i="6"/>
  <c r="K82" i="6"/>
  <c r="K78" i="6"/>
  <c r="K75" i="6"/>
  <c r="K73" i="6"/>
  <c r="K71" i="6"/>
  <c r="K69" i="6"/>
  <c r="K67" i="6"/>
  <c r="K65" i="6"/>
  <c r="K63" i="6"/>
  <c r="K74" i="6"/>
  <c r="K70" i="6"/>
  <c r="K66" i="6"/>
  <c r="K62" i="6"/>
  <c r="K60" i="6"/>
  <c r="K58" i="6"/>
  <c r="K56" i="6"/>
  <c r="K54" i="6"/>
  <c r="K86" i="6"/>
  <c r="K80" i="6"/>
  <c r="K76" i="6"/>
  <c r="K68" i="6"/>
  <c r="K61" i="6"/>
  <c r="K57" i="6"/>
  <c r="K53" i="6"/>
  <c r="K51" i="6"/>
  <c r="K49" i="6"/>
  <c r="K47" i="6"/>
  <c r="K45" i="6"/>
  <c r="K43" i="6"/>
  <c r="K41" i="6"/>
  <c r="K39" i="6"/>
  <c r="K37" i="6"/>
  <c r="K35" i="6"/>
  <c r="K33" i="6"/>
  <c r="K31" i="6"/>
  <c r="K29" i="6"/>
  <c r="K27" i="6"/>
  <c r="K64" i="6"/>
  <c r="K55" i="6"/>
  <c r="K50" i="6"/>
  <c r="K46" i="6"/>
  <c r="K42" i="6"/>
  <c r="K38" i="6"/>
  <c r="K34" i="6"/>
  <c r="K30" i="6"/>
  <c r="K25" i="6"/>
  <c r="K23" i="6"/>
  <c r="K21" i="6"/>
  <c r="K19" i="6"/>
  <c r="K17" i="6"/>
  <c r="K15" i="6"/>
  <c r="K13" i="6"/>
  <c r="M89" i="6"/>
  <c r="M87" i="6"/>
  <c r="M85" i="6"/>
  <c r="M83" i="6"/>
  <c r="M81" i="6"/>
  <c r="M86" i="6"/>
  <c r="M82" i="6"/>
  <c r="M79" i="6"/>
  <c r="M77" i="6"/>
  <c r="M84" i="6"/>
  <c r="M80" i="6"/>
  <c r="M75" i="6"/>
  <c r="M73" i="6"/>
  <c r="M71" i="6"/>
  <c r="M69" i="6"/>
  <c r="M67" i="6"/>
  <c r="M65" i="6"/>
  <c r="M63" i="6"/>
  <c r="M88" i="6"/>
  <c r="M78" i="6"/>
  <c r="M76" i="6"/>
  <c r="M72" i="6"/>
  <c r="M68" i="6"/>
  <c r="M64" i="6"/>
  <c r="M62" i="6"/>
  <c r="M60" i="6"/>
  <c r="M58" i="6"/>
  <c r="M56" i="6"/>
  <c r="M54" i="6"/>
  <c r="M70" i="6"/>
  <c r="M59" i="6"/>
  <c r="M55" i="6"/>
  <c r="M53" i="6"/>
  <c r="M51" i="6"/>
  <c r="M49" i="6"/>
  <c r="M47" i="6"/>
  <c r="M45" i="6"/>
  <c r="M43" i="6"/>
  <c r="M41" i="6"/>
  <c r="M39" i="6"/>
  <c r="M37" i="6"/>
  <c r="M35" i="6"/>
  <c r="M33" i="6"/>
  <c r="M31" i="6"/>
  <c r="M29" i="6"/>
  <c r="M27" i="6"/>
  <c r="M74" i="6"/>
  <c r="M57" i="6"/>
  <c r="M52" i="6"/>
  <c r="M48" i="6"/>
  <c r="M44" i="6"/>
  <c r="M40" i="6"/>
  <c r="M36" i="6"/>
  <c r="M32" i="6"/>
  <c r="M28" i="6"/>
  <c r="M25" i="6"/>
  <c r="M23" i="6"/>
  <c r="M21" i="6"/>
  <c r="M19" i="6"/>
  <c r="M17" i="6"/>
  <c r="M15" i="6"/>
  <c r="M13" i="6"/>
  <c r="O89" i="6"/>
  <c r="O87" i="6"/>
  <c r="O85" i="6"/>
  <c r="O83" i="6"/>
  <c r="O81" i="6"/>
  <c r="O88" i="6"/>
  <c r="O84" i="6"/>
  <c r="O79" i="6"/>
  <c r="O77" i="6"/>
  <c r="O86" i="6"/>
  <c r="O78" i="6"/>
  <c r="O75" i="6"/>
  <c r="O73" i="6"/>
  <c r="O71" i="6"/>
  <c r="O69" i="6"/>
  <c r="O67" i="6"/>
  <c r="O65" i="6"/>
  <c r="O63" i="6"/>
  <c r="O82" i="6"/>
  <c r="O80" i="6"/>
  <c r="O74" i="6"/>
  <c r="O70" i="6"/>
  <c r="O66" i="6"/>
  <c r="O62" i="6"/>
  <c r="O60" i="6"/>
  <c r="O58" i="6"/>
  <c r="O56" i="6"/>
  <c r="O54" i="6"/>
  <c r="O72" i="6"/>
  <c r="O64" i="6"/>
  <c r="O61" i="6"/>
  <c r="O57" i="6"/>
  <c r="O53" i="6"/>
  <c r="O51" i="6"/>
  <c r="O49" i="6"/>
  <c r="O47" i="6"/>
  <c r="O45" i="6"/>
  <c r="O43" i="6"/>
  <c r="O41" i="6"/>
  <c r="O39" i="6"/>
  <c r="O37" i="6"/>
  <c r="O35" i="6"/>
  <c r="O33" i="6"/>
  <c r="O31" i="6"/>
  <c r="O29" i="6"/>
  <c r="O27" i="6"/>
  <c r="O68" i="6"/>
  <c r="O59" i="6"/>
  <c r="O50" i="6"/>
  <c r="O46" i="6"/>
  <c r="O42" i="6"/>
  <c r="O38" i="6"/>
  <c r="O34" i="6"/>
  <c r="O30" i="6"/>
  <c r="O25" i="6"/>
  <c r="O23" i="6"/>
  <c r="O21" i="6"/>
  <c r="O19" i="6"/>
  <c r="O17" i="6"/>
  <c r="O15" i="6"/>
  <c r="O13" i="6"/>
  <c r="Q89" i="6"/>
  <c r="Q87" i="6"/>
  <c r="Q85" i="6"/>
  <c r="Q83" i="6"/>
  <c r="Q81" i="6"/>
  <c r="Q86" i="6"/>
  <c r="Q82" i="6"/>
  <c r="Q79" i="6"/>
  <c r="Q77" i="6"/>
  <c r="Q88" i="6"/>
  <c r="Q80" i="6"/>
  <c r="Q76" i="6"/>
  <c r="Q75" i="6"/>
  <c r="Q73" i="6"/>
  <c r="Q71" i="6"/>
  <c r="Q69" i="6"/>
  <c r="Q67" i="6"/>
  <c r="Q65" i="6"/>
  <c r="Q63" i="6"/>
  <c r="Q72" i="6"/>
  <c r="Q68" i="6"/>
  <c r="Q64" i="6"/>
  <c r="Q62" i="6"/>
  <c r="Q60" i="6"/>
  <c r="Q58" i="6"/>
  <c r="Q56" i="6"/>
  <c r="Q54" i="6"/>
  <c r="Q84" i="6"/>
  <c r="Q78" i="6"/>
  <c r="Q74" i="6"/>
  <c r="Q66" i="6"/>
  <c r="Q59" i="6"/>
  <c r="Q55" i="6"/>
  <c r="Q53" i="6"/>
  <c r="Q51" i="6"/>
  <c r="Q49" i="6"/>
  <c r="Q47" i="6"/>
  <c r="Q45" i="6"/>
  <c r="Q43" i="6"/>
  <c r="Q41" i="6"/>
  <c r="Q39" i="6"/>
  <c r="Q37" i="6"/>
  <c r="Q35" i="6"/>
  <c r="Q33" i="6"/>
  <c r="Q31" i="6"/>
  <c r="Q29" i="6"/>
  <c r="Q27" i="6"/>
  <c r="Q61" i="6"/>
  <c r="Q52" i="6"/>
  <c r="Q48" i="6"/>
  <c r="Q44" i="6"/>
  <c r="Q40" i="6"/>
  <c r="Q36" i="6"/>
  <c r="Q32" i="6"/>
  <c r="Q28" i="6"/>
  <c r="Q25" i="6"/>
  <c r="Q23" i="6"/>
  <c r="Q21" i="6"/>
  <c r="Q19" i="6"/>
  <c r="Q17" i="6"/>
  <c r="Q15" i="6"/>
  <c r="Q13" i="6"/>
  <c r="S89" i="6"/>
  <c r="S87" i="6"/>
  <c r="S85" i="6"/>
  <c r="S83" i="6"/>
  <c r="S81" i="6"/>
  <c r="S88" i="6"/>
  <c r="S84" i="6"/>
  <c r="S79" i="6"/>
  <c r="S77" i="6"/>
  <c r="S82" i="6"/>
  <c r="S78" i="6"/>
  <c r="S75" i="6"/>
  <c r="S73" i="6"/>
  <c r="S71" i="6"/>
  <c r="S69" i="6"/>
  <c r="S67" i="6"/>
  <c r="S65" i="6"/>
  <c r="S63" i="6"/>
  <c r="S86" i="6"/>
  <c r="S76" i="6"/>
  <c r="S74" i="6"/>
  <c r="S70" i="6"/>
  <c r="S66" i="6"/>
  <c r="S62" i="6"/>
  <c r="S60" i="6"/>
  <c r="S58" i="6"/>
  <c r="S56" i="6"/>
  <c r="S54" i="6"/>
  <c r="S68" i="6"/>
  <c r="S61" i="6"/>
  <c r="S57" i="6"/>
  <c r="S53" i="6"/>
  <c r="S51" i="6"/>
  <c r="S49" i="6"/>
  <c r="S47" i="6"/>
  <c r="S45" i="6"/>
  <c r="S43" i="6"/>
  <c r="S41" i="6"/>
  <c r="S39" i="6"/>
  <c r="S37" i="6"/>
  <c r="S35" i="6"/>
  <c r="S33" i="6"/>
  <c r="S31" i="6"/>
  <c r="S29" i="6"/>
  <c r="S27" i="6"/>
  <c r="S80" i="6"/>
  <c r="S72" i="6"/>
  <c r="S55" i="6"/>
  <c r="S50" i="6"/>
  <c r="S46" i="6"/>
  <c r="S42" i="6"/>
  <c r="S38" i="6"/>
  <c r="S34" i="6"/>
  <c r="S30" i="6"/>
  <c r="S25" i="6"/>
  <c r="S23" i="6"/>
  <c r="S21" i="6"/>
  <c r="S19" i="6"/>
  <c r="S17" i="6"/>
  <c r="S15" i="6"/>
  <c r="S13" i="6"/>
  <c r="U89" i="6"/>
  <c r="U87" i="6"/>
  <c r="U85" i="6"/>
  <c r="U83" i="6"/>
  <c r="U81" i="6"/>
  <c r="U86" i="6"/>
  <c r="U82" i="6"/>
  <c r="U79" i="6"/>
  <c r="U77" i="6"/>
  <c r="U84" i="6"/>
  <c r="U80" i="6"/>
  <c r="U76" i="6"/>
  <c r="U75" i="6"/>
  <c r="U73" i="6"/>
  <c r="U71" i="6"/>
  <c r="U69" i="6"/>
  <c r="U67" i="6"/>
  <c r="U65" i="6"/>
  <c r="U63" i="6"/>
  <c r="U78" i="6"/>
  <c r="U72" i="6"/>
  <c r="U68" i="6"/>
  <c r="U64" i="6"/>
  <c r="U62" i="6"/>
  <c r="U60" i="6"/>
  <c r="U58" i="6"/>
  <c r="U56" i="6"/>
  <c r="U54" i="6"/>
  <c r="U70" i="6"/>
  <c r="U59" i="6"/>
  <c r="U55" i="6"/>
  <c r="U53" i="6"/>
  <c r="U51" i="6"/>
  <c r="U49" i="6"/>
  <c r="U47" i="6"/>
  <c r="U45" i="6"/>
  <c r="U43" i="6"/>
  <c r="U41" i="6"/>
  <c r="U39" i="6"/>
  <c r="U37" i="6"/>
  <c r="U35" i="6"/>
  <c r="U33" i="6"/>
  <c r="U31" i="6"/>
  <c r="U29" i="6"/>
  <c r="U27" i="6"/>
  <c r="U66" i="6"/>
  <c r="U57" i="6"/>
  <c r="U52" i="6"/>
  <c r="U48" i="6"/>
  <c r="U44" i="6"/>
  <c r="U40" i="6"/>
  <c r="U36" i="6"/>
  <c r="U32" i="6"/>
  <c r="U28" i="6"/>
  <c r="U25" i="6"/>
  <c r="U23" i="6"/>
  <c r="U21" i="6"/>
  <c r="U19" i="6"/>
  <c r="U17" i="6"/>
  <c r="U15" i="6"/>
  <c r="U13" i="6"/>
  <c r="G12" i="6"/>
  <c r="K12" i="6"/>
  <c r="O12" i="6"/>
  <c r="S12" i="6"/>
  <c r="E14" i="6"/>
  <c r="I14" i="6"/>
  <c r="M14" i="6"/>
  <c r="Q14" i="6"/>
  <c r="U14" i="6"/>
  <c r="G16" i="6"/>
  <c r="K16" i="6"/>
  <c r="O16" i="6"/>
  <c r="S16" i="6"/>
  <c r="E18" i="6"/>
  <c r="I18" i="6"/>
  <c r="M18" i="6"/>
  <c r="Q18" i="6"/>
  <c r="U18" i="6"/>
  <c r="G20" i="6"/>
  <c r="K20" i="6"/>
  <c r="O20" i="6"/>
  <c r="S20" i="6"/>
  <c r="E22" i="6"/>
  <c r="I22" i="6"/>
  <c r="M22" i="6"/>
  <c r="Q22" i="6"/>
  <c r="U22" i="6"/>
  <c r="G24" i="6"/>
  <c r="K24" i="6"/>
  <c r="O24" i="6"/>
  <c r="S24" i="6"/>
  <c r="E26" i="6"/>
  <c r="I26" i="6"/>
  <c r="M26" i="6"/>
  <c r="Q26" i="6"/>
  <c r="U26" i="6"/>
  <c r="G28" i="6"/>
  <c r="O28" i="6"/>
  <c r="I30" i="6"/>
  <c r="Q30" i="6"/>
  <c r="K32" i="6"/>
  <c r="S32" i="6"/>
  <c r="E34" i="6"/>
  <c r="M34" i="6"/>
  <c r="U34" i="6"/>
  <c r="G36" i="6"/>
  <c r="O36" i="6"/>
  <c r="I38" i="6"/>
  <c r="Q38" i="6"/>
  <c r="K40" i="6"/>
  <c r="S40" i="6"/>
  <c r="E42" i="6"/>
  <c r="M42" i="6"/>
  <c r="U42" i="6"/>
  <c r="G44" i="6"/>
  <c r="O44" i="6"/>
  <c r="I46" i="6"/>
  <c r="Q46" i="6"/>
  <c r="K48" i="6"/>
  <c r="S48" i="6"/>
  <c r="E50" i="6"/>
  <c r="M50" i="6"/>
  <c r="U50" i="6"/>
  <c r="G52" i="6"/>
  <c r="O52" i="6"/>
  <c r="G55" i="6"/>
  <c r="Q57" i="6"/>
  <c r="K59" i="6"/>
  <c r="E61" i="6"/>
  <c r="U61" i="6"/>
  <c r="Q70" i="6"/>
  <c r="K72" i="6"/>
  <c r="E74" i="6"/>
  <c r="I78" i="6"/>
  <c r="G82" i="6"/>
  <c r="U88" i="6"/>
  <c r="D88" i="6"/>
  <c r="D86" i="6"/>
  <c r="D84" i="6"/>
  <c r="D82" i="6"/>
  <c r="D89" i="6"/>
  <c r="D85" i="6"/>
  <c r="D80" i="6"/>
  <c r="D78" i="6"/>
  <c r="D87" i="6"/>
  <c r="D79" i="6"/>
  <c r="D76" i="6"/>
  <c r="D74" i="6"/>
  <c r="D72" i="6"/>
  <c r="D70" i="6"/>
  <c r="D68" i="6"/>
  <c r="D66" i="6"/>
  <c r="D64" i="6"/>
  <c r="D81" i="6"/>
  <c r="D75" i="6"/>
  <c r="D71" i="6"/>
  <c r="D67" i="6"/>
  <c r="D63" i="6"/>
  <c r="D61" i="6"/>
  <c r="D59" i="6"/>
  <c r="D57" i="6"/>
  <c r="D55" i="6"/>
  <c r="D83" i="6"/>
  <c r="D77" i="6"/>
  <c r="D73" i="6"/>
  <c r="D65" i="6"/>
  <c r="D62" i="6"/>
  <c r="D58" i="6"/>
  <c r="D54" i="6"/>
  <c r="D52" i="6"/>
  <c r="D50" i="6"/>
  <c r="D48" i="6"/>
  <c r="D46" i="6"/>
  <c r="D44" i="6"/>
  <c r="D42" i="6"/>
  <c r="D40" i="6"/>
  <c r="D38" i="6"/>
  <c r="D36" i="6"/>
  <c r="D34" i="6"/>
  <c r="D32" i="6"/>
  <c r="D30" i="6"/>
  <c r="D28" i="6"/>
  <c r="E90" i="6"/>
  <c r="F88" i="6"/>
  <c r="F86" i="6"/>
  <c r="F84" i="6"/>
  <c r="F82" i="6"/>
  <c r="F87" i="6"/>
  <c r="F83" i="6"/>
  <c r="F80" i="6"/>
  <c r="F78" i="6"/>
  <c r="F89" i="6"/>
  <c r="F81" i="6"/>
  <c r="F77" i="6"/>
  <c r="F76" i="6"/>
  <c r="F74" i="6"/>
  <c r="F72" i="6"/>
  <c r="F70" i="6"/>
  <c r="F68" i="6"/>
  <c r="F66" i="6"/>
  <c r="F64" i="6"/>
  <c r="F85" i="6"/>
  <c r="F73" i="6"/>
  <c r="F69" i="6"/>
  <c r="F65" i="6"/>
  <c r="F63" i="6"/>
  <c r="F61" i="6"/>
  <c r="F59" i="6"/>
  <c r="F57" i="6"/>
  <c r="F55" i="6"/>
  <c r="F75" i="6"/>
  <c r="F67" i="6"/>
  <c r="F60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H88" i="6"/>
  <c r="H86" i="6"/>
  <c r="H84" i="6"/>
  <c r="H82" i="6"/>
  <c r="H89" i="6"/>
  <c r="H85" i="6"/>
  <c r="H81" i="6"/>
  <c r="H80" i="6"/>
  <c r="H78" i="6"/>
  <c r="H83" i="6"/>
  <c r="H79" i="6"/>
  <c r="H76" i="6"/>
  <c r="H74" i="6"/>
  <c r="H72" i="6"/>
  <c r="H70" i="6"/>
  <c r="H68" i="6"/>
  <c r="H66" i="6"/>
  <c r="H64" i="6"/>
  <c r="H77" i="6"/>
  <c r="H75" i="6"/>
  <c r="H71" i="6"/>
  <c r="H67" i="6"/>
  <c r="H63" i="6"/>
  <c r="H61" i="6"/>
  <c r="H59" i="6"/>
  <c r="H57" i="6"/>
  <c r="H55" i="6"/>
  <c r="H69" i="6"/>
  <c r="H62" i="6"/>
  <c r="H58" i="6"/>
  <c r="H54" i="6"/>
  <c r="H52" i="6"/>
  <c r="H50" i="6"/>
  <c r="H48" i="6"/>
  <c r="H46" i="6"/>
  <c r="H44" i="6"/>
  <c r="H42" i="6"/>
  <c r="H40" i="6"/>
  <c r="H38" i="6"/>
  <c r="H36" i="6"/>
  <c r="H34" i="6"/>
  <c r="H32" i="6"/>
  <c r="H30" i="6"/>
  <c r="H28" i="6"/>
  <c r="J88" i="6"/>
  <c r="J86" i="6"/>
  <c r="J84" i="6"/>
  <c r="J82" i="6"/>
  <c r="J87" i="6"/>
  <c r="J83" i="6"/>
  <c r="J80" i="6"/>
  <c r="J78" i="6"/>
  <c r="J85" i="6"/>
  <c r="J77" i="6"/>
  <c r="J76" i="6"/>
  <c r="J74" i="6"/>
  <c r="J72" i="6"/>
  <c r="J70" i="6"/>
  <c r="J68" i="6"/>
  <c r="J66" i="6"/>
  <c r="J64" i="6"/>
  <c r="J89" i="6"/>
  <c r="J79" i="6"/>
  <c r="J73" i="6"/>
  <c r="J69" i="6"/>
  <c r="J65" i="6"/>
  <c r="J61" i="6"/>
  <c r="J59" i="6"/>
  <c r="J57" i="6"/>
  <c r="J55" i="6"/>
  <c r="J81" i="6"/>
  <c r="J71" i="6"/>
  <c r="J63" i="6"/>
  <c r="J60" i="6"/>
  <c r="J56" i="6"/>
  <c r="J52" i="6"/>
  <c r="J50" i="6"/>
  <c r="J48" i="6"/>
  <c r="J46" i="6"/>
  <c r="J44" i="6"/>
  <c r="J42" i="6"/>
  <c r="J40" i="6"/>
  <c r="J38" i="6"/>
  <c r="J36" i="6"/>
  <c r="J34" i="6"/>
  <c r="J32" i="6"/>
  <c r="J30" i="6"/>
  <c r="J28" i="6"/>
  <c r="L88" i="6"/>
  <c r="L86" i="6"/>
  <c r="L84" i="6"/>
  <c r="L82" i="6"/>
  <c r="L89" i="6"/>
  <c r="L85" i="6"/>
  <c r="L81" i="6"/>
  <c r="L80" i="6"/>
  <c r="L78" i="6"/>
  <c r="L87" i="6"/>
  <c r="L79" i="6"/>
  <c r="L76" i="6"/>
  <c r="L74" i="6"/>
  <c r="L72" i="6"/>
  <c r="L70" i="6"/>
  <c r="L68" i="6"/>
  <c r="L66" i="6"/>
  <c r="L64" i="6"/>
  <c r="L83" i="6"/>
  <c r="L75" i="6"/>
  <c r="L71" i="6"/>
  <c r="L67" i="6"/>
  <c r="L63" i="6"/>
  <c r="L61" i="6"/>
  <c r="L59" i="6"/>
  <c r="L57" i="6"/>
  <c r="L55" i="6"/>
  <c r="L73" i="6"/>
  <c r="L65" i="6"/>
  <c r="L62" i="6"/>
  <c r="L58" i="6"/>
  <c r="L54" i="6"/>
  <c r="L52" i="6"/>
  <c r="L50" i="6"/>
  <c r="L48" i="6"/>
  <c r="L46" i="6"/>
  <c r="L44" i="6"/>
  <c r="L42" i="6"/>
  <c r="L40" i="6"/>
  <c r="L38" i="6"/>
  <c r="L36" i="6"/>
  <c r="L34" i="6"/>
  <c r="L32" i="6"/>
  <c r="L30" i="6"/>
  <c r="L28" i="6"/>
  <c r="N88" i="6"/>
  <c r="N86" i="6"/>
  <c r="N84" i="6"/>
  <c r="N82" i="6"/>
  <c r="N87" i="6"/>
  <c r="N83" i="6"/>
  <c r="N80" i="6"/>
  <c r="N78" i="6"/>
  <c r="N89" i="6"/>
  <c r="N81" i="6"/>
  <c r="N77" i="6"/>
  <c r="N76" i="6"/>
  <c r="N74" i="6"/>
  <c r="N72" i="6"/>
  <c r="N70" i="6"/>
  <c r="N68" i="6"/>
  <c r="N66" i="6"/>
  <c r="N64" i="6"/>
  <c r="N73" i="6"/>
  <c r="N69" i="6"/>
  <c r="N65" i="6"/>
  <c r="N61" i="6"/>
  <c r="N59" i="6"/>
  <c r="N57" i="6"/>
  <c r="N55" i="6"/>
  <c r="N79" i="6"/>
  <c r="N75" i="6"/>
  <c r="N67" i="6"/>
  <c r="N60" i="6"/>
  <c r="N56" i="6"/>
  <c r="N52" i="6"/>
  <c r="N50" i="6"/>
  <c r="N48" i="6"/>
  <c r="N46" i="6"/>
  <c r="N44" i="6"/>
  <c r="N42" i="6"/>
  <c r="N40" i="6"/>
  <c r="N38" i="6"/>
  <c r="N36" i="6"/>
  <c r="N34" i="6"/>
  <c r="N32" i="6"/>
  <c r="N30" i="6"/>
  <c r="N28" i="6"/>
  <c r="P88" i="6"/>
  <c r="P86" i="6"/>
  <c r="P84" i="6"/>
  <c r="P82" i="6"/>
  <c r="P89" i="6"/>
  <c r="P85" i="6"/>
  <c r="P81" i="6"/>
  <c r="P80" i="6"/>
  <c r="P78" i="6"/>
  <c r="P76" i="6"/>
  <c r="P83" i="6"/>
  <c r="P79" i="6"/>
  <c r="P74" i="6"/>
  <c r="P72" i="6"/>
  <c r="P70" i="6"/>
  <c r="P68" i="6"/>
  <c r="P66" i="6"/>
  <c r="P64" i="6"/>
  <c r="P87" i="6"/>
  <c r="P77" i="6"/>
  <c r="P75" i="6"/>
  <c r="P71" i="6"/>
  <c r="P67" i="6"/>
  <c r="P63" i="6"/>
  <c r="P61" i="6"/>
  <c r="P59" i="6"/>
  <c r="P57" i="6"/>
  <c r="P55" i="6"/>
  <c r="P69" i="6"/>
  <c r="P62" i="6"/>
  <c r="P58" i="6"/>
  <c r="P54" i="6"/>
  <c r="P52" i="6"/>
  <c r="P50" i="6"/>
  <c r="P48" i="6"/>
  <c r="P46" i="6"/>
  <c r="P44" i="6"/>
  <c r="P42" i="6"/>
  <c r="P40" i="6"/>
  <c r="P38" i="6"/>
  <c r="P36" i="6"/>
  <c r="P34" i="6"/>
  <c r="P32" i="6"/>
  <c r="P30" i="6"/>
  <c r="P28" i="6"/>
  <c r="R88" i="6"/>
  <c r="R86" i="6"/>
  <c r="R84" i="6"/>
  <c r="R82" i="6"/>
  <c r="R87" i="6"/>
  <c r="R83" i="6"/>
  <c r="R80" i="6"/>
  <c r="R78" i="6"/>
  <c r="R76" i="6"/>
  <c r="R85" i="6"/>
  <c r="R77" i="6"/>
  <c r="R74" i="6"/>
  <c r="R72" i="6"/>
  <c r="R70" i="6"/>
  <c r="R68" i="6"/>
  <c r="R66" i="6"/>
  <c r="R64" i="6"/>
  <c r="R81" i="6"/>
  <c r="R79" i="6"/>
  <c r="R73" i="6"/>
  <c r="R69" i="6"/>
  <c r="R65" i="6"/>
  <c r="R61" i="6"/>
  <c r="R59" i="6"/>
  <c r="R57" i="6"/>
  <c r="R55" i="6"/>
  <c r="R89" i="6"/>
  <c r="R71" i="6"/>
  <c r="R63" i="6"/>
  <c r="R60" i="6"/>
  <c r="R56" i="6"/>
  <c r="R52" i="6"/>
  <c r="R50" i="6"/>
  <c r="R48" i="6"/>
  <c r="R46" i="6"/>
  <c r="R44" i="6"/>
  <c r="R42" i="6"/>
  <c r="R40" i="6"/>
  <c r="R38" i="6"/>
  <c r="R36" i="6"/>
  <c r="R34" i="6"/>
  <c r="R32" i="6"/>
  <c r="R30" i="6"/>
  <c r="R28" i="6"/>
  <c r="T88" i="6"/>
  <c r="T86" i="6"/>
  <c r="T84" i="6"/>
  <c r="T82" i="6"/>
  <c r="T89" i="6"/>
  <c r="T85" i="6"/>
  <c r="T81" i="6"/>
  <c r="T80" i="6"/>
  <c r="T78" i="6"/>
  <c r="T76" i="6"/>
  <c r="T87" i="6"/>
  <c r="T79" i="6"/>
  <c r="T74" i="6"/>
  <c r="T72" i="6"/>
  <c r="T70" i="6"/>
  <c r="T68" i="6"/>
  <c r="T66" i="6"/>
  <c r="T64" i="6"/>
  <c r="T75" i="6"/>
  <c r="T71" i="6"/>
  <c r="T67" i="6"/>
  <c r="T63" i="6"/>
  <c r="T61" i="6"/>
  <c r="T59" i="6"/>
  <c r="T57" i="6"/>
  <c r="T55" i="6"/>
  <c r="T77" i="6"/>
  <c r="T73" i="6"/>
  <c r="T65" i="6"/>
  <c r="T62" i="6"/>
  <c r="T58" i="6"/>
  <c r="T54" i="6"/>
  <c r="T52" i="6"/>
  <c r="T50" i="6"/>
  <c r="T48" i="6"/>
  <c r="T46" i="6"/>
  <c r="T44" i="6"/>
  <c r="T42" i="6"/>
  <c r="T40" i="6"/>
  <c r="T38" i="6"/>
  <c r="T36" i="6"/>
  <c r="T34" i="6"/>
  <c r="T32" i="6"/>
  <c r="T30" i="6"/>
  <c r="T28" i="6"/>
  <c r="D12" i="6"/>
  <c r="F12" i="6"/>
  <c r="H12" i="6"/>
  <c r="J12" i="6"/>
  <c r="L12" i="6"/>
  <c r="N12" i="6"/>
  <c r="P12" i="6"/>
  <c r="R12" i="6"/>
  <c r="T12" i="6"/>
  <c r="D14" i="6"/>
  <c r="F14" i="6"/>
  <c r="H14" i="6"/>
  <c r="J14" i="6"/>
  <c r="L14" i="6"/>
  <c r="N14" i="6"/>
  <c r="P14" i="6"/>
  <c r="R14" i="6"/>
  <c r="T14" i="6"/>
  <c r="D16" i="6"/>
  <c r="F16" i="6"/>
  <c r="H16" i="6"/>
  <c r="J16" i="6"/>
  <c r="L16" i="6"/>
  <c r="N16" i="6"/>
  <c r="P16" i="6"/>
  <c r="R16" i="6"/>
  <c r="T16" i="6"/>
  <c r="D18" i="6"/>
  <c r="F18" i="6"/>
  <c r="H18" i="6"/>
  <c r="J18" i="6"/>
  <c r="L18" i="6"/>
  <c r="N18" i="6"/>
  <c r="P18" i="6"/>
  <c r="R18" i="6"/>
  <c r="T18" i="6"/>
  <c r="D20" i="6"/>
  <c r="F20" i="6"/>
  <c r="H20" i="6"/>
  <c r="J20" i="6"/>
  <c r="L20" i="6"/>
  <c r="N20" i="6"/>
  <c r="P20" i="6"/>
  <c r="R20" i="6"/>
  <c r="T20" i="6"/>
  <c r="D22" i="6"/>
  <c r="F22" i="6"/>
  <c r="H22" i="6"/>
  <c r="J22" i="6"/>
  <c r="L22" i="6"/>
  <c r="N22" i="6"/>
  <c r="P22" i="6"/>
  <c r="R22" i="6"/>
  <c r="T22" i="6"/>
  <c r="D24" i="6"/>
  <c r="F24" i="6"/>
  <c r="H24" i="6"/>
  <c r="J24" i="6"/>
  <c r="L24" i="6"/>
  <c r="N24" i="6"/>
  <c r="P24" i="6"/>
  <c r="R24" i="6"/>
  <c r="T24" i="6"/>
  <c r="D26" i="6"/>
  <c r="F26" i="6"/>
  <c r="H26" i="6"/>
  <c r="J26" i="6"/>
  <c r="L26" i="6"/>
  <c r="N26" i="6"/>
  <c r="P26" i="6"/>
  <c r="R26" i="6"/>
  <c r="T26" i="6"/>
  <c r="L27" i="6"/>
  <c r="P27" i="6"/>
  <c r="T27" i="6"/>
  <c r="F29" i="6"/>
  <c r="J29" i="6"/>
  <c r="N29" i="6"/>
  <c r="R29" i="6"/>
  <c r="D31" i="6"/>
  <c r="H31" i="6"/>
  <c r="L31" i="6"/>
  <c r="P31" i="6"/>
  <c r="T31" i="6"/>
  <c r="F33" i="6"/>
  <c r="J33" i="6"/>
  <c r="N33" i="6"/>
  <c r="R33" i="6"/>
  <c r="D35" i="6"/>
  <c r="H35" i="6"/>
  <c r="L35" i="6"/>
  <c r="P35" i="6"/>
  <c r="T35" i="6"/>
  <c r="F37" i="6"/>
  <c r="J37" i="6"/>
  <c r="N37" i="6"/>
  <c r="R37" i="6"/>
  <c r="D39" i="6"/>
  <c r="H39" i="6"/>
  <c r="L39" i="6"/>
  <c r="P39" i="6"/>
  <c r="T39" i="6"/>
  <c r="F41" i="6"/>
  <c r="J41" i="6"/>
  <c r="N41" i="6"/>
  <c r="R41" i="6"/>
  <c r="D43" i="6"/>
  <c r="H43" i="6"/>
  <c r="L43" i="6"/>
  <c r="P43" i="6"/>
  <c r="T43" i="6"/>
  <c r="F45" i="6"/>
  <c r="J45" i="6"/>
  <c r="N45" i="6"/>
  <c r="R45" i="6"/>
  <c r="D47" i="6"/>
  <c r="H47" i="6"/>
  <c r="L47" i="6"/>
  <c r="P47" i="6"/>
  <c r="T47" i="6"/>
  <c r="F49" i="6"/>
  <c r="J49" i="6"/>
  <c r="N49" i="6"/>
  <c r="R49" i="6"/>
  <c r="D51" i="6"/>
  <c r="H51" i="6"/>
  <c r="L51" i="6"/>
  <c r="P51" i="6"/>
  <c r="T51" i="6"/>
  <c r="F53" i="6"/>
  <c r="J53" i="6"/>
  <c r="N53" i="6"/>
  <c r="R53" i="6"/>
  <c r="N54" i="6"/>
  <c r="H56" i="6"/>
  <c r="P56" i="6"/>
  <c r="J58" i="6"/>
  <c r="R58" i="6"/>
  <c r="D60" i="6"/>
  <c r="L60" i="6"/>
  <c r="T60" i="6"/>
  <c r="F62" i="6"/>
  <c r="N62" i="6"/>
  <c r="N63" i="6"/>
  <c r="H65" i="6"/>
  <c r="R67" i="6"/>
  <c r="L69" i="6"/>
  <c r="F71" i="6"/>
  <c r="P73" i="6"/>
  <c r="J75" i="6"/>
  <c r="L77" i="6"/>
  <c r="F79" i="6"/>
  <c r="T83" i="6"/>
  <c r="H87" i="6"/>
  <c r="B5" i="3"/>
  <c r="B6" i="3" s="1"/>
  <c r="B7" i="3" s="1"/>
  <c r="C5" i="3"/>
  <c r="C6" i="3" s="1"/>
  <c r="C7" i="3" s="1"/>
  <c r="M4" i="2"/>
  <c r="N4" i="2" s="1"/>
  <c r="K4" i="2"/>
  <c r="L4" i="2"/>
  <c r="M5" i="2"/>
  <c r="N5" i="2" s="1"/>
  <c r="L11" i="2"/>
  <c r="M11" i="2"/>
  <c r="N11" i="2" s="1"/>
  <c r="K11" i="2"/>
  <c r="L15" i="2"/>
  <c r="M15" i="2"/>
  <c r="N15" i="2" s="1"/>
  <c r="K15" i="2"/>
  <c r="L19" i="2"/>
  <c r="M19" i="2"/>
  <c r="N19" i="2" s="1"/>
  <c r="K19" i="2"/>
  <c r="E20" i="2"/>
  <c r="J20" i="2" s="1"/>
  <c r="J2" i="2"/>
  <c r="M3" i="2"/>
  <c r="N3" i="2" s="1"/>
  <c r="K5" i="2"/>
  <c r="M6" i="2"/>
  <c r="N6" i="2" s="1"/>
  <c r="K6" i="2"/>
  <c r="L7" i="2"/>
  <c r="M7" i="2"/>
  <c r="N7" i="2" s="1"/>
  <c r="L9" i="2"/>
  <c r="M9" i="2"/>
  <c r="N9" i="2" s="1"/>
  <c r="K9" i="2"/>
  <c r="L13" i="2"/>
  <c r="M13" i="2"/>
  <c r="N13" i="2" s="1"/>
  <c r="K13" i="2"/>
  <c r="L17" i="2"/>
  <c r="M17" i="2"/>
  <c r="N17" i="2" s="1"/>
  <c r="K17" i="2"/>
  <c r="L8" i="2"/>
  <c r="L10" i="2"/>
  <c r="L12" i="2"/>
  <c r="L14" i="2"/>
  <c r="L16" i="2"/>
  <c r="L18" i="2"/>
  <c r="K8" i="2"/>
  <c r="K10" i="2"/>
  <c r="K12" i="2"/>
  <c r="K14" i="2"/>
  <c r="K16" i="2"/>
  <c r="K18" i="2"/>
  <c r="V27" i="6" l="1"/>
  <c r="V33" i="6"/>
  <c r="V41" i="6"/>
  <c r="V29" i="6"/>
  <c r="O14" i="7"/>
  <c r="V23" i="6"/>
  <c r="V37" i="6"/>
  <c r="V7" i="6"/>
  <c r="O7" i="7"/>
  <c r="V56" i="6"/>
  <c r="V45" i="6"/>
  <c r="V69" i="6"/>
  <c r="V19" i="6"/>
  <c r="V49" i="6"/>
  <c r="O8" i="7"/>
  <c r="V15" i="6"/>
  <c r="V8" i="6"/>
  <c r="V53" i="6"/>
  <c r="O6" i="7"/>
  <c r="O16" i="7"/>
  <c r="O20" i="7"/>
  <c r="O24" i="7"/>
  <c r="O28" i="7"/>
  <c r="O32" i="7"/>
  <c r="O36" i="7"/>
  <c r="O41" i="7"/>
  <c r="O49" i="7"/>
  <c r="O66" i="7"/>
  <c r="O82" i="7"/>
  <c r="O13" i="7"/>
  <c r="O17" i="7"/>
  <c r="O21" i="7"/>
  <c r="O25" i="7"/>
  <c r="O29" i="7"/>
  <c r="O33" i="7"/>
  <c r="O39" i="7"/>
  <c r="O47" i="7"/>
  <c r="O54" i="7"/>
  <c r="O70" i="7"/>
  <c r="O40" i="7"/>
  <c r="O44" i="7"/>
  <c r="O48" i="7"/>
  <c r="O52" i="7"/>
  <c r="O60" i="7"/>
  <c r="O68" i="7"/>
  <c r="O78" i="7"/>
  <c r="O53" i="7"/>
  <c r="O57" i="7"/>
  <c r="O61" i="7"/>
  <c r="O65" i="7"/>
  <c r="O69" i="7"/>
  <c r="O73" i="7"/>
  <c r="O80" i="7"/>
  <c r="O92" i="7"/>
  <c r="O77" i="7"/>
  <c r="O81" i="7"/>
  <c r="O90" i="7"/>
  <c r="O83" i="7"/>
  <c r="O87" i="7"/>
  <c r="O91" i="7"/>
  <c r="O95" i="7"/>
  <c r="O12" i="7"/>
  <c r="O18" i="7"/>
  <c r="O22" i="7"/>
  <c r="O26" i="7"/>
  <c r="O30" i="7"/>
  <c r="O34" i="7"/>
  <c r="O37" i="7"/>
  <c r="O45" i="7"/>
  <c r="O58" i="7"/>
  <c r="O74" i="7"/>
  <c r="O96" i="7"/>
  <c r="O15" i="7"/>
  <c r="O19" i="7"/>
  <c r="O23" i="7"/>
  <c r="O27" i="7"/>
  <c r="O31" i="7"/>
  <c r="O35" i="7"/>
  <c r="O43" i="7"/>
  <c r="O51" i="7"/>
  <c r="O62" i="7"/>
  <c r="O38" i="7"/>
  <c r="O42" i="7"/>
  <c r="O46" i="7"/>
  <c r="O50" i="7"/>
  <c r="O56" i="7"/>
  <c r="O64" i="7"/>
  <c r="O72" i="7"/>
  <c r="O88" i="7"/>
  <c r="O55" i="7"/>
  <c r="O59" i="7"/>
  <c r="O63" i="7"/>
  <c r="O67" i="7"/>
  <c r="O71" i="7"/>
  <c r="O76" i="7"/>
  <c r="O84" i="7"/>
  <c r="O75" i="7"/>
  <c r="O79" i="7"/>
  <c r="O86" i="7"/>
  <c r="O94" i="7"/>
  <c r="O85" i="7"/>
  <c r="O89" i="7"/>
  <c r="O93" i="7"/>
  <c r="O97" i="7"/>
  <c r="V47" i="6"/>
  <c r="V39" i="6"/>
  <c r="V31" i="6"/>
  <c r="V26" i="6"/>
  <c r="V22" i="6"/>
  <c r="V18" i="6"/>
  <c r="V14" i="6"/>
  <c r="V28" i="6"/>
  <c r="V32" i="6"/>
  <c r="V36" i="6"/>
  <c r="V40" i="6"/>
  <c r="V44" i="6"/>
  <c r="V48" i="6"/>
  <c r="V52" i="6"/>
  <c r="V58" i="6"/>
  <c r="V65" i="6"/>
  <c r="V77" i="6"/>
  <c r="V55" i="6"/>
  <c r="V59" i="6"/>
  <c r="V63" i="6"/>
  <c r="V71" i="6"/>
  <c r="V81" i="6"/>
  <c r="V66" i="6"/>
  <c r="V70" i="6"/>
  <c r="V74" i="6"/>
  <c r="V79" i="6"/>
  <c r="V78" i="6"/>
  <c r="V85" i="6"/>
  <c r="V82" i="6"/>
  <c r="V86" i="6"/>
  <c r="V6" i="6"/>
  <c r="V60" i="6"/>
  <c r="V51" i="6"/>
  <c r="V43" i="6"/>
  <c r="V35" i="6"/>
  <c r="V24" i="6"/>
  <c r="V20" i="6"/>
  <c r="V16" i="6"/>
  <c r="V12" i="6"/>
  <c r="V30" i="6"/>
  <c r="V34" i="6"/>
  <c r="V38" i="6"/>
  <c r="V42" i="6"/>
  <c r="V46" i="6"/>
  <c r="V50" i="6"/>
  <c r="V54" i="6"/>
  <c r="V62" i="6"/>
  <c r="V73" i="6"/>
  <c r="V83" i="6"/>
  <c r="V57" i="6"/>
  <c r="V61" i="6"/>
  <c r="V67" i="6"/>
  <c r="V75" i="6"/>
  <c r="V64" i="6"/>
  <c r="V68" i="6"/>
  <c r="V72" i="6"/>
  <c r="V76" i="6"/>
  <c r="V87" i="6"/>
  <c r="V80" i="6"/>
  <c r="V89" i="6"/>
  <c r="V84" i="6"/>
  <c r="V88" i="6"/>
  <c r="V13" i="6"/>
  <c r="V17" i="6"/>
  <c r="V21" i="6"/>
  <c r="V25" i="6"/>
  <c r="N20" i="2"/>
  <c r="L20" i="2"/>
  <c r="M20" i="2"/>
  <c r="K20" i="2"/>
  <c r="L2" i="2"/>
  <c r="M2" i="2"/>
  <c r="K2" i="2"/>
  <c r="F126" i="1" l="1"/>
  <c r="F129" i="1" s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I73" i="1"/>
  <c r="I74" i="1"/>
  <c r="I75" i="1"/>
  <c r="I76" i="1"/>
  <c r="I77" i="1"/>
  <c r="I78" i="1"/>
  <c r="I79" i="1"/>
  <c r="I80" i="1"/>
  <c r="I81" i="1"/>
  <c r="I82" i="1"/>
  <c r="L68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F130" i="1" l="1"/>
  <c r="F131" i="1" s="1"/>
</calcChain>
</file>

<file path=xl/sharedStrings.xml><?xml version="1.0" encoding="utf-8"?>
<sst xmlns="http://schemas.openxmlformats.org/spreadsheetml/2006/main" count="795" uniqueCount="307">
  <si>
    <t>Payee (Counties)</t>
  </si>
  <si>
    <t>County Payment</t>
  </si>
  <si>
    <t>Reductions/COPA Bonus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</si>
  <si>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</si>
  <si>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</si>
  <si>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</si>
  <si>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</si>
  <si>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</si>
  <si>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</si>
  <si>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</si>
  <si>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</si>
  <si>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</si>
  <si>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</si>
  <si>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</si>
  <si>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</si>
  <si>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</si>
  <si>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</si>
  <si>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</si>
  <si>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</si>
  <si>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</si>
  <si>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</si>
  <si>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</si>
  <si>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</si>
  <si>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</si>
  <si>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</si>
  <si>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</si>
  <si>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</si>
  <si>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</si>
  <si>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</si>
  <si>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</si>
  <si>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</si>
  <si>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</si>
  <si>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</si>
  <si>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</si>
  <si>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</si>
  <si>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</si>
  <si>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</si>
  <si>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</si>
  <si>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</si>
  <si>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</si>
  <si>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</si>
  <si>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</si>
  <si>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</si>
  <si>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</si>
  <si>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</si>
  <si>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</si>
  <si>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</si>
  <si>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</si>
  <si>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</si>
  <si>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</si>
  <si>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</si>
  <si>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</si>
  <si>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</si>
  <si>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</si>
  <si>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</si>
  <si>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</si>
  <si>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</si>
  <si>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</si>
  <si>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</si>
  <si>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</si>
  <si>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</si>
  <si>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</si>
  <si>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</si>
  <si>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</si>
  <si>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</si>
  <si>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</si>
  <si>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</si>
  <si>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</si>
  <si>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</si>
  <si>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</si>
  <si>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Payee (DAs)</t>
  </si>
  <si>
    <t>BUCKS COUNTY DA</t>
  </si>
  <si>
    <t>DELAWARE COUNTY DA</t>
  </si>
  <si>
    <t>LEHIGH COUNTY DA</t>
  </si>
  <si>
    <t>WESTMORELAND COUNTY DA</t>
  </si>
  <si>
    <t>ERIE COUNTY DA</t>
  </si>
  <si>
    <t>CHESTER COUNTY DA</t>
  </si>
  <si>
    <t>NORTHAMPTON COUNTY DA</t>
  </si>
  <si>
    <t>DAUPHIN COUNTY DA</t>
  </si>
  <si>
    <t>BERKS COUNTY DA</t>
  </si>
  <si>
    <t>CLEARFIELD COUNTY DA</t>
  </si>
  <si>
    <t>Payee (Subdivisions)</t>
  </si>
  <si>
    <t>Aliquippa city, Beaver County, Pennsylvania</t>
  </si>
  <si>
    <t>Allentown city, Lehigh County, Pennsylvania</t>
  </si>
  <si>
    <t>Bensalem township, Bucks County, Pennsylvania</t>
  </si>
  <si>
    <t>Bristol township, Bucks County, Pennsylvania</t>
  </si>
  <si>
    <t xml:space="preserve">City of Lock Haven, Clinton County, Pennsylvania </t>
  </si>
  <si>
    <t>Coatesville city, Chester County, Pennsylvania</t>
  </si>
  <si>
    <t xml:space="preserve">Edwardsville Borough, Luzerne County, Pennsylvania </t>
  </si>
  <si>
    <t>Exeter Borough, Luzerne County, Pennsylvania</t>
  </si>
  <si>
    <t>Fairview township, Luzerne County, Pennsylvania</t>
  </si>
  <si>
    <t xml:space="preserve">Forty Fort Borough, Luzerne County, Pennsylvania </t>
  </si>
  <si>
    <t>Hanover township, Luzerne County, Pennsylvania</t>
  </si>
  <si>
    <t>Hazleton city, Luzerne County, Pennsylvania</t>
  </si>
  <si>
    <t>Kingston borough, Luzerne County, Pennsylvania</t>
  </si>
  <si>
    <t>Lower Makefield township, Bucks County, Pennsylvania</t>
  </si>
  <si>
    <t>Lower Southampton township, Bucks County, Pennsylvania</t>
  </si>
  <si>
    <t>Middletown township, Bucks County, Pennsylvania</t>
  </si>
  <si>
    <t>Morrisville borough, Bucks County, Pennsylvania</t>
  </si>
  <si>
    <t>Nanticoke city, Luzerne County, Pennsylvania</t>
  </si>
  <si>
    <t>New Castle city, Lawrence County, Pennsylvania</t>
  </si>
  <si>
    <t>Newtown township, Bucks County, Pennsylvania</t>
  </si>
  <si>
    <t>Norristown borough, Montgomery County, Pennsylvania</t>
  </si>
  <si>
    <t>Pittsburgh city, Allegheny County, Pennsylvania</t>
  </si>
  <si>
    <t>Plains Township, Luzerne County, Pennsylvania</t>
  </si>
  <si>
    <t>SEPTA</t>
  </si>
  <si>
    <t xml:space="preserve">Sugar Notch Borough, Luzerne County, Pennsylvania </t>
  </si>
  <si>
    <t>Union township, Berks County, Pennsylvania</t>
  </si>
  <si>
    <t xml:space="preserve">Wampum Borough, Lawrence County, Pennsylvania </t>
  </si>
  <si>
    <t>Warminster township, Bucks County, Pennsylvania</t>
  </si>
  <si>
    <t>Warrington township, Bucks County, Pennsylvania</t>
  </si>
  <si>
    <t>West Norriton township, Montgomery County, Pennsylvania</t>
  </si>
  <si>
    <t xml:space="preserve">West Pittston Borough, Luzerne County, Pennsylvania </t>
  </si>
  <si>
    <t>Wilkes-Barre city, Luzerne County, Pennsylvania</t>
  </si>
  <si>
    <t>Wilkes-Barre township, Luzerne County, Pennsylvania</t>
  </si>
  <si>
    <t xml:space="preserve">Wright Township, Luzerne County, Pennsylvania </t>
  </si>
  <si>
    <t xml:space="preserve">Wyoming Borough, Luzerenre County, Pennsylvania </t>
  </si>
  <si>
    <t>Payee (COPA)</t>
  </si>
  <si>
    <t>COPA</t>
  </si>
  <si>
    <t>Fee Fund</t>
  </si>
  <si>
    <t>Dist Litigating</t>
  </si>
  <si>
    <t>JJ Litigating</t>
  </si>
  <si>
    <t>Dist Bellweather</t>
  </si>
  <si>
    <t>Trust Administrative Fund</t>
  </si>
  <si>
    <t>Total Costs</t>
  </si>
  <si>
    <t xml:space="preserve">Mahoning Township, Lawrence County, Pennsylvania </t>
  </si>
  <si>
    <t>Total Payment 3</t>
  </si>
  <si>
    <t>MNK Litigating Payment</t>
  </si>
  <si>
    <t>MNK County Payment</t>
  </si>
  <si>
    <t>MNK Litigating</t>
  </si>
  <si>
    <t>Total Payment 3 to Payees</t>
  </si>
  <si>
    <t>Total Payment 3 Distributions</t>
  </si>
  <si>
    <t>Dist Atty Fees</t>
  </si>
  <si>
    <t>JJ Atty Fees</t>
  </si>
  <si>
    <t>Attorney/Admin Costs</t>
  </si>
  <si>
    <t>Dist Payment</t>
  </si>
  <si>
    <t>JJ Payment</t>
  </si>
  <si>
    <t>MNK Payment</t>
  </si>
  <si>
    <t>COPA Bonus from County Reduction</t>
  </si>
  <si>
    <t>Unique ID</t>
  </si>
  <si>
    <t>Cost/Fees</t>
  </si>
  <si>
    <t>Payment #</t>
  </si>
  <si>
    <t>Approx Date</t>
  </si>
  <si>
    <t xml:space="preserve">PA Distributors </t>
  </si>
  <si>
    <t>PA J&amp;J</t>
  </si>
  <si>
    <t>Totals</t>
  </si>
  <si>
    <t>Distributors Atty Fees</t>
  </si>
  <si>
    <t>J&amp;J Attorneys Fees</t>
  </si>
  <si>
    <t>Attorney's Costs</t>
  </si>
  <si>
    <t>Admin Costs</t>
  </si>
  <si>
    <t>Total Less Fees</t>
  </si>
  <si>
    <t>Commonwealth</t>
  </si>
  <si>
    <t>County</t>
  </si>
  <si>
    <t>Litigating</t>
  </si>
  <si>
    <t>(Litigating Ds</t>
  </si>
  <si>
    <t>(Litigating J&amp;J)</t>
  </si>
  <si>
    <t>Total</t>
  </si>
  <si>
    <t>Difference</t>
  </si>
  <si>
    <t>Distributors</t>
  </si>
  <si>
    <t>J&amp;J</t>
  </si>
  <si>
    <t>Total Dollars</t>
  </si>
  <si>
    <t>Total Fees</t>
  </si>
  <si>
    <t>Percentage Reduction for non-joiners</t>
  </si>
  <si>
    <t>Fee Reduction</t>
  </si>
  <si>
    <t>Updated Fee Total</t>
  </si>
  <si>
    <t>Yearly Fee Payment</t>
  </si>
  <si>
    <t>The Distributor and J&amp;J's Payment 3 to the Trust was higher than estimated.  An adjustment to the Attorney fees was applied.</t>
  </si>
  <si>
    <t>Distributors Payment 3</t>
  </si>
  <si>
    <t xml:space="preserve">J&amp;J Payment 3 </t>
  </si>
  <si>
    <t>Attorney Fee Adjustment</t>
  </si>
  <si>
    <r>
      <t>Adjusted % (</t>
    </r>
    <r>
      <rPr>
        <sz val="11"/>
        <color theme="1"/>
        <rFont val="Calibri"/>
        <family val="2"/>
        <scheme val="minor"/>
      </rPr>
      <t>W/</t>
    </r>
    <r>
      <rPr>
        <b/>
        <sz val="12"/>
        <color theme="1"/>
        <rFont val="Calibri"/>
        <family val="2"/>
        <scheme val="minor"/>
      </rPr>
      <t>Floors)</t>
    </r>
  </si>
  <si>
    <t>Payment 1 - 9/1/22</t>
  </si>
  <si>
    <t>Payment 2 - 12/1/22</t>
  </si>
  <si>
    <t>Payment 3 - 2023</t>
  </si>
  <si>
    <t>Payment 4 - 2024</t>
  </si>
  <si>
    <t>Payment 5 - 2025</t>
  </si>
  <si>
    <t>Payment 6 - 2026</t>
  </si>
  <si>
    <t>Payment 7 - 2027</t>
  </si>
  <si>
    <t>Payment 8 - 2028</t>
  </si>
  <si>
    <t>Payment 9 -2029</t>
  </si>
  <si>
    <t>Payment 10 -2030</t>
  </si>
  <si>
    <t>Payment 11 - 2031</t>
  </si>
  <si>
    <t>Payment 12 - 2032</t>
  </si>
  <si>
    <t>Payment 13 - 2033</t>
  </si>
  <si>
    <t>Payment 14 - 2034</t>
  </si>
  <si>
    <t>Payment 15 - 2035</t>
  </si>
  <si>
    <t>Payment 16 - 2036</t>
  </si>
  <si>
    <t>Payment 17 - 2037</t>
  </si>
  <si>
    <t>Payment 18 -2038</t>
  </si>
  <si>
    <t>Payment Total</t>
  </si>
  <si>
    <t>Litigant</t>
  </si>
  <si>
    <t>Unique Id</t>
  </si>
  <si>
    <t>Adjusted % (W/Floors)</t>
  </si>
  <si>
    <t>total</t>
  </si>
  <si>
    <t>ADAMS COUNTY</t>
  </si>
  <si>
    <t>ALLEGHENY COUNTY</t>
  </si>
  <si>
    <t>ARMSTRONG COUNTY</t>
  </si>
  <si>
    <t>BEAVER COUNTY</t>
  </si>
  <si>
    <t>BEDFORD COUNTY</t>
  </si>
  <si>
    <t>BRADFORD COUNTY</t>
  </si>
  <si>
    <t>BUCKS COUNTY</t>
  </si>
  <si>
    <t>CAMBRIA COUNTY</t>
  </si>
  <si>
    <t>CARBON COUNTY</t>
  </si>
  <si>
    <t>CHESTER COUNTY</t>
  </si>
  <si>
    <t>CLARION COUNTY</t>
  </si>
  <si>
    <t>CLEARFIELD COUNTY</t>
  </si>
  <si>
    <t>CLINTON COUNTY</t>
  </si>
  <si>
    <t>COLUMBIA COUNTY</t>
  </si>
  <si>
    <t>CUMBERLAND COUNTY</t>
  </si>
  <si>
    <t>DELAWARE COUNTY</t>
  </si>
  <si>
    <t>ERIE COUNTY</t>
  </si>
  <si>
    <t>FAYETTE COUNTY</t>
  </si>
  <si>
    <t>FRANKLIN COUNTY</t>
  </si>
  <si>
    <t>GREENE COUNTY</t>
  </si>
  <si>
    <t>HUNTINGDON COUNTY</t>
  </si>
  <si>
    <t>INDIANA COUNTY</t>
  </si>
  <si>
    <t>LACKAWANNA COUNTY</t>
  </si>
  <si>
    <t>LAWRENCE COUNTY</t>
  </si>
  <si>
    <t>LEHIGH COUNTY</t>
  </si>
  <si>
    <t>LUZERNE COUNTY</t>
  </si>
  <si>
    <t>LYCOMING COUNTY</t>
  </si>
  <si>
    <t>MERCER COUNTY</t>
  </si>
  <si>
    <t>MONROE COUNTY</t>
  </si>
  <si>
    <t>NORTHUMBERLAND COUNTY</t>
  </si>
  <si>
    <t>PHILADELPHIA  COUNTY</t>
  </si>
  <si>
    <t>PIKE COUNTY</t>
  </si>
  <si>
    <t>SCHUYLKILL COUNTY</t>
  </si>
  <si>
    <t>TIOGA COUNTY</t>
  </si>
  <si>
    <t>WASHINGTON COUNTY</t>
  </si>
  <si>
    <t>WESTMORELAND COUNTY</t>
  </si>
  <si>
    <t>WYOMING COUNTY</t>
  </si>
  <si>
    <t>YORK COUNTY</t>
  </si>
  <si>
    <t>Fairview township, York County, Pennsylvania</t>
  </si>
  <si>
    <t>Payment 1 (D's Only) -9/1/22</t>
  </si>
  <si>
    <t>Payment 2 - 12/15/22</t>
  </si>
  <si>
    <t>Payment 9 - 2029</t>
  </si>
  <si>
    <t>Payment 10 - 2030</t>
  </si>
  <si>
    <t>Payment 11 -2031</t>
  </si>
  <si>
    <t xml:space="preserve">Unique ID </t>
  </si>
  <si>
    <t>DAUPHIN COUNTY</t>
  </si>
  <si>
    <t>NORTHAMPTON COUNTY</t>
  </si>
  <si>
    <t xml:space="preserve">Mahoning Township, Carbon County, Pennsylvania </t>
  </si>
  <si>
    <t>Difference (P3 Corrected)</t>
  </si>
  <si>
    <t>PA Mallinckrodt</t>
  </si>
  <si>
    <t>Emergent</t>
  </si>
  <si>
    <t>Emergent - 12/15/2023</t>
  </si>
  <si>
    <t>Emergent - 12/1/2023</t>
  </si>
  <si>
    <t>Payment 1 - 12/1/23</t>
  </si>
  <si>
    <t>Lehigh County</t>
  </si>
  <si>
    <t>Lehigh County DA</t>
  </si>
  <si>
    <t>Adams County</t>
  </si>
  <si>
    <t>Allegheny County</t>
  </si>
  <si>
    <t>Bedford County</t>
  </si>
  <si>
    <t>Berks County</t>
  </si>
  <si>
    <t>Berks County DA</t>
  </si>
  <si>
    <t>Bristol Township</t>
  </si>
  <si>
    <t>Bucks County</t>
  </si>
  <si>
    <t>Carbon County</t>
  </si>
  <si>
    <t>Chester County</t>
  </si>
  <si>
    <t>City of Allentown</t>
  </si>
  <si>
    <t>City of Coatesville</t>
  </si>
  <si>
    <t>City of Hazleton</t>
  </si>
  <si>
    <t>City of Nanticoke</t>
  </si>
  <si>
    <t>City of Pittsburgh</t>
  </si>
  <si>
    <t>City of Wilkes Barre</t>
  </si>
  <si>
    <t>Clearfield County DA</t>
  </si>
  <si>
    <t>Clinton County</t>
  </si>
  <si>
    <t>Columbia County</t>
  </si>
  <si>
    <t>Delaware County</t>
  </si>
  <si>
    <t>Delaware County DA</t>
  </si>
  <si>
    <t>Edwardsville Borough</t>
  </si>
  <si>
    <t>Erie County</t>
  </si>
  <si>
    <t>Exeter Borough</t>
  </si>
  <si>
    <t>Fairview Township</t>
  </si>
  <si>
    <t>Forty Fort Borough</t>
  </si>
  <si>
    <t>Hanover Township</t>
  </si>
  <si>
    <t>Indiana County</t>
  </si>
  <si>
    <t xml:space="preserve">Kingston Borough </t>
  </si>
  <si>
    <t>Lower Makefield Township</t>
  </si>
  <si>
    <t>Lower Southampton Township</t>
  </si>
  <si>
    <t>Luzerne County</t>
  </si>
  <si>
    <t>Lycoming County</t>
  </si>
  <si>
    <t>Mercer County</t>
  </si>
  <si>
    <t>Northampton County</t>
  </si>
  <si>
    <t>Northumberland County</t>
  </si>
  <si>
    <t>Plains Township</t>
  </si>
  <si>
    <t>Sugar Notch Borough</t>
  </si>
  <si>
    <t>Warminster Township</t>
  </si>
  <si>
    <t>Warrington Township</t>
  </si>
  <si>
    <t>West Pittston</t>
  </si>
  <si>
    <t>Wilkes-Barre Township</t>
  </si>
  <si>
    <t>Wright Township</t>
  </si>
  <si>
    <t>Wyoming Borough</t>
  </si>
  <si>
    <t>Wyoming County</t>
  </si>
  <si>
    <t>JJ Bellwether</t>
  </si>
  <si>
    <t>MNK Bellwether</t>
  </si>
  <si>
    <t>Dist Bellwether</t>
  </si>
  <si>
    <t xml:space="preserve">MNK Bellwether </t>
  </si>
  <si>
    <t>Union township, Lawrence County, Pennsylvania</t>
  </si>
  <si>
    <t>Bucks County DA</t>
  </si>
  <si>
    <t>Chester County DA</t>
  </si>
  <si>
    <t>Westmoreland County DA</t>
  </si>
  <si>
    <t>Northampton County DA</t>
  </si>
  <si>
    <t>Dauphin County DA</t>
  </si>
  <si>
    <t>Erie County DA</t>
  </si>
  <si>
    <t>Final</t>
  </si>
  <si>
    <t>Final Payment - 2/15/24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</si>
</sst>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05496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164" fontId="0" fillId="0" borderId="0" xfId="1" applyNumberFormat="1" applyFont="1" applyBorder="1"/>
    <xf numFmtId="44" fontId="0" fillId="0" borderId="0" xfId="1" applyFont="1"/>
    <xf numFmtId="0" fontId="3" fillId="0" borderId="0" xfId="3"/>
    <xf numFmtId="0" fontId="3" fillId="3" borderId="0" xfId="3" applyFill="1"/>
    <xf numFmtId="14" fontId="3" fillId="3" borderId="0" xfId="3" applyNumberFormat="1" applyFill="1"/>
    <xf numFmtId="164" fontId="3" fillId="3" borderId="0" xfId="3" applyNumberFormat="1" applyFill="1"/>
    <xf numFmtId="14" fontId="3" fillId="0" borderId="0" xfId="3" applyNumberFormat="1"/>
    <xf numFmtId="164" fontId="3" fillId="0" borderId="0" xfId="3" applyNumberFormat="1"/>
    <xf numFmtId="44" fontId="0" fillId="0" borderId="0" xfId="4" applyFont="1"/>
    <xf numFmtId="44" fontId="3" fillId="0" borderId="0" xfId="3" applyNumberFormat="1"/>
    <xf numFmtId="5" fontId="3" fillId="0" borderId="0" xfId="3" applyNumberFormat="1"/>
    <xf numFmtId="165" fontId="3" fillId="0" borderId="0" xfId="3" applyNumberFormat="1"/>
    <xf numFmtId="44" fontId="7" fillId="0" borderId="0" xfId="4" applyFont="1"/>
    <xf numFmtId="165" fontId="8" fillId="0" borderId="0" xfId="3" applyNumberFormat="1" applyFont="1"/>
    <xf numFmtId="44" fontId="8" fillId="0" borderId="0" xfId="4" applyFont="1"/>
    <xf numFmtId="164" fontId="6" fillId="0" borderId="0" xfId="5" applyNumberFormat="1" applyFont="1" applyAlignment="1">
      <alignment horizontal="center" vertical="center" shrinkToFit="1"/>
    </xf>
    <xf numFmtId="164" fontId="3" fillId="0" borderId="0" xfId="4" applyNumberFormat="1" applyFont="1"/>
    <xf numFmtId="0" fontId="9" fillId="0" borderId="0" xfId="3" applyFont="1"/>
    <xf numFmtId="6" fontId="3" fillId="0" borderId="0" xfId="3" applyNumberFormat="1"/>
    <xf numFmtId="8" fontId="3" fillId="0" borderId="0" xfId="3" applyNumberFormat="1"/>
    <xf numFmtId="0" fontId="3" fillId="0" borderId="0" xfId="3" applyAlignment="1">
      <alignment wrapText="1"/>
    </xf>
    <xf numFmtId="10" fontId="3" fillId="0" borderId="0" xfId="3" applyNumberFormat="1"/>
    <xf numFmtId="165" fontId="4" fillId="0" borderId="0" xfId="3" applyNumberFormat="1" applyFont="1"/>
    <xf numFmtId="44" fontId="3" fillId="0" borderId="0" xfId="1" applyFont="1"/>
    <xf numFmtId="0" fontId="10" fillId="0" borderId="0" xfId="3" applyFont="1"/>
    <xf numFmtId="0" fontId="7" fillId="0" borderId="1" xfId="3" applyFont="1" applyBorder="1" applyAlignment="1">
      <alignment vertical="center"/>
    </xf>
    <xf numFmtId="0" fontId="7" fillId="4" borderId="2" xfId="3" applyFont="1" applyFill="1" applyBorder="1" applyAlignment="1">
      <alignment vertical="center"/>
    </xf>
    <xf numFmtId="0" fontId="3" fillId="4" borderId="0" xfId="3" applyFill="1"/>
    <xf numFmtId="164" fontId="3" fillId="4" borderId="0" xfId="3" applyNumberFormat="1" applyFill="1"/>
    <xf numFmtId="0" fontId="7" fillId="0" borderId="2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12" fillId="0" borderId="0" xfId="3" applyFont="1"/>
    <xf numFmtId="164" fontId="12" fillId="0" borderId="0" xfId="3" applyNumberFormat="1" applyFont="1"/>
    <xf numFmtId="0" fontId="7" fillId="0" borderId="3" xfId="3" applyFont="1" applyBorder="1" applyAlignment="1">
      <alignment vertical="center"/>
    </xf>
    <xf numFmtId="9" fontId="3" fillId="0" borderId="0" xfId="3" applyNumberFormat="1"/>
    <xf numFmtId="0" fontId="7" fillId="0" borderId="0" xfId="3" applyFont="1" applyAlignment="1">
      <alignment vertical="center"/>
    </xf>
    <xf numFmtId="0" fontId="13" fillId="0" borderId="0" xfId="3" applyFont="1"/>
    <xf numFmtId="14" fontId="4" fillId="0" borderId="0" xfId="3" applyNumberFormat="1" applyFont="1"/>
    <xf numFmtId="164" fontId="0" fillId="0" borderId="0" xfId="4" applyNumberFormat="1" applyFont="1" applyFill="1"/>
    <xf numFmtId="44" fontId="9" fillId="0" borderId="0" xfId="1" applyFont="1"/>
    <xf numFmtId="44" fontId="13" fillId="0" borderId="0" xfId="1" applyFont="1"/>
    <xf numFmtId="44" fontId="3" fillId="0" borderId="0" xfId="1" applyFont="1" applyFill="1"/>
    <xf numFmtId="44" fontId="12" fillId="0" borderId="0" xfId="1" applyFont="1"/>
    <xf numFmtId="0" fontId="11" fillId="0" borderId="0" xfId="3" applyFont="1" applyAlignment="1">
      <alignment vertical="center"/>
    </xf>
    <xf numFmtId="164" fontId="2" fillId="0" borderId="0" xfId="2" applyNumberFormat="1" applyFill="1"/>
  </cellXfs>
  <cellStyles count="8">
    <cellStyle name="Comma 2" xfId="7" xr:uid="{00000000-0005-0000-0000-000000000000}"/>
    <cellStyle name="Currency" xfId="1" builtinId="4"/>
    <cellStyle name="Currency 2" xfId="4" xr:uid="{00000000-0005-0000-0000-000002000000}"/>
    <cellStyle name="Neutral" xfId="2" builtinId="28"/>
    <cellStyle name="Normal" xfId="0" builtinId="0"/>
    <cellStyle name="Normal 2" xfId="3" xr:uid="{00000000-0005-0000-0000-000005000000}"/>
    <cellStyle name="Normal 2 2" xfId="5" xr:uid="{00000000-0005-0000-0000-000006000000}"/>
    <cellStyle name="Percent 2" xfId="6" xr:uid="{00000000-0005-0000-0000-000007000000}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5" formatCode="&quot;$&quot;#,##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5" formatCode="&quot;$&quot;#,##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68" totalsRowShown="0">
  <autoFilter ref="A1:L68" xr:uid="{00000000-0009-0000-0100-000001000000}"/>
  <tableColumns count="12">
    <tableColumn id="1" xr3:uid="{00000000-0010-0000-0000-000001000000}" name="Payee (Counties)"/>
    <tableColumn id="12" xr3:uid="{00000000-0010-0000-0000-00000C000000}" name="Unique ID"/>
    <tableColumn id="2" xr3:uid="{00000000-0010-0000-0000-000002000000}" name="County Payment" dataDxfId="119"/>
    <tableColumn id="10" xr3:uid="{00000000-0010-0000-0000-00000A000000}" name="MNK County Payment" dataDxfId="118"/>
    <tableColumn id="3" xr3:uid="{00000000-0010-0000-0000-000003000000}" name="Dist Litigating" dataDxfId="117"/>
    <tableColumn id="4" xr3:uid="{00000000-0010-0000-0000-000004000000}" name="JJ Litigating" dataDxfId="116"/>
    <tableColumn id="5" xr3:uid="{00000000-0010-0000-0000-000005000000}" name="Dist Bellwether" dataDxfId="115"/>
    <tableColumn id="6" xr3:uid="{00000000-0010-0000-0000-000006000000}" name="JJ Bellwether" dataDxfId="114"/>
    <tableColumn id="9" xr3:uid="{00000000-0010-0000-0000-000009000000}" name="MNK Litigating Payment" dataDxfId="113"/>
    <tableColumn id="11" xr3:uid="{00000000-0010-0000-0000-00000B000000}" name="MNK Bellwether " dataDxfId="112"/>
    <tableColumn id="7" xr3:uid="{00000000-0010-0000-0000-000007000000}" name="Reductions/COPA Bonus" dataDxfId="111"/>
    <tableColumn id="8" xr3:uid="{00000000-0010-0000-0000-000008000000}" name="Total Payment 3" dataDxfId="110">
      <calculatedColumnFormula>SUM(Table1[[#This Row],[County Payment]:[Reductions/COPA Bonus]])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5" displayName="Table5" ref="A5:V8" totalsRowShown="0" headerRowDxfId="39">
  <autoFilter ref="A5:V8" xr:uid="{00000000-0009-0000-0100-000009000000}"/>
  <tableColumns count="22">
    <tableColumn id="1" xr3:uid="{00000000-0010-0000-0900-000001000000}" name="Litigant"/>
    <tableColumn id="22" xr3:uid="{00000000-0010-0000-0900-000016000000}" name="Unique Id"/>
    <tableColumn id="2" xr3:uid="{00000000-0010-0000-0900-000002000000}" name="Adjusted % (W/Floors)"/>
    <tableColumn id="3" xr3:uid="{00000000-0010-0000-0900-000003000000}" name="Payment 1 - 9/1/22" dataCellStyle="Currency"/>
    <tableColumn id="4" xr3:uid="{00000000-0010-0000-0900-000004000000}" name="Payment 2 - 12/1/22" dataCellStyle="Currency"/>
    <tableColumn id="5" xr3:uid="{00000000-0010-0000-0900-000005000000}" name="Payment 3 - 2023" dataCellStyle="Currency"/>
    <tableColumn id="6" xr3:uid="{00000000-0010-0000-0900-000006000000}" name="Payment 4 - 2024" dataCellStyle="Currency"/>
    <tableColumn id="7" xr3:uid="{00000000-0010-0000-0900-000007000000}" name="Payment 5 - 2025" dataCellStyle="Currency"/>
    <tableColumn id="8" xr3:uid="{00000000-0010-0000-0900-000008000000}" name="Payment 6 - 2026" dataCellStyle="Currency"/>
    <tableColumn id="9" xr3:uid="{00000000-0010-0000-0900-000009000000}" name="Payment 7 - 2027" dataCellStyle="Currency"/>
    <tableColumn id="10" xr3:uid="{00000000-0010-0000-0900-00000A000000}" name="Payment 8 - 2028" dataCellStyle="Currency"/>
    <tableColumn id="11" xr3:uid="{00000000-0010-0000-0900-00000B000000}" name="Payment 9 -2029" dataCellStyle="Currency"/>
    <tableColumn id="12" xr3:uid="{00000000-0010-0000-0900-00000C000000}" name="Payment 10 -2030" dataCellStyle="Currency"/>
    <tableColumn id="13" xr3:uid="{00000000-0010-0000-0900-00000D000000}" name="Payment 11 - 2031" dataCellStyle="Currency"/>
    <tableColumn id="14" xr3:uid="{00000000-0010-0000-0900-00000E000000}" name="Payment 12 - 2032" dataCellStyle="Currency"/>
    <tableColumn id="15" xr3:uid="{00000000-0010-0000-0900-00000F000000}" name="Payment 13 - 2033" dataCellStyle="Currency"/>
    <tableColumn id="16" xr3:uid="{00000000-0010-0000-0900-000010000000}" name="Payment 14 - 2034" dataCellStyle="Currency"/>
    <tableColumn id="17" xr3:uid="{00000000-0010-0000-0900-000011000000}" name="Payment 15 - 2035" dataCellStyle="Currency"/>
    <tableColumn id="18" xr3:uid="{00000000-0010-0000-0900-000012000000}" name="Payment 16 - 2036" dataCellStyle="Currency"/>
    <tableColumn id="19" xr3:uid="{00000000-0010-0000-0900-000013000000}" name="Payment 17 - 2037" dataCellStyle="Currency"/>
    <tableColumn id="20" xr3:uid="{00000000-0010-0000-0900-000014000000}" name="Payment 18 -2038" dataCellStyle="Currency"/>
    <tableColumn id="21" xr3:uid="{00000000-0010-0000-0900-000015000000}" name="total" dataCellStyle="Currency">
      <calculatedColumnFormula>SUM(Table5[[#This Row],[Payment 1 - 9/1/22]:[Payment 18 -2038]])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311" displayName="Table311" ref="A11:O97" totalsRowShown="0" headerRowDxfId="38">
  <autoFilter ref="A11:O97" xr:uid="{00000000-0009-0000-0100-00000A000000}"/>
  <sortState xmlns:xlrd2="http://schemas.microsoft.com/office/spreadsheetml/2017/richdata2" ref="A12:O97">
    <sortCondition ref="C11:C97"/>
  </sortState>
  <tableColumns count="15">
    <tableColumn id="1" xr3:uid="{00000000-0010-0000-0A00-000001000000}" name="Litigant"/>
    <tableColumn id="2" xr3:uid="{00000000-0010-0000-0A00-000002000000}" name="Adjusted % (W/Floors)"/>
    <tableColumn id="15" xr3:uid="{00000000-0010-0000-0A00-00000F000000}" name="Unique Id"/>
    <tableColumn id="3" xr3:uid="{00000000-0010-0000-0A00-000003000000}" name="Payment 1 (D's Only) -9/1/22"/>
    <tableColumn id="4" xr3:uid="{00000000-0010-0000-0A00-000004000000}" name="Payment 2 - 12/15/22" dataDxfId="37">
      <calculatedColumnFormula>B12*$E$9</calculatedColumnFormula>
    </tableColumn>
    <tableColumn id="5" xr3:uid="{00000000-0010-0000-0A00-000005000000}" name="Payment 3 - 2023" dataDxfId="36">
      <calculatedColumnFormula>B12*$F$9</calculatedColumnFormula>
    </tableColumn>
    <tableColumn id="6" xr3:uid="{00000000-0010-0000-0A00-000006000000}" name="Payment 4 - 2024" dataDxfId="35">
      <calculatedColumnFormula>B12*$G$9</calculatedColumnFormula>
    </tableColumn>
    <tableColumn id="7" xr3:uid="{00000000-0010-0000-0A00-000007000000}" name="Payment 5 - 2025" dataDxfId="34">
      <calculatedColumnFormula>B12*$H$9</calculatedColumnFormula>
    </tableColumn>
    <tableColumn id="8" xr3:uid="{00000000-0010-0000-0A00-000008000000}" name="Payment 6 - 2026" dataDxfId="33">
      <calculatedColumnFormula>B12*$I$9</calculatedColumnFormula>
    </tableColumn>
    <tableColumn id="9" xr3:uid="{00000000-0010-0000-0A00-000009000000}" name="Payment 7 - 2027" dataDxfId="32">
      <calculatedColumnFormula>B12*$J$9</calculatedColumnFormula>
    </tableColumn>
    <tableColumn id="10" xr3:uid="{00000000-0010-0000-0A00-00000A000000}" name="Payment 8 - 2028" dataDxfId="31">
      <calculatedColumnFormula>B12*$K$9</calculatedColumnFormula>
    </tableColumn>
    <tableColumn id="11" xr3:uid="{00000000-0010-0000-0A00-00000B000000}" name="Payment 9 - 2029" dataDxfId="30">
      <calculatedColumnFormula>B12*$L$9</calculatedColumnFormula>
    </tableColumn>
    <tableColumn id="12" xr3:uid="{00000000-0010-0000-0A00-00000C000000}" name="Payment 10 - 2030" dataDxfId="29">
      <calculatedColumnFormula>B12*$M$9</calculatedColumnFormula>
    </tableColumn>
    <tableColumn id="13" xr3:uid="{00000000-0010-0000-0A00-00000D000000}" name="Payment 11 -2031" dataDxfId="28">
      <calculatedColumnFormula>B12*$N$9</calculatedColumnFormula>
    </tableColumn>
    <tableColumn id="14" xr3:uid="{00000000-0010-0000-0A00-00000E000000}" name="Total" dataDxfId="27">
      <calculatedColumnFormula>SUM(Table311[[#This Row],[Payment 2 - 12/15/22]:[Payment 11 -2031]])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4" displayName="Table4" ref="A5:O8" totalsRowShown="0" headerRowDxfId="26">
  <autoFilter ref="A5:O8" xr:uid="{00000000-0009-0000-0100-00000B000000}"/>
  <tableColumns count="15">
    <tableColumn id="1" xr3:uid="{00000000-0010-0000-0B00-000001000000}" name="Litigant"/>
    <tableColumn id="2" xr3:uid="{00000000-0010-0000-0B00-000002000000}" name="Adjusted % (W/Floors)"/>
    <tableColumn id="15" xr3:uid="{00000000-0010-0000-0B00-00000F000000}" name="Unique ID "/>
    <tableColumn id="3" xr3:uid="{00000000-0010-0000-0B00-000003000000}" name="Payment 1 (D's Only) -9/1/22"/>
    <tableColumn id="4" xr3:uid="{00000000-0010-0000-0B00-000004000000}" name="Payment 2 - 12/15/22" dataDxfId="25"/>
    <tableColumn id="5" xr3:uid="{00000000-0010-0000-0B00-000005000000}" name="Payment 3 - 2023" dataDxfId="24"/>
    <tableColumn id="6" xr3:uid="{00000000-0010-0000-0B00-000006000000}" name="Payment 4 - 2024" dataDxfId="23"/>
    <tableColumn id="7" xr3:uid="{00000000-0010-0000-0B00-000007000000}" name="Payment 5 - 2025" dataDxfId="22"/>
    <tableColumn id="8" xr3:uid="{00000000-0010-0000-0B00-000008000000}" name="Payment 6 - 2026" dataDxfId="21"/>
    <tableColumn id="9" xr3:uid="{00000000-0010-0000-0B00-000009000000}" name="Payment 7 - 2027" dataDxfId="20"/>
    <tableColumn id="10" xr3:uid="{00000000-0010-0000-0B00-00000A000000}" name="Payment 8 - 2028" dataDxfId="19"/>
    <tableColumn id="11" xr3:uid="{00000000-0010-0000-0B00-00000B000000}" name="Payment 9 - 2029" dataDxfId="18"/>
    <tableColumn id="12" xr3:uid="{00000000-0010-0000-0B00-00000C000000}" name="Payment 10 - 2030" dataDxfId="17"/>
    <tableColumn id="13" xr3:uid="{00000000-0010-0000-0B00-00000D000000}" name="Payment 11 -2031" dataDxfId="16"/>
    <tableColumn id="14" xr3:uid="{00000000-0010-0000-0B00-00000E000000}" name="Total" dataDxfId="15">
      <calculatedColumnFormula>SUM(Table4[[#This Row],[Payment 2 - 12/15/22]:[Payment 11 -2031]])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able1422" displayName="Table1422" ref="A1:G4" totalsRowShown="0">
  <autoFilter ref="A1:G4" xr:uid="{00000000-0009-0000-0100-000015000000}"/>
  <tableColumns count="7">
    <tableColumn id="1" xr3:uid="{00000000-0010-0000-0C00-000001000000}" name="Payment #"/>
    <tableColumn id="12" xr3:uid="{00000000-0010-0000-0C00-00000C000000}" name="Approx Date"/>
    <tableColumn id="2" xr3:uid="{00000000-0010-0000-0C00-000002000000}" name="PA Mallinckrodt" dataDxfId="14"/>
    <tableColumn id="7" xr3:uid="{00000000-0010-0000-0C00-000007000000}" name="Commonwealth" dataDxfId="13">
      <calculatedColumnFormula>Table1422[[#This Row],[PA Mallinckrodt]]*0.15</calculatedColumnFormula>
    </tableColumn>
    <tableColumn id="8" xr3:uid="{00000000-0010-0000-0C00-000008000000}" name="County" dataDxfId="12">
      <calculatedColumnFormula>Table1422[[#This Row],[PA Mallinckrodt]]*0.7</calculatedColumnFormula>
    </tableColumn>
    <tableColumn id="9" xr3:uid="{00000000-0010-0000-0C00-000009000000}" name="Litigating" dataDxfId="11">
      <calculatedColumnFormula>Table1422[[#This Row],[PA Mallinckrodt]]*0.15</calculatedColumnFormula>
    </tableColumn>
    <tableColumn id="10" xr3:uid="{00000000-0010-0000-0C00-00000A000000}" name="Total" dataDxfId="10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416" displayName="Table416" ref="A3:E70" totalsRowShown="0" headerRowDxfId="9">
  <autoFilter ref="A3:E70" xr:uid="{00000000-0009-0000-0100-00000F000000}"/>
  <tableColumns count="5">
    <tableColumn id="1" xr3:uid="{00000000-0010-0000-0D00-000001000000}" name="County" dataDxfId="8"/>
    <tableColumn id="2" xr3:uid="{00000000-0010-0000-0D00-000002000000}" name="Adjusted % (W/Floors)"/>
    <tableColumn id="3" xr3:uid="{00000000-0010-0000-0D00-000003000000}" name="Emergent - 12/15/2023" dataCellStyle="Currency">
      <calculatedColumnFormula>B4*$C$1</calculatedColumnFormula>
    </tableColumn>
    <tableColumn id="4" xr3:uid="{00000000-0010-0000-0D00-000004000000}" name="Final Payment - 2/15/24" dataCellStyle="Currency">
      <calculatedColumnFormula>B4*$D$1</calculatedColumnFormula>
    </tableColumn>
    <tableColumn id="12" xr3:uid="{00000000-0010-0000-0D00-00000C000000}" name="Total" dataCellStyle="Currency">
      <calculatedColumnFormula>SUM(C4:D4)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Table517" displayName="Table517" ref="A11:E64" totalsRowShown="0" headerRowDxfId="7">
  <autoFilter ref="A11:E64" xr:uid="{00000000-0009-0000-0100-000013000000}"/>
  <sortState xmlns:xlrd2="http://schemas.microsoft.com/office/spreadsheetml/2017/richdata2" ref="A12:K57">
    <sortCondition ref="A11:A57"/>
  </sortState>
  <tableColumns count="5">
    <tableColumn id="1" xr3:uid="{00000000-0010-0000-0E00-000001000000}" name="Litigant"/>
    <tableColumn id="2" xr3:uid="{00000000-0010-0000-0E00-000002000000}" name="Adjusted % (W/Floors)"/>
    <tableColumn id="3" xr3:uid="{00000000-0010-0000-0E00-000003000000}" name="Emergent - 12/1/2023" dataDxfId="6" dataCellStyle="Currency">
      <calculatedColumnFormula>Table517[[#This Row],[Adjusted % (W/Floors)]]*$C$9</calculatedColumnFormula>
    </tableColumn>
    <tableColumn id="4" xr3:uid="{00000000-0010-0000-0E00-000004000000}" name="Payment 1 - 12/1/23" dataCellStyle="Currency">
      <calculatedColumnFormula>B12*$D$9</calculatedColumnFormula>
    </tableColumn>
    <tableColumn id="5" xr3:uid="{00000000-0010-0000-0E00-000005000000}" name="Total" dataDxfId="5" dataCellStyle="Currency">
      <calculatedColumnFormula>SUM(Table517[[#This Row],[Emergent - 12/1/2023]:[Payment 1 - 12/1/23]])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Table618" displayName="Table618" ref="A5:E7" totalsRowShown="0" headerRowDxfId="4" dataDxfId="3" headerRowCellStyle="Currency" dataCellStyle="Currency">
  <autoFilter ref="A5:E7" xr:uid="{00000000-0009-0000-0100-000014000000}"/>
  <tableColumns count="5">
    <tableColumn id="1" xr3:uid="{00000000-0010-0000-0F00-000001000000}" name="Litigant"/>
    <tableColumn id="2" xr3:uid="{00000000-0010-0000-0F00-000002000000}" name="Adjusted % (W/Floors)"/>
    <tableColumn id="3" xr3:uid="{00000000-0010-0000-0F00-000003000000}" name="Emergent - 12/1/2023" dataDxfId="2" dataCellStyle="Currency">
      <calculatedColumnFormula>$B$7*C3</calculatedColumnFormula>
    </tableColumn>
    <tableColumn id="4" xr3:uid="{00000000-0010-0000-0F00-000004000000}" name="Payment 1 - 12/1/23" dataDxfId="1" dataCellStyle="Currency">
      <calculatedColumnFormula>$B$7*D3</calculatedColumnFormula>
    </tableColumn>
    <tableColumn id="5" xr3:uid="{00000000-0010-0000-0F00-000005000000}" name="Total" dataDxfId="0" dataCellStyle="Currency">
      <calculatedColumnFormula>SUM(Table618[[#This Row],[Emergent - 12/1/2023]:[Payment 1 - 12/1/23]])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2:I82" totalsRowShown="0">
  <autoFilter ref="A72:I82" xr:uid="{00000000-0009-0000-0100-000002000000}"/>
  <tableColumns count="9">
    <tableColumn id="1" xr3:uid="{00000000-0010-0000-0100-000001000000}" name="Payee (DAs)"/>
    <tableColumn id="7" xr3:uid="{00000000-0010-0000-0100-000007000000}" name="Unique ID"/>
    <tableColumn id="3" xr3:uid="{00000000-0010-0000-0100-000003000000}" name="Dist Litigating" dataDxfId="109"/>
    <tableColumn id="4" xr3:uid="{00000000-0010-0000-0100-000004000000}" name="JJ Litigating" dataDxfId="108"/>
    <tableColumn id="5" xr3:uid="{00000000-0010-0000-0100-000005000000}" name="Dist Bellweather" dataDxfId="107"/>
    <tableColumn id="6" xr3:uid="{00000000-0010-0000-0100-000006000000}" name="JJ Bellwether" dataDxfId="106"/>
    <tableColumn id="9" xr3:uid="{00000000-0010-0000-0100-000009000000}" name="MNK Litigating" dataDxfId="105"/>
    <tableColumn id="10" xr3:uid="{00000000-0010-0000-0100-00000A000000}" name="MNK Bellwether" dataDxfId="104"/>
    <tableColumn id="8" xr3:uid="{00000000-0010-0000-0100-000008000000}" name="Total Payment 3" dataDxfId="103">
      <calculatedColumnFormula>SUM(Table2[[#This Row],[Dist Litigating]:[MNK Bellwether]])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84:F120" totalsRowShown="0">
  <autoFilter ref="A84:F120" xr:uid="{00000000-0009-0000-0100-000003000000}"/>
  <tableColumns count="6">
    <tableColumn id="1" xr3:uid="{00000000-0010-0000-0200-000001000000}" name="Payee (Subdivisions)"/>
    <tableColumn id="6" xr3:uid="{00000000-0010-0000-0200-000006000000}" name="Unique ID" dataCellStyle="Normal"/>
    <tableColumn id="3" xr3:uid="{00000000-0010-0000-0200-000003000000}" name="Dist Litigating" dataDxfId="102"/>
    <tableColumn id="4" xr3:uid="{00000000-0010-0000-0200-000004000000}" name="JJ Litigating" dataDxfId="101"/>
    <tableColumn id="5" xr3:uid="{00000000-0010-0000-0200-000005000000}" name="MNK Litigating" dataDxfId="100"/>
    <tableColumn id="8" xr3:uid="{00000000-0010-0000-0200-000008000000}" name="Total Payment 3" dataDxfId="99">
      <calculatedColumnFormula>SUM(Table3[[#This Row],[Dist Litigating]:[MNK Litigating]])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22:G123" totalsRowShown="0">
  <autoFilter ref="A122:G123" xr:uid="{00000000-0009-0000-0100-000007000000}"/>
  <tableColumns count="7">
    <tableColumn id="1" xr3:uid="{00000000-0010-0000-0300-000001000000}" name="Payee (COPA)"/>
    <tableColumn id="2" xr3:uid="{00000000-0010-0000-0300-000002000000}" name="Unique ID"/>
    <tableColumn id="3" xr3:uid="{00000000-0010-0000-0300-000003000000}" name="Dist Payment" dataDxfId="98"/>
    <tableColumn id="4" xr3:uid="{00000000-0010-0000-0300-000004000000}" name="JJ Payment" dataDxfId="97"/>
    <tableColumn id="5" xr3:uid="{00000000-0010-0000-0300-000005000000}" name="MNK Payment" dataDxfId="96" dataCellStyle="Currency"/>
    <tableColumn id="6" xr3:uid="{00000000-0010-0000-0300-000006000000}" name="COPA Bonus from County Reduction" dataDxfId="95"/>
    <tableColumn id="7" xr3:uid="{00000000-0010-0000-0300-000007000000}" name="Total Payment 3" dataDxfId="94">
      <calculatedColumnFormula>SUM(Table7[[Dist Payment]:[MNK Payment]])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25:F127" totalsRowShown="0" headerRowDxfId="93">
  <autoFilter ref="A125:F127" xr:uid="{00000000-0009-0000-0100-000008000000}"/>
  <tableColumns count="6">
    <tableColumn id="1" xr3:uid="{00000000-0010-0000-0400-000001000000}" name="Cost/Fees"/>
    <tableColumn id="2" xr3:uid="{00000000-0010-0000-0400-000002000000}" name="Unique ID"/>
    <tableColumn id="3" xr3:uid="{00000000-0010-0000-0400-000003000000}" name="Attorney/Admin Costs"/>
    <tableColumn id="4" xr3:uid="{00000000-0010-0000-0400-000004000000}" name="Dist Atty Fees"/>
    <tableColumn id="5" xr3:uid="{00000000-0010-0000-0400-000005000000}" name="JJ Atty Fees"/>
    <tableColumn id="6" xr3:uid="{00000000-0010-0000-0400-000006000000}" name="Total Payment 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e12" displayName="Table12" ref="A2:B88" totalsRowShown="0">
  <autoFilter ref="A2:B88" xr:uid="{00000000-0009-0000-0100-00000D000000}"/>
  <tableColumns count="2">
    <tableColumn id="1" xr3:uid="{00000000-0010-0000-0500-000001000000}" name="Litigant"/>
    <tableColumn id="2" xr3:uid="{00000000-0010-0000-0500-000002000000}" name="Difference (P3 Corrected)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14" displayName="Table14" ref="A1:O20" totalsRowShown="0">
  <autoFilter ref="A1:O20" xr:uid="{00000000-0009-0000-0100-000004000000}"/>
  <tableColumns count="15">
    <tableColumn id="1" xr3:uid="{00000000-0010-0000-0600-000001000000}" name="Payment #"/>
    <tableColumn id="12" xr3:uid="{00000000-0010-0000-0600-00000C000000}" name="Approx Date"/>
    <tableColumn id="2" xr3:uid="{00000000-0010-0000-0600-000002000000}" name="PA Distributors " dataDxfId="92"/>
    <tableColumn id="3" xr3:uid="{00000000-0010-0000-0600-000003000000}" name="PA J&amp;J" dataDxfId="91"/>
    <tableColumn id="4" xr3:uid="{00000000-0010-0000-0600-000004000000}" name="Totals" dataDxfId="90"/>
    <tableColumn id="14" xr3:uid="{00000000-0010-0000-0600-00000E000000}" name="Distributors Atty Fees" dataDxfId="89"/>
    <tableColumn id="13" xr3:uid="{00000000-0010-0000-0600-00000D000000}" name="J&amp;J Attorneys Fees" dataDxfId="88"/>
    <tableColumn id="5" xr3:uid="{00000000-0010-0000-0600-000005000000}" name="Attorney's Costs" dataDxfId="87"/>
    <tableColumn id="15" xr3:uid="{00000000-0010-0000-0600-00000F000000}" name="Admin Costs" dataDxfId="86"/>
    <tableColumn id="6" xr3:uid="{00000000-0010-0000-0600-000006000000}" name="Total Less Fees" dataDxfId="85">
      <calculatedColumnFormula>Table14[[#This Row],[Totals]]-Table14[[#This Row],[Distributors Atty Fees]]-Table14[[#This Row],[J&amp;J Attorneys Fees]]-Table14[[#This Row],[Attorney''s Costs]]-Table14[[#This Row],[Admin Costs]]</calculatedColumnFormula>
    </tableColumn>
    <tableColumn id="7" xr3:uid="{00000000-0010-0000-0600-000007000000}" name="Commonwealth" dataDxfId="84">
      <calculatedColumnFormula>Table14[[#This Row],[Total Less Fees]]*0.15</calculatedColumnFormula>
    </tableColumn>
    <tableColumn id="8" xr3:uid="{00000000-0010-0000-0600-000008000000}" name="County" dataDxfId="83">
      <calculatedColumnFormula>Table14[[#This Row],[Total Less Fees]]*0.7</calculatedColumnFormula>
    </tableColumn>
    <tableColumn id="9" xr3:uid="{00000000-0010-0000-0600-000009000000}" name="Litigating" dataDxfId="82">
      <calculatedColumnFormula>Table14[[#This Row],[Total Less Fees]]*0.15</calculatedColumnFormula>
    </tableColumn>
    <tableColumn id="10" xr3:uid="{00000000-0010-0000-0600-00000A000000}" name="(Litigating Ds" dataDxfId="81"/>
    <tableColumn id="11" xr3:uid="{00000000-0010-0000-0600-00000B000000}" name="(Litigating J&amp;J)" dataDxfId="80">
      <calculatedColumnFormula>(Table14[[#This Row],[PA J&amp;J]]-Table14[[#This Row],[J&amp;J Attorneys Fees]])*0.15</calculatedColumnFormula>
    </tableColumn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le6" displayName="Table6" ref="A1:U69" totalsRowShown="0" headerRowDxfId="79">
  <autoFilter ref="A1:U69" xr:uid="{00000000-0009-0000-0100-000005000000}"/>
  <tableColumns count="21">
    <tableColumn id="1" xr3:uid="{00000000-0010-0000-0700-000001000000}" name="County" dataDxfId="78"/>
    <tableColumn id="2" xr3:uid="{00000000-0010-0000-0700-000002000000}" name="Adjusted % (W/Floors)"/>
    <tableColumn id="3" xr3:uid="{00000000-0010-0000-0700-000003000000}" name="Payment 1 - 9/1/22" dataDxfId="77">
      <calculatedColumnFormula>B2*$C$2</calculatedColumnFormula>
    </tableColumn>
    <tableColumn id="4" xr3:uid="{00000000-0010-0000-0700-000004000000}" name="Payment 2 - 12/1/22" dataDxfId="76">
      <calculatedColumnFormula>B2*$D$2</calculatedColumnFormula>
    </tableColumn>
    <tableColumn id="5" xr3:uid="{00000000-0010-0000-0700-000005000000}" name="Payment 3 - 2023" dataDxfId="75">
      <calculatedColumnFormula>B2*$E$2</calculatedColumnFormula>
    </tableColumn>
    <tableColumn id="6" xr3:uid="{00000000-0010-0000-0700-000006000000}" name="Payment 4 - 2024" dataDxfId="74">
      <calculatedColumnFormula>B2*$F$2</calculatedColumnFormula>
    </tableColumn>
    <tableColumn id="7" xr3:uid="{00000000-0010-0000-0700-000007000000}" name="Payment 5 - 2025" dataDxfId="73">
      <calculatedColumnFormula>B2*$G$2</calculatedColumnFormula>
    </tableColumn>
    <tableColumn id="8" xr3:uid="{00000000-0010-0000-0700-000008000000}" name="Payment 6 - 2026" dataDxfId="72">
      <calculatedColumnFormula>B2*$H$2</calculatedColumnFormula>
    </tableColumn>
    <tableColumn id="9" xr3:uid="{00000000-0010-0000-0700-000009000000}" name="Payment 7 - 2027" dataDxfId="71">
      <calculatedColumnFormula>B2*$I$2</calculatedColumnFormula>
    </tableColumn>
    <tableColumn id="10" xr3:uid="{00000000-0010-0000-0700-00000A000000}" name="Payment 8 - 2028" dataDxfId="70">
      <calculatedColumnFormula>B2*$J$2</calculatedColumnFormula>
    </tableColumn>
    <tableColumn id="11" xr3:uid="{00000000-0010-0000-0700-00000B000000}" name="Payment 9 -2029" dataDxfId="69">
      <calculatedColumnFormula>B2*$K$2</calculatedColumnFormula>
    </tableColumn>
    <tableColumn id="12" xr3:uid="{00000000-0010-0000-0700-00000C000000}" name="Payment 10 -2030" dataDxfId="68">
      <calculatedColumnFormula>B2*$L$2</calculatedColumnFormula>
    </tableColumn>
    <tableColumn id="13" xr3:uid="{00000000-0010-0000-0700-00000D000000}" name="Payment 11 - 2031" dataDxfId="67">
      <calculatedColumnFormula>B2*$M$2</calculatedColumnFormula>
    </tableColumn>
    <tableColumn id="14" xr3:uid="{00000000-0010-0000-0700-00000E000000}" name="Payment 12 - 2032" dataDxfId="66">
      <calculatedColumnFormula>B2*$N$2</calculatedColumnFormula>
    </tableColumn>
    <tableColumn id="15" xr3:uid="{00000000-0010-0000-0700-00000F000000}" name="Payment 13 - 2033" dataDxfId="65">
      <calculatedColumnFormula>B2*$O$2</calculatedColumnFormula>
    </tableColumn>
    <tableColumn id="16" xr3:uid="{00000000-0010-0000-0700-000010000000}" name="Payment 14 - 2034" dataDxfId="64">
      <calculatedColumnFormula>B2*$P$2</calculatedColumnFormula>
    </tableColumn>
    <tableColumn id="17" xr3:uid="{00000000-0010-0000-0700-000011000000}" name="Payment 15 - 2035" dataDxfId="63">
      <calculatedColumnFormula>B2*$Q$2</calculatedColumnFormula>
    </tableColumn>
    <tableColumn id="18" xr3:uid="{00000000-0010-0000-0700-000012000000}" name="Payment 16 - 2036" dataDxfId="62">
      <calculatedColumnFormula>B2*$R$2</calculatedColumnFormula>
    </tableColumn>
    <tableColumn id="19" xr3:uid="{00000000-0010-0000-0700-000013000000}" name="Payment 17 - 2037" dataDxfId="61">
      <calculatedColumnFormula>B2*$S$2</calculatedColumnFormula>
    </tableColumn>
    <tableColumn id="20" xr3:uid="{00000000-0010-0000-0700-000014000000}" name="Payment 18 -2038" dataDxfId="60">
      <calculatedColumnFormula>B2*$T$2</calculatedColumnFormula>
    </tableColumn>
    <tableColumn id="21" xr3:uid="{00000000-0010-0000-0700-000015000000}" name="Total" dataDxfId="59">
      <calculatedColumnFormula>SUM(Table6[[#This Row],[Payment 1 - 9/1/22]:[Payment 18 -2038]])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27" displayName="Table27" ref="A11:V89" totalsRowShown="0" headerRowDxfId="58">
  <autoFilter ref="A11:V89" xr:uid="{00000000-0009-0000-0100-000006000000}"/>
  <sortState xmlns:xlrd2="http://schemas.microsoft.com/office/spreadsheetml/2017/richdata2" ref="A12:V89">
    <sortCondition ref="B11:B89"/>
  </sortState>
  <tableColumns count="22">
    <tableColumn id="1" xr3:uid="{00000000-0010-0000-0800-000001000000}" name="Litigant"/>
    <tableColumn id="22" xr3:uid="{00000000-0010-0000-0800-000016000000}" name="Unique ID"/>
    <tableColumn id="2" xr3:uid="{00000000-0010-0000-0800-000002000000}" name="Adjusted % (W/Floors)"/>
    <tableColumn id="3" xr3:uid="{00000000-0010-0000-0800-000003000000}" name="Payment 1 - 9/1/22" dataDxfId="57" dataCellStyle="Currency">
      <calculatedColumnFormula>C12*$D$9</calculatedColumnFormula>
    </tableColumn>
    <tableColumn id="4" xr3:uid="{00000000-0010-0000-0800-000004000000}" name="Payment 2 - 12/1/22" dataDxfId="56" dataCellStyle="Currency">
      <calculatedColumnFormula>C12*$E$9</calculatedColumnFormula>
    </tableColumn>
    <tableColumn id="5" xr3:uid="{00000000-0010-0000-0800-000005000000}" name="Payment 3 - 2023" dataDxfId="55" dataCellStyle="Currency">
      <calculatedColumnFormula>C12*$F$9</calculatedColumnFormula>
    </tableColumn>
    <tableColumn id="6" xr3:uid="{00000000-0010-0000-0800-000006000000}" name="Payment 4 - 2024" dataDxfId="54" dataCellStyle="Currency">
      <calculatedColumnFormula>C12*$G$9</calculatedColumnFormula>
    </tableColumn>
    <tableColumn id="7" xr3:uid="{00000000-0010-0000-0800-000007000000}" name="Payment 5 - 2025" dataDxfId="53" dataCellStyle="Currency">
      <calculatedColumnFormula>C12*$H$9</calculatedColumnFormula>
    </tableColumn>
    <tableColumn id="8" xr3:uid="{00000000-0010-0000-0800-000008000000}" name="Payment 6 - 2026" dataDxfId="52" dataCellStyle="Currency">
      <calculatedColumnFormula>C12*$I$9</calculatedColumnFormula>
    </tableColumn>
    <tableColumn id="9" xr3:uid="{00000000-0010-0000-0800-000009000000}" name="Payment 7 - 2027" dataDxfId="51" dataCellStyle="Currency">
      <calculatedColumnFormula>C12*$J$9</calculatedColumnFormula>
    </tableColumn>
    <tableColumn id="10" xr3:uid="{00000000-0010-0000-0800-00000A000000}" name="Payment 8 - 2028" dataDxfId="50" dataCellStyle="Currency">
      <calculatedColumnFormula>C12*$K$9</calculatedColumnFormula>
    </tableColumn>
    <tableColumn id="11" xr3:uid="{00000000-0010-0000-0800-00000B000000}" name="Payment 9 -2029" dataDxfId="49" dataCellStyle="Currency">
      <calculatedColumnFormula>C12*$L$9</calculatedColumnFormula>
    </tableColumn>
    <tableColumn id="12" xr3:uid="{00000000-0010-0000-0800-00000C000000}" name="Payment 10 -2030" dataDxfId="48" dataCellStyle="Currency">
      <calculatedColumnFormula>C12*$M$9</calculatedColumnFormula>
    </tableColumn>
    <tableColumn id="13" xr3:uid="{00000000-0010-0000-0800-00000D000000}" name="Payment 11 - 2031" dataDxfId="47" dataCellStyle="Currency">
      <calculatedColumnFormula>C12*$N$9</calculatedColumnFormula>
    </tableColumn>
    <tableColumn id="14" xr3:uid="{00000000-0010-0000-0800-00000E000000}" name="Payment 12 - 2032" dataDxfId="46" dataCellStyle="Currency">
      <calculatedColumnFormula>C12*$O$9</calculatedColumnFormula>
    </tableColumn>
    <tableColumn id="15" xr3:uid="{00000000-0010-0000-0800-00000F000000}" name="Payment 13 - 2033" dataDxfId="45" dataCellStyle="Currency">
      <calculatedColumnFormula>C12*$P$9</calculatedColumnFormula>
    </tableColumn>
    <tableColumn id="16" xr3:uid="{00000000-0010-0000-0800-000010000000}" name="Payment 14 - 2034" dataDxfId="44" dataCellStyle="Currency">
      <calculatedColumnFormula>C12*$Q$9</calculatedColumnFormula>
    </tableColumn>
    <tableColumn id="17" xr3:uid="{00000000-0010-0000-0800-000011000000}" name="Payment 15 - 2035" dataDxfId="43" dataCellStyle="Currency">
      <calculatedColumnFormula>C12*$R$9</calculatedColumnFormula>
    </tableColumn>
    <tableColumn id="18" xr3:uid="{00000000-0010-0000-0800-000012000000}" name="Payment 16 - 2036" dataDxfId="42" dataCellStyle="Currency">
      <calculatedColumnFormula>C12*$S$9</calculatedColumnFormula>
    </tableColumn>
    <tableColumn id="19" xr3:uid="{00000000-0010-0000-0800-000013000000}" name="Payment 17 - 2037" dataDxfId="41" dataCellStyle="Currency">
      <calculatedColumnFormula>C12*$T$9</calculatedColumnFormula>
    </tableColumn>
    <tableColumn id="20" xr3:uid="{00000000-0010-0000-0800-000014000000}" name="Payment 18 -2038" dataDxfId="40" dataCellStyle="Currency">
      <calculatedColumnFormula>C12*$U$9</calculatedColumnFormula>
    </tableColumn>
    <tableColumn id="21" xr3:uid="{00000000-0010-0000-0800-000015000000}" name="Total" dataCellStyle="Currency">
      <calculatedColumnFormula>SUM(Table27[[#This Row],[Payment 1 - 9/1/22]:[Payment 18 -2038]])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workbookViewId="0">
      <selection activeCell="K6" sqref="K6"/>
    </sheetView>
  </sheetViews>
  <sheetFormatPr defaultRowHeight="14.4" x14ac:dyDescent="0.3"/>
  <cols>
    <col min="1" max="1" width="45.6640625" customWidth="1"/>
    <col min="2" max="2" width="13" customWidth="1"/>
    <col min="3" max="3" width="22.33203125" bestFit="1" customWidth="1"/>
    <col min="4" max="4" width="22.21875" bestFit="1" customWidth="1"/>
    <col min="5" max="5" width="17.109375" bestFit="1" customWidth="1"/>
    <col min="6" max="6" width="34.33203125" bestFit="1" customWidth="1"/>
    <col min="7" max="7" width="17.109375" bestFit="1" customWidth="1"/>
    <col min="8" max="8" width="17" bestFit="1" customWidth="1"/>
    <col min="9" max="9" width="23.88671875" bestFit="1" customWidth="1"/>
    <col min="10" max="10" width="17.44140625" bestFit="1" customWidth="1"/>
    <col min="11" max="11" width="24.21875" bestFit="1" customWidth="1"/>
    <col min="12" max="12" width="17.109375" bestFit="1" customWidth="1"/>
  </cols>
  <sheetData>
    <row r="1" spans="1:12" x14ac:dyDescent="0.3">
      <c r="A1" t="s">
        <v>0</v>
      </c>
      <c r="B1" t="s">
        <v>139</v>
      </c>
      <c r="C1" t="s">
        <v>1</v>
      </c>
      <c r="D1" t="s">
        <v>128</v>
      </c>
      <c r="E1" t="s">
        <v>120</v>
      </c>
      <c r="F1" t="s">
        <v>121</v>
      </c>
      <c r="G1" t="s">
        <v>296</v>
      </c>
      <c r="H1" t="s">
        <v>294</v>
      </c>
      <c r="I1" t="s">
        <v>127</v>
      </c>
      <c r="J1" t="s">
        <v>297</v>
      </c>
      <c r="K1" t="s">
        <v>2</v>
      </c>
      <c r="L1" t="s">
        <v>126</v>
      </c>
    </row>
    <row r="2" spans="1:12" x14ac:dyDescent="0.3">
      <c r="A2" t="s">
        <v>3</v>
      </c>
      <c r="B2">
        <v>1</v>
      </c>
      <c r="C2" s="1">
        <v>143075.17846425538</v>
      </c>
      <c r="D2" s="1">
        <v>16798.973063780366</v>
      </c>
      <c r="E2" s="1">
        <v>44066.915596071573</v>
      </c>
      <c r="F2" s="1">
        <v>15721.811187511854</v>
      </c>
      <c r="G2" s="1"/>
      <c r="H2" s="1"/>
      <c r="I2" s="1">
        <v>8353.1701315564078</v>
      </c>
      <c r="J2" s="1"/>
      <c r="K2" s="1"/>
      <c r="L2" s="1">
        <f>SUM(Table1[[#This Row],[County Payment]:[Reductions/COPA Bonus]])</f>
        <v>228016.04844317559</v>
      </c>
    </row>
    <row r="3" spans="1:12" x14ac:dyDescent="0.3">
      <c r="A3" t="s">
        <v>4</v>
      </c>
      <c r="B3">
        <v>2</v>
      </c>
      <c r="C3" s="1">
        <v>4793018.8073946247</v>
      </c>
      <c r="D3" s="1">
        <v>562765.63624717644</v>
      </c>
      <c r="E3" s="1">
        <v>448367.15778893116</v>
      </c>
      <c r="F3" s="1">
        <v>147345.7666248763</v>
      </c>
      <c r="G3" s="1"/>
      <c r="H3" s="1"/>
      <c r="I3" s="1">
        <v>100588.2486305661</v>
      </c>
      <c r="J3" s="1"/>
      <c r="K3" s="46"/>
      <c r="L3" s="1">
        <f>SUM(Table1[[#This Row],[County Payment]:[Reductions/COPA Bonus]])</f>
        <v>6052085.6166861756</v>
      </c>
    </row>
    <row r="4" spans="1:12" x14ac:dyDescent="0.3">
      <c r="A4" t="s">
        <v>5</v>
      </c>
      <c r="B4">
        <v>3</v>
      </c>
      <c r="C4" s="1">
        <v>252045.24907794077</v>
      </c>
      <c r="D4" s="1">
        <v>29593.542329020755</v>
      </c>
      <c r="E4" s="1">
        <v>23504.374881316278</v>
      </c>
      <c r="F4" s="1">
        <v>7860.9055937559269</v>
      </c>
      <c r="G4" s="1"/>
      <c r="H4" s="1"/>
      <c r="I4" s="1"/>
      <c r="J4" s="1"/>
      <c r="K4" s="1"/>
      <c r="L4" s="1">
        <f>SUM(Table1[[#This Row],[County Payment]:[Reductions/COPA Bonus]])</f>
        <v>313004.07188203372</v>
      </c>
    </row>
    <row r="5" spans="1:12" x14ac:dyDescent="0.3">
      <c r="A5" t="s">
        <v>6</v>
      </c>
      <c r="B5">
        <v>4</v>
      </c>
      <c r="C5" s="1">
        <v>529877.2768105499</v>
      </c>
      <c r="D5" s="1">
        <v>62214.803404725892</v>
      </c>
      <c r="E5" s="1">
        <v>60309.777916663385</v>
      </c>
      <c r="F5" s="1">
        <v>19819.449992566289</v>
      </c>
      <c r="G5" s="1"/>
      <c r="H5" s="1"/>
      <c r="I5" s="1"/>
      <c r="J5" s="1"/>
      <c r="K5" s="1"/>
      <c r="L5" s="1">
        <f>SUM(Table1[[#This Row],[County Payment]:[Reductions/COPA Bonus]])</f>
        <v>672221.30812450533</v>
      </c>
    </row>
    <row r="6" spans="1:12" x14ac:dyDescent="0.3">
      <c r="A6" t="s">
        <v>7</v>
      </c>
      <c r="B6">
        <v>5</v>
      </c>
      <c r="C6" s="1">
        <v>79855.948322762968</v>
      </c>
      <c r="D6" s="1">
        <v>9376.1750937943434</v>
      </c>
      <c r="E6" s="1">
        <v>17057.683939845399</v>
      </c>
      <c r="F6" s="1">
        <v>5605.6235906210886</v>
      </c>
      <c r="G6" s="1"/>
      <c r="H6" s="1"/>
      <c r="I6" s="1">
        <v>3826.7801809214961</v>
      </c>
      <c r="J6" s="1"/>
      <c r="K6" s="1"/>
      <c r="L6" s="1">
        <f>SUM(Table1[[#This Row],[County Payment]:[Reductions/COPA Bonus]])</f>
        <v>115722.21112794531</v>
      </c>
    </row>
    <row r="7" spans="1:12" x14ac:dyDescent="0.3">
      <c r="A7" t="s">
        <v>8</v>
      </c>
      <c r="B7">
        <v>6</v>
      </c>
      <c r="C7" s="1">
        <v>786497.61591465666</v>
      </c>
      <c r="D7" s="1">
        <v>92345.523565281794</v>
      </c>
      <c r="E7" s="1"/>
      <c r="F7" s="1"/>
      <c r="G7" s="1"/>
      <c r="H7" s="1"/>
      <c r="I7" s="1">
        <v>34493.785942955685</v>
      </c>
      <c r="J7" s="1"/>
      <c r="K7" s="1"/>
      <c r="L7" s="1">
        <f>SUM(Table1[[#This Row],[County Payment]:[Reductions/COPA Bonus]])</f>
        <v>913336.92542289407</v>
      </c>
    </row>
    <row r="8" spans="1:12" x14ac:dyDescent="0.3">
      <c r="A8" t="s">
        <v>9</v>
      </c>
      <c r="B8">
        <v>7</v>
      </c>
      <c r="C8" s="1">
        <v>335644.43657043943</v>
      </c>
      <c r="D8" s="1">
        <v>39409.224643135552</v>
      </c>
      <c r="E8" s="1"/>
      <c r="F8" s="1"/>
      <c r="G8" s="1"/>
      <c r="H8" s="1"/>
      <c r="I8" s="1"/>
      <c r="J8" s="1"/>
      <c r="K8" s="1"/>
      <c r="L8" s="1">
        <f>SUM(Table1[[#This Row],[County Payment]:[Reductions/COPA Bonus]])</f>
        <v>375053.66121357499</v>
      </c>
    </row>
    <row r="9" spans="1:12" x14ac:dyDescent="0.3">
      <c r="A9" t="s">
        <v>10</v>
      </c>
      <c r="B9">
        <v>8</v>
      </c>
      <c r="C9" s="1">
        <v>93581.158611793871</v>
      </c>
      <c r="D9" s="1">
        <v>10987.701568302669</v>
      </c>
      <c r="E9" s="1">
        <v>22033.457798035786</v>
      </c>
      <c r="F9" s="1">
        <v>3930.4527968779635</v>
      </c>
      <c r="G9" s="1"/>
      <c r="H9" s="1"/>
      <c r="I9" s="1"/>
      <c r="J9" s="1"/>
      <c r="K9" s="1"/>
      <c r="L9" s="1">
        <f>SUM(Table1[[#This Row],[County Payment]:[Reductions/COPA Bonus]])</f>
        <v>130532.77077501029</v>
      </c>
    </row>
    <row r="10" spans="1:12" x14ac:dyDescent="0.3">
      <c r="A10" t="s">
        <v>11</v>
      </c>
      <c r="B10">
        <v>9</v>
      </c>
      <c r="C10" s="1">
        <v>2413561.9576225975</v>
      </c>
      <c r="D10" s="1">
        <v>283385.02002285823</v>
      </c>
      <c r="E10" s="1">
        <v>231801.93915336748</v>
      </c>
      <c r="F10" s="1">
        <v>76176.485802656272</v>
      </c>
      <c r="G10" s="1"/>
      <c r="H10" s="1"/>
      <c r="I10" s="1">
        <v>52003.253769943934</v>
      </c>
      <c r="J10" s="1"/>
      <c r="K10" s="1"/>
      <c r="L10" s="1">
        <f>SUM(Table1[[#This Row],[County Payment]:[Reductions/COPA Bonus]])</f>
        <v>3056928.6563714235</v>
      </c>
    </row>
    <row r="11" spans="1:12" x14ac:dyDescent="0.3">
      <c r="A11" t="s">
        <v>12</v>
      </c>
      <c r="B11">
        <v>10</v>
      </c>
      <c r="C11" s="1">
        <v>569389.3255437162</v>
      </c>
      <c r="D11" s="1">
        <v>66854.055646015709</v>
      </c>
      <c r="E11" s="1"/>
      <c r="F11" s="1"/>
      <c r="G11" s="1"/>
      <c r="H11" s="1"/>
      <c r="I11" s="1"/>
      <c r="J11" s="1"/>
      <c r="K11" s="1"/>
      <c r="L11" s="1">
        <f>SUM(Table1[[#This Row],[County Payment]:[Reductions/COPA Bonus]])</f>
        <v>636243.38118973188</v>
      </c>
    </row>
    <row r="12" spans="1:12" x14ac:dyDescent="0.3">
      <c r="A12" t="s">
        <v>13</v>
      </c>
      <c r="B12">
        <v>11</v>
      </c>
      <c r="C12" s="1">
        <v>660059.09584220476</v>
      </c>
      <c r="D12" s="1">
        <v>77499.920605212625</v>
      </c>
      <c r="E12" s="1">
        <v>47853.441596129334</v>
      </c>
      <c r="F12" s="1">
        <v>15721.811187511854</v>
      </c>
      <c r="G12" s="1"/>
      <c r="H12" s="1"/>
      <c r="I12" s="1"/>
      <c r="J12" s="1"/>
      <c r="K12" s="1"/>
      <c r="L12" s="1">
        <f>SUM(Table1[[#This Row],[County Payment]:[Reductions/COPA Bonus]])</f>
        <v>801134.26923105866</v>
      </c>
    </row>
    <row r="13" spans="1:12" x14ac:dyDescent="0.3">
      <c r="A13" t="s">
        <v>14</v>
      </c>
      <c r="B13">
        <v>12</v>
      </c>
      <c r="C13" s="1">
        <v>59789.467148013762</v>
      </c>
      <c r="D13" s="1">
        <v>7020.0971188597523</v>
      </c>
      <c r="E13" s="1"/>
      <c r="F13" s="1"/>
      <c r="G13" s="1"/>
      <c r="H13" s="1"/>
      <c r="I13" s="1"/>
      <c r="J13" s="1"/>
      <c r="K13" s="1"/>
      <c r="L13" s="1">
        <f>SUM(Table1[[#This Row],[County Payment]:[Reductions/COPA Bonus]])</f>
        <v>66809.564266873509</v>
      </c>
    </row>
    <row r="14" spans="1:12" x14ac:dyDescent="0.3">
      <c r="A14" t="s">
        <v>15</v>
      </c>
      <c r="B14">
        <v>13</v>
      </c>
      <c r="C14" s="1">
        <v>267850.05661331385</v>
      </c>
      <c r="D14" s="1">
        <v>31449.241821517258</v>
      </c>
      <c r="E14" s="1">
        <v>23214.325775501813</v>
      </c>
      <c r="F14" s="1">
        <v>7860.9055937559269</v>
      </c>
      <c r="G14" s="1">
        <v>82625.466742634191</v>
      </c>
      <c r="H14" s="1">
        <v>29478.395976584721</v>
      </c>
      <c r="I14" s="1">
        <v>5207.9826372929347</v>
      </c>
      <c r="J14" s="1"/>
      <c r="K14" s="1"/>
      <c r="L14" s="1">
        <f>SUM(Table1[[#This Row],[County Payment]:[Reductions/COPA Bonus]])</f>
        <v>447686.37516060064</v>
      </c>
    </row>
    <row r="15" spans="1:12" x14ac:dyDescent="0.3">
      <c r="A15" t="s">
        <v>16</v>
      </c>
      <c r="B15">
        <v>14</v>
      </c>
      <c r="C15" s="1">
        <v>103979.08505403779</v>
      </c>
      <c r="D15" s="1">
        <v>12208.559638146449</v>
      </c>
      <c r="E15" s="1"/>
      <c r="F15" s="1"/>
      <c r="G15" s="1"/>
      <c r="H15" s="1"/>
      <c r="I15" s="1"/>
      <c r="J15" s="1"/>
      <c r="K15" s="1"/>
      <c r="L15" s="1">
        <f>SUM(Table1[[#This Row],[County Payment]:[Reductions/COPA Bonus]])</f>
        <v>116187.64469218423</v>
      </c>
    </row>
    <row r="16" spans="1:12" x14ac:dyDescent="0.3">
      <c r="A16" t="s">
        <v>17</v>
      </c>
      <c r="B16">
        <v>15</v>
      </c>
      <c r="C16" s="1">
        <v>927493.19713256974</v>
      </c>
      <c r="D16" s="1">
        <v>108900.32361107397</v>
      </c>
      <c r="E16" s="1">
        <v>191601.99355454525</v>
      </c>
      <c r="F16" s="1">
        <v>62965.679213371761</v>
      </c>
      <c r="G16" s="1"/>
      <c r="H16" s="1"/>
      <c r="I16" s="1">
        <v>42984.658066435448</v>
      </c>
      <c r="J16" s="1"/>
      <c r="K16" s="1"/>
      <c r="L16" s="1">
        <f>SUM(Table1[[#This Row],[County Payment]:[Reductions/COPA Bonus]])</f>
        <v>1333945.8515779963</v>
      </c>
    </row>
    <row r="17" spans="1:12" x14ac:dyDescent="0.3">
      <c r="A17" t="s">
        <v>18</v>
      </c>
      <c r="B17">
        <v>16</v>
      </c>
      <c r="C17" s="1">
        <v>61139.692684617345</v>
      </c>
      <c r="D17" s="1">
        <v>7178.6319720949623</v>
      </c>
      <c r="E17" s="1">
        <v>13351.939121924092</v>
      </c>
      <c r="F17" s="1">
        <v>4387.8140306938221</v>
      </c>
      <c r="G17" s="1"/>
      <c r="H17" s="1"/>
      <c r="I17" s="1"/>
      <c r="J17" s="1"/>
      <c r="K17" s="1"/>
      <c r="L17" s="1">
        <f>SUM(Table1[[#This Row],[County Payment]:[Reductions/COPA Bonus]])</f>
        <v>86058.077809330221</v>
      </c>
    </row>
    <row r="18" spans="1:12" x14ac:dyDescent="0.3">
      <c r="A18" t="s">
        <v>19</v>
      </c>
      <c r="B18">
        <v>17</v>
      </c>
      <c r="C18" s="1">
        <v>124358.9826155769</v>
      </c>
      <c r="D18" s="1">
        <v>14601.436962178104</v>
      </c>
      <c r="E18" s="1">
        <v>28883.728136743066</v>
      </c>
      <c r="F18" s="1">
        <v>9491.9866260507424</v>
      </c>
      <c r="G18" s="1"/>
      <c r="H18" s="1"/>
      <c r="I18" s="1"/>
      <c r="J18" s="1"/>
      <c r="K18" s="1"/>
      <c r="L18" s="1">
        <f>SUM(Table1[[#This Row],[County Payment]:[Reductions/COPA Bonus]])</f>
        <v>177336.13434054883</v>
      </c>
    </row>
    <row r="19" spans="1:12" x14ac:dyDescent="0.3">
      <c r="A19" t="s">
        <v>20</v>
      </c>
      <c r="B19">
        <v>18</v>
      </c>
      <c r="C19" s="1">
        <v>59789.467148013755</v>
      </c>
      <c r="D19" s="1">
        <v>7020.0971188597523</v>
      </c>
      <c r="E19" s="1">
        <v>13426.871461992354</v>
      </c>
      <c r="F19" s="1">
        <v>4412.4388563541161</v>
      </c>
      <c r="G19" s="1"/>
      <c r="H19" s="1"/>
      <c r="I19" s="1">
        <v>3012.2310733234549</v>
      </c>
      <c r="J19" s="1"/>
      <c r="K19" s="1"/>
      <c r="L19" s="1">
        <f>SUM(Table1[[#This Row],[County Payment]:[Reductions/COPA Bonus]])</f>
        <v>87661.105658543427</v>
      </c>
    </row>
    <row r="20" spans="1:12" x14ac:dyDescent="0.3">
      <c r="A20" t="s">
        <v>21</v>
      </c>
      <c r="B20">
        <v>19</v>
      </c>
      <c r="C20" s="1">
        <v>136420.5509812143</v>
      </c>
      <c r="D20" s="1">
        <v>16017.629234354157</v>
      </c>
      <c r="E20" s="1">
        <v>23206.438160757785</v>
      </c>
      <c r="F20" s="1">
        <v>7860.9055937559269</v>
      </c>
      <c r="G20" s="1"/>
      <c r="H20" s="1"/>
      <c r="I20" s="1">
        <v>5206.2131023499942</v>
      </c>
      <c r="J20" s="1"/>
      <c r="K20" s="1"/>
      <c r="L20" s="1">
        <f>SUM(Table1[[#This Row],[County Payment]:[Reductions/COPA Bonus]])</f>
        <v>188711.73707243215</v>
      </c>
    </row>
    <row r="21" spans="1:12" x14ac:dyDescent="0.3">
      <c r="A21" t="s">
        <v>22</v>
      </c>
      <c r="B21">
        <v>20</v>
      </c>
      <c r="C21" s="1">
        <v>279079.77412252099</v>
      </c>
      <c r="D21" s="1">
        <v>32767.763482478618</v>
      </c>
      <c r="E21" s="1"/>
      <c r="F21" s="1"/>
      <c r="G21" s="1"/>
      <c r="H21" s="1"/>
      <c r="I21" s="1"/>
      <c r="J21" s="1"/>
      <c r="K21" s="1"/>
      <c r="L21" s="1">
        <f>SUM(Table1[[#This Row],[County Payment]:[Reductions/COPA Bonus]])</f>
        <v>311847.53760499961</v>
      </c>
    </row>
    <row r="22" spans="1:12" x14ac:dyDescent="0.3">
      <c r="A22" t="s">
        <v>23</v>
      </c>
      <c r="B22">
        <v>21</v>
      </c>
      <c r="C22" s="1">
        <v>435880.2226652744</v>
      </c>
      <c r="D22" s="1">
        <v>51178.27004086443</v>
      </c>
      <c r="E22" s="1">
        <v>93026.886819003848</v>
      </c>
      <c r="F22" s="1">
        <v>30571.190857659443</v>
      </c>
      <c r="G22" s="1"/>
      <c r="H22" s="1"/>
      <c r="I22" s="1"/>
      <c r="J22" s="1"/>
      <c r="K22" s="1"/>
      <c r="L22" s="1">
        <f>SUM(Table1[[#This Row],[County Payment]:[Reductions/COPA Bonus]])</f>
        <v>610656.57038280217</v>
      </c>
    </row>
    <row r="23" spans="1:12" x14ac:dyDescent="0.3">
      <c r="A23" t="s">
        <v>24</v>
      </c>
      <c r="B23">
        <v>22</v>
      </c>
      <c r="C23" s="1">
        <v>670041.06696149986</v>
      </c>
      <c r="D23" s="1">
        <v>78671.939859400503</v>
      </c>
      <c r="E23" s="1"/>
      <c r="F23" s="1">
        <v>33744.376525999338</v>
      </c>
      <c r="G23" s="1"/>
      <c r="H23" s="1"/>
      <c r="I23" s="1"/>
      <c r="J23" s="1"/>
      <c r="K23" s="1"/>
      <c r="L23" s="1">
        <f>SUM(Table1[[#This Row],[County Payment]:[Reductions/COPA Bonus]])</f>
        <v>782457.38334689965</v>
      </c>
    </row>
    <row r="24" spans="1:12" x14ac:dyDescent="0.3">
      <c r="A24" t="s">
        <v>25</v>
      </c>
      <c r="B24">
        <v>23</v>
      </c>
      <c r="C24" s="1">
        <v>2690146.2987547619</v>
      </c>
      <c r="D24" s="1">
        <v>315859.785711887</v>
      </c>
      <c r="E24" s="1">
        <v>206809.67330897326</v>
      </c>
      <c r="F24" s="1">
        <v>67963.340601087984</v>
      </c>
      <c r="G24" s="1">
        <v>413127.3337131709</v>
      </c>
      <c r="H24" s="1">
        <v>147391.9798829236</v>
      </c>
      <c r="I24" s="1">
        <v>46396.401869830937</v>
      </c>
      <c r="J24" s="1"/>
      <c r="K24" s="1"/>
      <c r="L24" s="1">
        <f>SUM(Table1[[#This Row],[County Payment]:[Reductions/COPA Bonus]])</f>
        <v>3887694.8138426356</v>
      </c>
    </row>
    <row r="25" spans="1:12" x14ac:dyDescent="0.3">
      <c r="A25" t="s">
        <v>26</v>
      </c>
      <c r="B25">
        <v>24</v>
      </c>
      <c r="C25" s="1">
        <v>69873.917414000636</v>
      </c>
      <c r="D25" s="1">
        <v>8204.1488195093516</v>
      </c>
      <c r="E25" s="1"/>
      <c r="F25" s="1"/>
      <c r="G25" s="1"/>
      <c r="H25" s="1"/>
      <c r="I25" s="1"/>
      <c r="J25" s="1"/>
      <c r="K25" s="1"/>
      <c r="L25" s="1">
        <f>SUM(Table1[[#This Row],[County Payment]:[Reductions/COPA Bonus]])</f>
        <v>78078.066233509991</v>
      </c>
    </row>
    <row r="26" spans="1:12" x14ac:dyDescent="0.3">
      <c r="A26" t="s">
        <v>27</v>
      </c>
      <c r="B26">
        <v>25</v>
      </c>
      <c r="C26" s="1">
        <v>853044.18969240319</v>
      </c>
      <c r="D26" s="1">
        <v>100158.99696002949</v>
      </c>
      <c r="E26" s="1">
        <v>97116.615063782141</v>
      </c>
      <c r="F26" s="1">
        <v>31915.187921329172</v>
      </c>
      <c r="G26" s="1"/>
      <c r="H26" s="1"/>
      <c r="I26" s="1">
        <v>21787.479418359526</v>
      </c>
      <c r="J26" s="1"/>
      <c r="K26" s="1"/>
      <c r="L26" s="1">
        <f>SUM(Table1[[#This Row],[County Payment]:[Reductions/COPA Bonus]])</f>
        <v>1104022.4690559034</v>
      </c>
    </row>
    <row r="27" spans="1:12" x14ac:dyDescent="0.3">
      <c r="A27" t="s">
        <v>28</v>
      </c>
      <c r="B27">
        <v>26</v>
      </c>
      <c r="C27" s="1">
        <v>560655.10081433295</v>
      </c>
      <c r="D27" s="1">
        <v>65828.538798601323</v>
      </c>
      <c r="E27" s="1">
        <v>46179.833158623842</v>
      </c>
      <c r="F27" s="1">
        <v>15721.811187511854</v>
      </c>
      <c r="G27" s="1"/>
      <c r="H27" s="1"/>
      <c r="I27" s="1"/>
      <c r="J27" s="1"/>
      <c r="K27" s="1"/>
      <c r="L27" s="1">
        <f>SUM(Table1[[#This Row],[County Payment]:[Reductions/COPA Bonus]])</f>
        <v>688385.2839590701</v>
      </c>
    </row>
    <row r="28" spans="1:12" x14ac:dyDescent="0.3">
      <c r="A28" t="s">
        <v>29</v>
      </c>
      <c r="B28">
        <v>27</v>
      </c>
      <c r="C28" s="1">
        <v>59789.467148013755</v>
      </c>
      <c r="D28" s="1">
        <v>7020.0971188597523</v>
      </c>
      <c r="E28" s="1"/>
      <c r="F28" s="1"/>
      <c r="G28" s="1"/>
      <c r="H28" s="1"/>
      <c r="I28" s="1"/>
      <c r="J28" s="1"/>
      <c r="K28" s="1"/>
      <c r="L28" s="1">
        <f>SUM(Table1[[#This Row],[County Payment]:[Reductions/COPA Bonus]])</f>
        <v>66809.564266873509</v>
      </c>
    </row>
    <row r="29" spans="1:12" x14ac:dyDescent="0.3">
      <c r="A29" t="s">
        <v>30</v>
      </c>
      <c r="B29">
        <v>28</v>
      </c>
      <c r="C29" s="1">
        <v>213780.94673468632</v>
      </c>
      <c r="D29" s="1">
        <v>25100.792494504414</v>
      </c>
      <c r="E29" s="1">
        <v>55905.97919389564</v>
      </c>
      <c r="F29" s="1">
        <v>18372.240740961548</v>
      </c>
      <c r="G29" s="1"/>
      <c r="H29" s="1"/>
      <c r="I29" s="1"/>
      <c r="J29" s="1"/>
      <c r="K29" s="1"/>
      <c r="L29" s="1">
        <f>SUM(Table1[[#This Row],[County Payment]:[Reductions/COPA Bonus]])</f>
        <v>313159.95916404796</v>
      </c>
    </row>
    <row r="30" spans="1:12" x14ac:dyDescent="0.3">
      <c r="A30" t="s">
        <v>31</v>
      </c>
      <c r="B30">
        <v>29</v>
      </c>
      <c r="C30" s="1">
        <v>59789.467148013755</v>
      </c>
      <c r="D30" s="1">
        <v>7020.0971188597523</v>
      </c>
      <c r="E30" s="1"/>
      <c r="F30" s="1"/>
      <c r="G30" s="1"/>
      <c r="H30" s="1"/>
      <c r="I30" s="1"/>
      <c r="J30" s="1"/>
      <c r="K30" s="1"/>
      <c r="L30" s="1">
        <f>SUM(Table1[[#This Row],[County Payment]:[Reductions/COPA Bonus]])</f>
        <v>66809.564266873509</v>
      </c>
    </row>
    <row r="31" spans="1:12" x14ac:dyDescent="0.3">
      <c r="A31" t="s">
        <v>32</v>
      </c>
      <c r="B31">
        <v>30</v>
      </c>
      <c r="C31" s="1">
        <v>85262.829415892149</v>
      </c>
      <c r="D31" s="1">
        <v>10011.016516447069</v>
      </c>
      <c r="E31" s="1">
        <v>12890.513659398481</v>
      </c>
      <c r="F31" s="1">
        <v>4236.1769463646442</v>
      </c>
      <c r="G31" s="1"/>
      <c r="H31" s="1"/>
      <c r="I31" s="1"/>
      <c r="J31" s="1"/>
      <c r="K31" s="1"/>
      <c r="L31" s="1">
        <f>SUM(Table1[[#This Row],[County Payment]:[Reductions/COPA Bonus]])</f>
        <v>112400.53653810234</v>
      </c>
    </row>
    <row r="32" spans="1:12" x14ac:dyDescent="0.3">
      <c r="A32" t="s">
        <v>33</v>
      </c>
      <c r="B32">
        <v>31</v>
      </c>
      <c r="C32" s="1">
        <v>74449.00744016665</v>
      </c>
      <c r="D32" s="1">
        <v>8741.3266510444992</v>
      </c>
      <c r="E32" s="1">
        <v>15808.214058802852</v>
      </c>
      <c r="F32" s="1">
        <v>5195.0134593956127</v>
      </c>
      <c r="G32" s="1"/>
      <c r="H32" s="1"/>
      <c r="I32" s="1"/>
      <c r="J32" s="1"/>
      <c r="K32" s="1"/>
      <c r="L32" s="1">
        <f>SUM(Table1[[#This Row],[County Payment]:[Reductions/COPA Bonus]])</f>
        <v>104193.56160940962</v>
      </c>
    </row>
    <row r="33" spans="1:12" x14ac:dyDescent="0.3">
      <c r="A33" t="s">
        <v>34</v>
      </c>
      <c r="B33">
        <v>32</v>
      </c>
      <c r="C33" s="1">
        <v>284070.81947163574</v>
      </c>
      <c r="D33" s="1">
        <v>33353.780129669671</v>
      </c>
      <c r="E33" s="1">
        <v>29846.017135514427</v>
      </c>
      <c r="F33" s="1">
        <v>9808.2212292671484</v>
      </c>
      <c r="G33" s="1"/>
      <c r="H33" s="1"/>
      <c r="I33" s="1">
        <v>6695.7593572732812</v>
      </c>
      <c r="J33" s="1"/>
      <c r="K33" s="1"/>
      <c r="L33" s="1">
        <f>SUM(Table1[[#This Row],[County Payment]:[Reductions/COPA Bonus]])</f>
        <v>363774.59732336027</v>
      </c>
    </row>
    <row r="34" spans="1:12" x14ac:dyDescent="0.3">
      <c r="A34" t="s">
        <v>35</v>
      </c>
      <c r="B34">
        <v>33</v>
      </c>
      <c r="C34" s="1">
        <v>78608.142143383928</v>
      </c>
      <c r="D34" s="1">
        <v>9229.66566692374</v>
      </c>
      <c r="E34" s="1"/>
      <c r="F34" s="1"/>
      <c r="G34" s="1"/>
      <c r="H34" s="1"/>
      <c r="I34" s="1"/>
      <c r="J34" s="1"/>
      <c r="K34" s="1"/>
      <c r="L34" s="1">
        <f>SUM(Table1[[#This Row],[County Payment]:[Reductions/COPA Bonus]])</f>
        <v>87837.80781030767</v>
      </c>
    </row>
    <row r="35" spans="1:12" x14ac:dyDescent="0.3">
      <c r="A35" t="s">
        <v>36</v>
      </c>
      <c r="B35">
        <v>34</v>
      </c>
      <c r="C35" s="1">
        <v>59789.467148013755</v>
      </c>
      <c r="D35" s="1">
        <v>7020.0971188597523</v>
      </c>
      <c r="E35" s="1"/>
      <c r="F35" s="1"/>
      <c r="G35" s="1"/>
      <c r="H35" s="1"/>
      <c r="I35" s="1"/>
      <c r="J35" s="1"/>
      <c r="K35" s="1"/>
      <c r="L35" s="1">
        <f>SUM(Table1[[#This Row],[County Payment]:[Reductions/COPA Bonus]])</f>
        <v>66809.564266873509</v>
      </c>
    </row>
    <row r="36" spans="1:12" x14ac:dyDescent="0.3">
      <c r="A36" t="s">
        <v>37</v>
      </c>
      <c r="B36">
        <v>35</v>
      </c>
      <c r="C36" s="1">
        <v>579371.35645247845</v>
      </c>
      <c r="D36" s="1">
        <v>68026.081920300698</v>
      </c>
      <c r="E36" s="1">
        <v>77404.748762571457</v>
      </c>
      <c r="F36" s="1">
        <v>25437.327084951357</v>
      </c>
      <c r="G36" s="1"/>
      <c r="H36" s="1"/>
      <c r="I36" s="1"/>
      <c r="J36" s="1"/>
      <c r="K36" s="1"/>
      <c r="L36" s="1">
        <f>SUM(Table1[[#This Row],[County Payment]:[Reductions/COPA Bonus]])</f>
        <v>750239.51422030199</v>
      </c>
    </row>
    <row r="37" spans="1:12" x14ac:dyDescent="0.3">
      <c r="A37" t="s">
        <v>38</v>
      </c>
      <c r="B37">
        <v>36</v>
      </c>
      <c r="C37" s="1">
        <v>942466.21360097965</v>
      </c>
      <c r="D37" s="1">
        <v>110658.35951245289</v>
      </c>
      <c r="E37" s="1"/>
      <c r="F37" s="1"/>
      <c r="G37" s="1"/>
      <c r="H37" s="1"/>
      <c r="I37" s="1"/>
      <c r="J37" s="1"/>
      <c r="K37" s="1"/>
      <c r="L37" s="1">
        <f>SUM(Table1[[#This Row],[County Payment]:[Reductions/COPA Bonus]])</f>
        <v>1053124.5731134326</v>
      </c>
    </row>
    <row r="38" spans="1:12" x14ac:dyDescent="0.3">
      <c r="A38" t="s">
        <v>39</v>
      </c>
      <c r="B38">
        <v>37</v>
      </c>
      <c r="C38" s="1">
        <v>411341.19040051795</v>
      </c>
      <c r="D38" s="1">
        <v>48297.053700953533</v>
      </c>
      <c r="E38" s="1">
        <v>30858.50004629324</v>
      </c>
      <c r="F38" s="1">
        <v>10140.950931011983</v>
      </c>
      <c r="G38" s="1"/>
      <c r="H38" s="1"/>
      <c r="I38" s="1"/>
      <c r="J38" s="1"/>
      <c r="K38" s="1"/>
      <c r="L38" s="1">
        <f>SUM(Table1[[#This Row],[County Payment]:[Reductions/COPA Bonus]])</f>
        <v>500637.69507877674</v>
      </c>
    </row>
    <row r="39" spans="1:12" x14ac:dyDescent="0.3">
      <c r="A39" t="s">
        <v>40</v>
      </c>
      <c r="B39">
        <v>38</v>
      </c>
      <c r="C39" s="1">
        <v>250797.50268802888</v>
      </c>
      <c r="D39" s="1">
        <v>29447.03992224727</v>
      </c>
      <c r="E39" s="1"/>
      <c r="F39" s="1"/>
      <c r="G39" s="1"/>
      <c r="H39" s="1"/>
      <c r="I39" s="1"/>
      <c r="J39" s="1"/>
      <c r="K39" s="1"/>
      <c r="L39" s="1">
        <f>SUM(Table1[[#This Row],[County Payment]:[Reductions/COPA Bonus]])</f>
        <v>280244.54261027614</v>
      </c>
    </row>
    <row r="40" spans="1:12" x14ac:dyDescent="0.3">
      <c r="A40" t="s">
        <v>41</v>
      </c>
      <c r="B40">
        <v>39</v>
      </c>
      <c r="C40" s="1">
        <v>876335.53535671486</v>
      </c>
      <c r="D40" s="1">
        <v>102893.71791326402</v>
      </c>
      <c r="E40" s="1">
        <v>134289.15071266942</v>
      </c>
      <c r="F40" s="1">
        <v>44131.104425084879</v>
      </c>
      <c r="G40" s="1"/>
      <c r="H40" s="1"/>
      <c r="I40" s="1">
        <v>30126.895437404899</v>
      </c>
      <c r="J40" s="1">
        <v>175500.25474999999</v>
      </c>
      <c r="K40" s="1"/>
      <c r="L40" s="1">
        <f>SUM(Table1[[#This Row],[County Payment]:[Reductions/COPA Bonus]])</f>
        <v>1363276.6585951382</v>
      </c>
    </row>
    <row r="41" spans="1:12" x14ac:dyDescent="0.3">
      <c r="A41" t="s">
        <v>42</v>
      </c>
      <c r="B41">
        <v>40</v>
      </c>
      <c r="C41" s="1">
        <v>1365037.121510705</v>
      </c>
      <c r="D41" s="1">
        <v>160273.93487436781</v>
      </c>
      <c r="E41" s="1">
        <v>116734.5470439503</v>
      </c>
      <c r="F41" s="1">
        <v>38362.179359032365</v>
      </c>
      <c r="G41" s="1"/>
      <c r="H41" s="1"/>
      <c r="I41" s="1">
        <v>26188.634555078163</v>
      </c>
      <c r="J41" s="1"/>
      <c r="K41" s="1"/>
      <c r="L41" s="1">
        <f>SUM(Table1[[#This Row],[County Payment]:[Reductions/COPA Bonus]])</f>
        <v>1706596.4173431336</v>
      </c>
    </row>
    <row r="42" spans="1:12" x14ac:dyDescent="0.3">
      <c r="A42" t="s">
        <v>43</v>
      </c>
      <c r="B42">
        <v>41</v>
      </c>
      <c r="C42" s="1">
        <v>267018.20575688354</v>
      </c>
      <c r="D42" s="1">
        <v>31351.571210302562</v>
      </c>
      <c r="E42" s="1">
        <v>44066.915596071573</v>
      </c>
      <c r="F42" s="1">
        <v>15721.811187511854</v>
      </c>
      <c r="G42" s="1"/>
      <c r="H42" s="1"/>
      <c r="I42" s="1">
        <v>9184.5298211123827</v>
      </c>
      <c r="J42" s="1"/>
      <c r="K42" s="1"/>
      <c r="L42" s="1">
        <f>SUM(Table1[[#This Row],[County Payment]:[Reductions/COPA Bonus]])</f>
        <v>367343.03357188194</v>
      </c>
    </row>
    <row r="43" spans="1:12" x14ac:dyDescent="0.3">
      <c r="A43" t="s">
        <v>44</v>
      </c>
      <c r="B43">
        <v>42</v>
      </c>
      <c r="C43" s="1">
        <v>74864.902973648233</v>
      </c>
      <c r="D43" s="1">
        <v>8790.1584466032873</v>
      </c>
      <c r="E43" s="1"/>
      <c r="F43" s="1"/>
      <c r="G43" s="1"/>
      <c r="H43" s="1"/>
      <c r="I43" s="1"/>
      <c r="J43" s="1"/>
      <c r="K43" s="1"/>
      <c r="L43" s="1">
        <f>SUM(Table1[[#This Row],[County Payment]:[Reductions/COPA Bonus]])</f>
        <v>83655.061420251528</v>
      </c>
    </row>
    <row r="44" spans="1:12" x14ac:dyDescent="0.3">
      <c r="A44" t="s">
        <v>45</v>
      </c>
      <c r="B44">
        <v>43</v>
      </c>
      <c r="C44" s="1">
        <v>387218.05366924318</v>
      </c>
      <c r="D44" s="1">
        <v>45464.669156601427</v>
      </c>
      <c r="E44" s="1">
        <v>44066.915596071573</v>
      </c>
      <c r="F44" s="1">
        <v>15721.811187511854</v>
      </c>
      <c r="G44" s="1"/>
      <c r="H44" s="1"/>
      <c r="I44" s="1">
        <v>8900.1172957379695</v>
      </c>
      <c r="J44" s="1"/>
      <c r="K44" s="1"/>
      <c r="L44" s="1">
        <f>SUM(Table1[[#This Row],[County Payment]:[Reductions/COPA Bonus]])</f>
        <v>501371.56690516596</v>
      </c>
    </row>
    <row r="45" spans="1:12" x14ac:dyDescent="0.3">
      <c r="A45" t="s">
        <v>46</v>
      </c>
      <c r="B45">
        <v>44</v>
      </c>
      <c r="C45" s="1">
        <v>71953.514660342858</v>
      </c>
      <c r="D45" s="1">
        <v>8448.3218374975313</v>
      </c>
      <c r="E45" s="1"/>
      <c r="F45" s="1"/>
      <c r="G45" s="1"/>
      <c r="H45" s="1"/>
      <c r="I45" s="1"/>
      <c r="J45" s="1"/>
      <c r="K45" s="1"/>
      <c r="L45" s="1">
        <f>SUM(Table1[[#This Row],[County Payment]:[Reductions/COPA Bonus]])</f>
        <v>80401.836497840384</v>
      </c>
    </row>
    <row r="46" spans="1:12" x14ac:dyDescent="0.3">
      <c r="A46" t="s">
        <v>47</v>
      </c>
      <c r="B46">
        <v>45</v>
      </c>
      <c r="C46" s="1">
        <v>343962.70597687399</v>
      </c>
      <c r="D46" s="1">
        <v>40385.90267489403</v>
      </c>
      <c r="E46" s="1">
        <v>60349.933046269347</v>
      </c>
      <c r="F46" s="1">
        <v>19832.646071389034</v>
      </c>
      <c r="G46" s="1"/>
      <c r="H46" s="1"/>
      <c r="I46" s="1"/>
      <c r="J46" s="1"/>
      <c r="K46" s="1"/>
      <c r="L46" s="1">
        <f>SUM(Table1[[#This Row],[County Payment]:[Reductions/COPA Bonus]])</f>
        <v>464531.18776942638</v>
      </c>
    </row>
    <row r="47" spans="1:12" x14ac:dyDescent="0.3">
      <c r="A47" t="s">
        <v>48</v>
      </c>
      <c r="B47">
        <v>46</v>
      </c>
      <c r="C47" s="1">
        <v>2099129.2694701273</v>
      </c>
      <c r="D47" s="1">
        <v>246466.34331496901</v>
      </c>
      <c r="E47" s="1"/>
      <c r="F47" s="1"/>
      <c r="G47" s="1"/>
      <c r="H47" s="1"/>
      <c r="I47" s="1"/>
      <c r="J47" s="1"/>
      <c r="K47" s="1"/>
      <c r="L47" s="1">
        <f>SUM(Table1[[#This Row],[County Payment]:[Reductions/COPA Bonus]])</f>
        <v>2345595.6127850963</v>
      </c>
    </row>
    <row r="48" spans="1:12" x14ac:dyDescent="0.3">
      <c r="A48" t="s">
        <v>49</v>
      </c>
      <c r="B48">
        <v>47</v>
      </c>
      <c r="C48" s="1">
        <v>59789.467148013755</v>
      </c>
      <c r="D48" s="1">
        <v>7020.0971188597523</v>
      </c>
      <c r="E48" s="1"/>
      <c r="F48" s="1"/>
      <c r="G48" s="1"/>
      <c r="H48" s="1"/>
      <c r="I48" s="1"/>
      <c r="J48" s="1"/>
      <c r="K48" s="1"/>
      <c r="L48" s="1">
        <f>SUM(Table1[[#This Row],[County Payment]:[Reductions/COPA Bonus]])</f>
        <v>66809.564266873509</v>
      </c>
    </row>
    <row r="49" spans="1:12" x14ac:dyDescent="0.3">
      <c r="A49" t="s">
        <v>50</v>
      </c>
      <c r="B49">
        <v>48</v>
      </c>
      <c r="C49" s="1">
        <v>701234.78649876441</v>
      </c>
      <c r="D49" s="1">
        <v>82334.507048834712</v>
      </c>
      <c r="E49" s="1"/>
      <c r="F49" s="1">
        <v>36872.554139783097</v>
      </c>
      <c r="G49" s="1"/>
      <c r="H49" s="1"/>
      <c r="I49" s="1">
        <v>25171.714996732942</v>
      </c>
      <c r="J49" s="1"/>
      <c r="K49" s="1"/>
      <c r="L49" s="1">
        <f>SUM(Table1[[#This Row],[County Payment]:[Reductions/COPA Bonus]])</f>
        <v>845613.56268411514</v>
      </c>
    </row>
    <row r="50" spans="1:12" x14ac:dyDescent="0.3">
      <c r="A50" t="s">
        <v>51</v>
      </c>
      <c r="B50">
        <v>49</v>
      </c>
      <c r="C50" s="1">
        <v>240399.57624578493</v>
      </c>
      <c r="D50" s="1">
        <v>28226.181852403486</v>
      </c>
      <c r="E50" s="1">
        <v>32858.01038390422</v>
      </c>
      <c r="F50" s="1">
        <v>10798.044963105092</v>
      </c>
      <c r="G50" s="1"/>
      <c r="H50" s="1"/>
      <c r="I50" s="1">
        <v>7371.4804052570025</v>
      </c>
      <c r="J50" s="1"/>
      <c r="K50" s="1"/>
      <c r="L50" s="1">
        <f>SUM(Table1[[#This Row],[County Payment]:[Reductions/COPA Bonus]])</f>
        <v>319653.29385045479</v>
      </c>
    </row>
    <row r="51" spans="1:12" x14ac:dyDescent="0.3">
      <c r="A51" t="s">
        <v>52</v>
      </c>
      <c r="B51">
        <v>50</v>
      </c>
      <c r="C51" s="1">
        <v>96076.651391617663</v>
      </c>
      <c r="D51" s="1">
        <v>11280.706381849637</v>
      </c>
      <c r="E51" s="1"/>
      <c r="F51" s="1"/>
      <c r="G51" s="1"/>
      <c r="H51" s="1"/>
      <c r="I51" s="1"/>
      <c r="J51" s="1"/>
      <c r="K51" s="1"/>
      <c r="L51" s="1">
        <f>SUM(Table1[[#This Row],[County Payment]:[Reductions/COPA Bonus]])</f>
        <v>107357.3577734673</v>
      </c>
    </row>
    <row r="52" spans="1:12" x14ac:dyDescent="0.3">
      <c r="A52" t="s">
        <v>53</v>
      </c>
      <c r="B52">
        <v>51</v>
      </c>
      <c r="C52" s="1">
        <v>9626797.4099123273</v>
      </c>
      <c r="D52" s="1">
        <v>1130317.0271424162</v>
      </c>
      <c r="E52" s="1">
        <v>575006.0392557797</v>
      </c>
      <c r="F52" s="1">
        <v>188962.7823899643</v>
      </c>
      <c r="G52" s="1">
        <v>1156756.5343968784</v>
      </c>
      <c r="H52" s="1">
        <v>412697.54367218603</v>
      </c>
      <c r="I52" s="1">
        <v>127411.66362972083</v>
      </c>
      <c r="J52" s="1"/>
      <c r="K52" s="1"/>
      <c r="L52" s="1">
        <f>SUM(Table1[[#This Row],[County Payment]:[Reductions/COPA Bonus]])</f>
        <v>13217949.000399271</v>
      </c>
    </row>
    <row r="53" spans="1:12" x14ac:dyDescent="0.3">
      <c r="A53" t="s">
        <v>54</v>
      </c>
      <c r="B53">
        <v>52</v>
      </c>
      <c r="C53" s="1">
        <v>117704.29534306868</v>
      </c>
      <c r="D53" s="1">
        <v>13820.086112654775</v>
      </c>
      <c r="E53" s="1">
        <v>22033.457798035786</v>
      </c>
      <c r="F53" s="1">
        <v>7860.9055937559269</v>
      </c>
      <c r="G53" s="1"/>
      <c r="H53" s="1"/>
      <c r="I53" s="1"/>
      <c r="J53" s="1"/>
      <c r="K53" s="1"/>
      <c r="L53" s="1">
        <f>SUM(Table1[[#This Row],[County Payment]:[Reductions/COPA Bonus]])</f>
        <v>161418.74484751516</v>
      </c>
    </row>
    <row r="54" spans="1:12" x14ac:dyDescent="0.3">
      <c r="A54" t="s">
        <v>55</v>
      </c>
      <c r="B54">
        <v>53</v>
      </c>
      <c r="C54" s="1">
        <v>59789.467148013755</v>
      </c>
      <c r="D54" s="1">
        <v>7020.0971188597523</v>
      </c>
      <c r="E54" s="1"/>
      <c r="F54" s="1"/>
      <c r="G54" s="1"/>
      <c r="H54" s="1"/>
      <c r="I54" s="1"/>
      <c r="J54" s="1"/>
      <c r="K54" s="1"/>
      <c r="L54" s="1">
        <f>SUM(Table1[[#This Row],[County Payment]:[Reductions/COPA Bonus]])</f>
        <v>66809.564266873509</v>
      </c>
    </row>
    <row r="55" spans="1:12" x14ac:dyDescent="0.3">
      <c r="A55" t="s">
        <v>56</v>
      </c>
      <c r="B55">
        <v>54</v>
      </c>
      <c r="C55" s="1">
        <v>410093.44401060609</v>
      </c>
      <c r="D55" s="1">
        <v>48150.551294180048</v>
      </c>
      <c r="E55" s="1">
        <v>51287.063705381683</v>
      </c>
      <c r="F55" s="1">
        <v>16854.338209949263</v>
      </c>
      <c r="G55" s="1"/>
      <c r="H55" s="1"/>
      <c r="I55" s="1"/>
      <c r="J55" s="1"/>
      <c r="K55" s="1"/>
      <c r="L55" s="1">
        <f>SUM(Table1[[#This Row],[County Payment]:[Reductions/COPA Bonus]])</f>
        <v>526385.39722011716</v>
      </c>
    </row>
    <row r="56" spans="1:12" x14ac:dyDescent="0.3">
      <c r="A56" t="s">
        <v>57</v>
      </c>
      <c r="B56">
        <v>55</v>
      </c>
      <c r="C56" s="1">
        <v>59789.467148013755</v>
      </c>
      <c r="D56" s="1">
        <v>7020.0971188597523</v>
      </c>
      <c r="E56" s="1"/>
      <c r="F56" s="1"/>
      <c r="G56" s="1"/>
      <c r="H56" s="1"/>
      <c r="I56" s="1"/>
      <c r="J56" s="1"/>
      <c r="K56" s="1"/>
      <c r="L56" s="1">
        <f>SUM(Table1[[#This Row],[County Payment]:[Reductions/COPA Bonus]])</f>
        <v>66809.564266873509</v>
      </c>
    </row>
    <row r="57" spans="1:12" x14ac:dyDescent="0.3">
      <c r="A57" t="s">
        <v>58</v>
      </c>
      <c r="B57">
        <v>56</v>
      </c>
      <c r="C57" s="1">
        <v>176764.3907813438</v>
      </c>
      <c r="D57" s="1">
        <v>20754.545066761559</v>
      </c>
      <c r="E57" s="1"/>
      <c r="F57" s="1"/>
      <c r="G57" s="1"/>
      <c r="H57" s="1"/>
      <c r="I57" s="1"/>
      <c r="J57" s="1"/>
      <c r="K57" s="1"/>
      <c r="L57" s="1">
        <f>SUM(Table1[[#This Row],[County Payment]:[Reductions/COPA Bonus]])</f>
        <v>197518.93584810535</v>
      </c>
    </row>
    <row r="58" spans="1:12" x14ac:dyDescent="0.3">
      <c r="A58" t="s">
        <v>59</v>
      </c>
      <c r="B58">
        <v>57</v>
      </c>
      <c r="C58" s="1">
        <v>59789.467148013755</v>
      </c>
      <c r="D58" s="1">
        <v>7020.0971188597523</v>
      </c>
      <c r="E58" s="1"/>
      <c r="F58" s="1"/>
      <c r="G58" s="1"/>
      <c r="H58" s="1"/>
      <c r="I58" s="1"/>
      <c r="J58" s="1"/>
      <c r="K58" s="1"/>
      <c r="L58" s="1">
        <f>SUM(Table1[[#This Row],[County Payment]:[Reductions/COPA Bonus]])</f>
        <v>66809.564266873509</v>
      </c>
    </row>
    <row r="59" spans="1:12" x14ac:dyDescent="0.3">
      <c r="A59" t="s">
        <v>60</v>
      </c>
      <c r="B59">
        <v>58</v>
      </c>
      <c r="C59" s="1">
        <v>69042.126347037469</v>
      </c>
      <c r="D59" s="1">
        <v>8106.4852283917744</v>
      </c>
      <c r="E59" s="1"/>
      <c r="F59" s="1"/>
      <c r="G59" s="1"/>
      <c r="H59" s="1"/>
      <c r="I59" s="1"/>
      <c r="J59" s="1"/>
      <c r="K59" s="1"/>
      <c r="L59" s="1">
        <f>SUM(Table1[[#This Row],[County Payment]:[Reductions/COPA Bonus]])</f>
        <v>77148.61157542924</v>
      </c>
    </row>
    <row r="60" spans="1:12" x14ac:dyDescent="0.3">
      <c r="A60" t="s">
        <v>61</v>
      </c>
      <c r="B60">
        <v>59</v>
      </c>
      <c r="C60" s="1">
        <v>61971.543541047664</v>
      </c>
      <c r="D60" s="1">
        <v>7276.3025833096581</v>
      </c>
      <c r="E60" s="1">
        <v>14715.779416755038</v>
      </c>
      <c r="F60" s="1">
        <v>4836.0094221376421</v>
      </c>
      <c r="G60" s="1"/>
      <c r="H60" s="1"/>
      <c r="I60" s="1"/>
      <c r="J60" s="1"/>
      <c r="K60" s="1"/>
      <c r="L60" s="1">
        <f>SUM(Table1[[#This Row],[County Payment]:[Reductions/COPA Bonus]])</f>
        <v>88799.634963249991</v>
      </c>
    </row>
    <row r="61" spans="1:12" x14ac:dyDescent="0.3">
      <c r="A61" t="s">
        <v>62</v>
      </c>
      <c r="B61">
        <v>60</v>
      </c>
      <c r="C61" s="1">
        <v>59789.467148013755</v>
      </c>
      <c r="D61" s="1">
        <v>7020.0971188597523</v>
      </c>
      <c r="E61" s="1"/>
      <c r="F61" s="1"/>
      <c r="G61" s="1"/>
      <c r="H61" s="1"/>
      <c r="I61" s="1"/>
      <c r="J61" s="1"/>
      <c r="K61" s="1"/>
      <c r="L61" s="1">
        <f>SUM(Table1[[#This Row],[County Payment]:[Reductions/COPA Bonus]])</f>
        <v>66809.564266873509</v>
      </c>
    </row>
    <row r="62" spans="1:12" x14ac:dyDescent="0.3">
      <c r="A62" t="s">
        <v>63</v>
      </c>
      <c r="B62">
        <v>61</v>
      </c>
      <c r="C62" s="1">
        <v>139747.83482800127</v>
      </c>
      <c r="D62" s="1">
        <v>16408.297639018703</v>
      </c>
      <c r="E62" s="1"/>
      <c r="F62" s="1"/>
      <c r="G62" s="1"/>
      <c r="H62" s="1"/>
      <c r="I62" s="1"/>
      <c r="J62" s="1"/>
      <c r="K62" s="1"/>
      <c r="L62" s="1">
        <f>SUM(Table1[[#This Row],[County Payment]:[Reductions/COPA Bonus]])</f>
        <v>156156.13246701998</v>
      </c>
    </row>
    <row r="63" spans="1:12" x14ac:dyDescent="0.3">
      <c r="A63" t="s">
        <v>64</v>
      </c>
      <c r="B63">
        <v>62</v>
      </c>
      <c r="C63" s="1">
        <v>59789.467148013755</v>
      </c>
      <c r="D63" s="1">
        <v>7020.0971188597523</v>
      </c>
      <c r="E63" s="1"/>
      <c r="F63" s="1"/>
      <c r="G63" s="1"/>
      <c r="H63" s="1"/>
      <c r="I63" s="1"/>
      <c r="J63" s="1"/>
      <c r="K63" s="1"/>
      <c r="L63" s="1">
        <f>SUM(Table1[[#This Row],[County Payment]:[Reductions/COPA Bonus]])</f>
        <v>66809.564266873509</v>
      </c>
    </row>
    <row r="64" spans="1:12" x14ac:dyDescent="0.3">
      <c r="A64" t="s">
        <v>65</v>
      </c>
      <c r="B64">
        <v>63</v>
      </c>
      <c r="C64" s="1">
        <v>685014.08342990978</v>
      </c>
      <c r="D64" s="1">
        <v>80429.975760779431</v>
      </c>
      <c r="E64" s="1">
        <v>75057.466320337437</v>
      </c>
      <c r="F64" s="1">
        <v>24665.945584482717</v>
      </c>
      <c r="G64" s="1"/>
      <c r="H64" s="1"/>
      <c r="I64" s="1"/>
      <c r="J64" s="1"/>
      <c r="K64" s="1"/>
      <c r="L64" s="1">
        <f>SUM(Table1[[#This Row],[County Payment]:[Reductions/COPA Bonus]])</f>
        <v>865167.47109550936</v>
      </c>
    </row>
    <row r="65" spans="1:12" x14ac:dyDescent="0.3">
      <c r="A65" t="s">
        <v>66</v>
      </c>
      <c r="B65">
        <v>64</v>
      </c>
      <c r="C65" s="1">
        <v>131013.61009861798</v>
      </c>
      <c r="D65" s="1">
        <v>15382.780791604313</v>
      </c>
      <c r="E65" s="1"/>
      <c r="F65" s="1"/>
      <c r="G65" s="1"/>
      <c r="H65" s="1"/>
      <c r="I65" s="1"/>
      <c r="J65" s="1"/>
      <c r="K65" s="1"/>
      <c r="L65" s="1">
        <f>SUM(Table1[[#This Row],[County Payment]:[Reductions/COPA Bonus]])</f>
        <v>146396.3908902223</v>
      </c>
    </row>
    <row r="66" spans="1:12" x14ac:dyDescent="0.3">
      <c r="A66" t="s">
        <v>67</v>
      </c>
      <c r="B66">
        <v>65</v>
      </c>
      <c r="C66" s="1">
        <v>1342161.7311693421</v>
      </c>
      <c r="D66" s="1">
        <v>157588.05273678919</v>
      </c>
      <c r="E66" s="1">
        <v>127156.59581641108</v>
      </c>
      <c r="F66" s="1">
        <v>41787.150924195463</v>
      </c>
      <c r="G66" s="1"/>
      <c r="H66" s="1"/>
      <c r="I66" s="1"/>
      <c r="J66" s="1"/>
      <c r="K66" s="1"/>
      <c r="L66" s="1">
        <f>SUM(Table1[[#This Row],[County Payment]:[Reductions/COPA Bonus]])</f>
        <v>1668693.5306467379</v>
      </c>
    </row>
    <row r="67" spans="1:12" x14ac:dyDescent="0.3">
      <c r="A67" t="s">
        <v>68</v>
      </c>
      <c r="B67">
        <v>66</v>
      </c>
      <c r="C67" s="1">
        <v>84846.933882410565</v>
      </c>
      <c r="D67" s="1">
        <v>9962.1847208882791</v>
      </c>
      <c r="E67" s="1">
        <v>11016.728899017893</v>
      </c>
      <c r="F67" s="1">
        <v>3930.4527968779635</v>
      </c>
      <c r="G67" s="1"/>
      <c r="H67" s="1"/>
      <c r="I67" s="1">
        <v>2096.8184739778148</v>
      </c>
      <c r="J67" s="1"/>
      <c r="K67" s="1"/>
      <c r="L67" s="1">
        <f>SUM(Table1[[#This Row],[County Payment]:[Reductions/COPA Bonus]])</f>
        <v>111853.11877317251</v>
      </c>
    </row>
    <row r="68" spans="1:12" x14ac:dyDescent="0.3">
      <c r="A68" t="s">
        <v>69</v>
      </c>
      <c r="B68">
        <v>67</v>
      </c>
      <c r="C68" s="1">
        <v>1069320.6889963804</v>
      </c>
      <c r="D68" s="1">
        <v>125552.80128817799</v>
      </c>
      <c r="E68" s="1">
        <v>163645.77720611126</v>
      </c>
      <c r="F68" s="1">
        <v>53778.498443699871</v>
      </c>
      <c r="G68" s="1"/>
      <c r="H68" s="1"/>
      <c r="I68" s="1"/>
      <c r="J68" s="1"/>
      <c r="K68" s="1"/>
      <c r="L68" s="1">
        <f>SUM(Table1[[#This Row],[County Payment]:[Reductions/COPA Bonus]])</f>
        <v>1412297.7659343695</v>
      </c>
    </row>
    <row r="72" spans="1:12" x14ac:dyDescent="0.3">
      <c r="A72" t="s">
        <v>70</v>
      </c>
      <c r="B72" t="s">
        <v>139</v>
      </c>
      <c r="C72" t="s">
        <v>120</v>
      </c>
      <c r="D72" t="s">
        <v>121</v>
      </c>
      <c r="E72" t="s">
        <v>122</v>
      </c>
      <c r="F72" t="s">
        <v>294</v>
      </c>
      <c r="G72" t="s">
        <v>129</v>
      </c>
      <c r="H72" t="s">
        <v>295</v>
      </c>
      <c r="I72" t="s">
        <v>126</v>
      </c>
    </row>
    <row r="73" spans="1:12" x14ac:dyDescent="0.3">
      <c r="A73" t="s">
        <v>71</v>
      </c>
      <c r="B73">
        <v>68</v>
      </c>
      <c r="C73" s="1">
        <v>201459.60254603656</v>
      </c>
      <c r="D73" s="1">
        <v>66205.160358918351</v>
      </c>
      <c r="E73" s="1"/>
      <c r="F73" s="1"/>
      <c r="G73" s="1">
        <v>25266.948150025735</v>
      </c>
      <c r="H73" s="1"/>
      <c r="I73" s="1">
        <f>SUM(Table2[[#This Row],[Dist Litigating]:[MNK Bellwether]])</f>
        <v>292931.71105498064</v>
      </c>
    </row>
    <row r="74" spans="1:12" x14ac:dyDescent="0.3">
      <c r="A74" t="s">
        <v>72</v>
      </c>
      <c r="B74">
        <v>69</v>
      </c>
      <c r="C74" s="1">
        <v>179738.76637820242</v>
      </c>
      <c r="D74" s="1">
        <v>59067.096829319984</v>
      </c>
      <c r="E74" s="1"/>
      <c r="F74" s="1"/>
      <c r="G74" s="1">
        <v>23198.200934915469</v>
      </c>
      <c r="H74" s="1"/>
      <c r="I74" s="1">
        <f>SUM(Table2[[#This Row],[Dist Litigating]:[MNK Bellwether]])</f>
        <v>262004.06414243788</v>
      </c>
    </row>
    <row r="75" spans="1:12" x14ac:dyDescent="0.3">
      <c r="A75" t="s">
        <v>73</v>
      </c>
      <c r="B75">
        <v>70</v>
      </c>
      <c r="C75" s="1">
        <v>116711.3237125093</v>
      </c>
      <c r="D75" s="1">
        <v>38354.547534276011</v>
      </c>
      <c r="E75" s="1"/>
      <c r="F75" s="1"/>
      <c r="G75" s="1">
        <v>15063.447718702449</v>
      </c>
      <c r="H75" s="1">
        <v>87750.127374999996</v>
      </c>
      <c r="I75" s="1">
        <f>SUM(Table2[[#This Row],[Dist Litigating]:[MNK Bellwether]])</f>
        <v>257879.44634048775</v>
      </c>
    </row>
    <row r="76" spans="1:12" x14ac:dyDescent="0.3">
      <c r="A76" t="s">
        <v>74</v>
      </c>
      <c r="B76">
        <v>71</v>
      </c>
      <c r="C76" s="1">
        <v>110512.40372164898</v>
      </c>
      <c r="D76" s="1">
        <v>36317.41211426926</v>
      </c>
      <c r="E76" s="1"/>
      <c r="F76" s="1"/>
      <c r="G76" s="1">
        <v>14031.567546748736</v>
      </c>
      <c r="H76" s="1"/>
      <c r="I76" s="1">
        <f>SUM(Table2[[#This Row],[Dist Litigating]:[MNK Bellwether]])</f>
        <v>160861.38338266697</v>
      </c>
    </row>
    <row r="77" spans="1:12" x14ac:dyDescent="0.3">
      <c r="A77" t="s">
        <v>75</v>
      </c>
      <c r="B77">
        <v>72</v>
      </c>
      <c r="C77" s="1">
        <v>84404.275230938001</v>
      </c>
      <c r="D77" s="1">
        <v>27737.563789572108</v>
      </c>
      <c r="E77" s="1"/>
      <c r="F77" s="1"/>
      <c r="G77" s="1">
        <v>10847.57093385032</v>
      </c>
      <c r="H77" s="1"/>
      <c r="I77" s="1">
        <f>SUM(Table2[[#This Row],[Dist Litigating]:[MNK Bellwether]])</f>
        <v>122989.40995436044</v>
      </c>
    </row>
    <row r="78" spans="1:12" x14ac:dyDescent="0.3">
      <c r="A78" t="s">
        <v>76</v>
      </c>
      <c r="B78">
        <v>73</v>
      </c>
      <c r="C78" s="1">
        <v>166522.04825553574</v>
      </c>
      <c r="D78" s="1">
        <v>54723.720134084928</v>
      </c>
      <c r="E78" s="1"/>
      <c r="F78" s="1"/>
      <c r="G78" s="1">
        <v>21113.3268218025</v>
      </c>
      <c r="H78" s="1"/>
      <c r="I78" s="1">
        <f>SUM(Table2[[#This Row],[Dist Litigating]:[MNK Bellwether]])</f>
        <v>242359.09521142318</v>
      </c>
    </row>
    <row r="79" spans="1:12" x14ac:dyDescent="0.3">
      <c r="A79" t="s">
        <v>77</v>
      </c>
      <c r="B79">
        <v>74</v>
      </c>
      <c r="C79" s="1">
        <v>97515.050215126146</v>
      </c>
      <c r="D79" s="1">
        <v>32046.124658789151</v>
      </c>
      <c r="E79" s="1"/>
      <c r="F79" s="1"/>
      <c r="G79" s="1">
        <v>12277.556251262366</v>
      </c>
      <c r="H79" s="1"/>
      <c r="I79" s="1">
        <f>SUM(Table2[[#This Row],[Dist Litigating]:[MNK Bellwether]])</f>
        <v>141838.73112517767</v>
      </c>
    </row>
    <row r="80" spans="1:12" x14ac:dyDescent="0.3">
      <c r="A80" t="s">
        <v>78</v>
      </c>
      <c r="B80">
        <v>75</v>
      </c>
      <c r="C80" s="1">
        <v>89242.137489814908</v>
      </c>
      <c r="D80" s="1">
        <v>29327.418244735713</v>
      </c>
      <c r="E80" s="1"/>
      <c r="F80" s="1"/>
      <c r="G80" s="1">
        <v>11192.26829739445</v>
      </c>
      <c r="H80" s="1"/>
      <c r="I80" s="1">
        <f>SUM(Table2[[#This Row],[Dist Litigating]:[MNK Bellwether]])</f>
        <v>129761.82403194507</v>
      </c>
    </row>
    <row r="81" spans="1:9" x14ac:dyDescent="0.3">
      <c r="A81" t="s">
        <v>79</v>
      </c>
      <c r="B81">
        <v>76</v>
      </c>
      <c r="C81" s="1">
        <v>133628.57334273896</v>
      </c>
      <c r="D81" s="1">
        <v>43914.020552422502</v>
      </c>
      <c r="E81" s="1"/>
      <c r="F81" s="1"/>
      <c r="G81" s="1">
        <v>17246.892971477842</v>
      </c>
      <c r="H81" s="1"/>
      <c r="I81" s="1">
        <f>SUM(Table2[[#This Row],[Dist Litigating]:[MNK Bellwether]])</f>
        <v>194789.48686663932</v>
      </c>
    </row>
    <row r="82" spans="1:9" x14ac:dyDescent="0.3">
      <c r="A82" t="s">
        <v>80</v>
      </c>
      <c r="B82">
        <v>77</v>
      </c>
      <c r="C82" s="1">
        <v>25102.915065029116</v>
      </c>
      <c r="D82" s="1">
        <v>8249.507575479216</v>
      </c>
      <c r="E82" s="1"/>
      <c r="F82" s="1"/>
      <c r="G82" s="1">
        <v>3239.938047117279</v>
      </c>
      <c r="H82" s="1"/>
      <c r="I82" s="1">
        <f>SUM(Table2[[#This Row],[Dist Litigating]:[MNK Bellwether]])</f>
        <v>36592.360687625609</v>
      </c>
    </row>
    <row r="84" spans="1:9" x14ac:dyDescent="0.3">
      <c r="A84" t="s">
        <v>81</v>
      </c>
      <c r="B84" t="s">
        <v>139</v>
      </c>
      <c r="C84" t="s">
        <v>120</v>
      </c>
      <c r="D84" t="s">
        <v>121</v>
      </c>
      <c r="E84" t="s">
        <v>129</v>
      </c>
      <c r="F84" t="s">
        <v>126</v>
      </c>
    </row>
    <row r="85" spans="1:9" x14ac:dyDescent="0.3">
      <c r="A85" t="s">
        <v>82</v>
      </c>
      <c r="B85">
        <v>78</v>
      </c>
      <c r="C85" s="1"/>
      <c r="D85" s="1">
        <v>1572.1811187511853</v>
      </c>
      <c r="E85" s="1"/>
      <c r="F85" s="1">
        <f>SUM(Table3[[#This Row],[Dist Litigating]:[MNK Litigating]])</f>
        <v>1572.1811187511853</v>
      </c>
    </row>
    <row r="86" spans="1:9" x14ac:dyDescent="0.3">
      <c r="A86" t="s">
        <v>83</v>
      </c>
      <c r="B86">
        <v>79</v>
      </c>
      <c r="C86" s="1">
        <v>45118.948975552135</v>
      </c>
      <c r="D86" s="1">
        <v>15721.811187511854</v>
      </c>
      <c r="E86" s="1">
        <v>10122.142040651273</v>
      </c>
      <c r="F86" s="1">
        <f>SUM(Table3[[#This Row],[Dist Litigating]:[MNK Litigating]])</f>
        <v>70962.902203715261</v>
      </c>
    </row>
    <row r="87" spans="1:9" x14ac:dyDescent="0.3">
      <c r="A87" t="s">
        <v>84</v>
      </c>
      <c r="B87">
        <v>80</v>
      </c>
      <c r="C87" s="1">
        <v>22302.947744623722</v>
      </c>
      <c r="D87" s="1">
        <v>7860.9055937559269</v>
      </c>
      <c r="E87" s="1"/>
      <c r="F87" s="1">
        <f>SUM(Table3[[#This Row],[Dist Litigating]:[MNK Litigating]])</f>
        <v>30163.853338379649</v>
      </c>
    </row>
    <row r="88" spans="1:9" x14ac:dyDescent="0.3">
      <c r="A88" t="s">
        <v>85</v>
      </c>
      <c r="B88">
        <v>81</v>
      </c>
      <c r="C88" s="1">
        <v>22033.457798035786</v>
      </c>
      <c r="D88" s="1">
        <v>7860.9055937559269</v>
      </c>
      <c r="E88" s="1">
        <v>4366.8100721442916</v>
      </c>
      <c r="F88" s="1">
        <f>SUM(Table3[[#This Row],[Dist Litigating]:[MNK Litigating]])</f>
        <v>34261.173463936007</v>
      </c>
    </row>
    <row r="89" spans="1:9" x14ac:dyDescent="0.3">
      <c r="A89" t="s">
        <v>86</v>
      </c>
      <c r="B89">
        <v>82</v>
      </c>
      <c r="C89" s="1">
        <v>4406.6915596071576</v>
      </c>
      <c r="D89" s="1">
        <v>1572.1811187511853</v>
      </c>
      <c r="E89" s="1"/>
      <c r="F89" s="1">
        <f>SUM(Table3[[#This Row],[Dist Litigating]:[MNK Litigating]])</f>
        <v>5978.8726783583425</v>
      </c>
      <c r="H89" s="3"/>
    </row>
    <row r="90" spans="1:9" x14ac:dyDescent="0.3">
      <c r="A90" t="s">
        <v>87</v>
      </c>
      <c r="B90">
        <v>83</v>
      </c>
      <c r="C90" s="1">
        <v>11016.728899017893</v>
      </c>
      <c r="D90" s="1">
        <v>3930.4527968779635</v>
      </c>
      <c r="E90" s="1">
        <v>1761.9003092258388</v>
      </c>
      <c r="F90" s="1">
        <f>SUM(Table3[[#This Row],[Dist Litigating]:[MNK Litigating]])</f>
        <v>16709.082005121694</v>
      </c>
    </row>
    <row r="91" spans="1:9" x14ac:dyDescent="0.3">
      <c r="A91" t="s">
        <v>88</v>
      </c>
      <c r="B91">
        <v>84</v>
      </c>
      <c r="C91" s="1">
        <v>4406.6915596071576</v>
      </c>
      <c r="D91" s="1">
        <v>1572.1811187511853</v>
      </c>
      <c r="E91" s="1">
        <v>704.76012369033549</v>
      </c>
      <c r="F91" s="1">
        <f>SUM(Table3[[#This Row],[Dist Litigating]:[MNK Litigating]])</f>
        <v>6683.6328020486781</v>
      </c>
    </row>
    <row r="92" spans="1:9" x14ac:dyDescent="0.3">
      <c r="A92" t="s">
        <v>89</v>
      </c>
      <c r="B92">
        <v>85</v>
      </c>
      <c r="C92" s="1">
        <v>4406.6915596071576</v>
      </c>
      <c r="D92" s="1">
        <v>1572.1811187511853</v>
      </c>
      <c r="E92" s="1">
        <v>704.76012369033549</v>
      </c>
      <c r="F92" s="1">
        <f>SUM(Table3[[#This Row],[Dist Litigating]:[MNK Litigating]])</f>
        <v>6683.6328020486781</v>
      </c>
    </row>
    <row r="93" spans="1:9" x14ac:dyDescent="0.3">
      <c r="A93" t="s">
        <v>90</v>
      </c>
      <c r="B93">
        <v>86</v>
      </c>
      <c r="C93" s="1">
        <v>11016.728899017893</v>
      </c>
      <c r="D93" s="1">
        <v>3930.4527968779635</v>
      </c>
      <c r="E93" s="1">
        <v>1761.9003092258388</v>
      </c>
      <c r="F93" s="1">
        <f>SUM(Table3[[#This Row],[Dist Litigating]:[MNK Litigating]])</f>
        <v>16709.082005121694</v>
      </c>
    </row>
    <row r="94" spans="1:9" x14ac:dyDescent="0.3">
      <c r="A94" t="s">
        <v>91</v>
      </c>
      <c r="B94">
        <v>87</v>
      </c>
      <c r="C94" s="1">
        <v>4406.6915596071576</v>
      </c>
      <c r="D94" s="1">
        <v>1572.1811187511853</v>
      </c>
      <c r="E94" s="1">
        <v>704.76012369033549</v>
      </c>
      <c r="F94" s="1">
        <f>SUM(Table3[[#This Row],[Dist Litigating]:[MNK Litigating]])</f>
        <v>6683.6328020486781</v>
      </c>
    </row>
    <row r="95" spans="1:9" x14ac:dyDescent="0.3">
      <c r="A95" t="s">
        <v>92</v>
      </c>
      <c r="B95">
        <v>88</v>
      </c>
      <c r="C95" s="1">
        <v>11016.728899017893</v>
      </c>
      <c r="D95" s="1">
        <v>3930.4527968779635</v>
      </c>
      <c r="E95" s="1">
        <v>1761.9003092258388</v>
      </c>
      <c r="F95" s="1">
        <f>SUM(Table3[[#This Row],[Dist Litigating]:[MNK Litigating]])</f>
        <v>16709.082005121694</v>
      </c>
    </row>
    <row r="96" spans="1:9" x14ac:dyDescent="0.3">
      <c r="A96" t="s">
        <v>93</v>
      </c>
      <c r="B96">
        <v>89</v>
      </c>
      <c r="C96" s="1">
        <v>11016.728899017893</v>
      </c>
      <c r="D96" s="1">
        <v>3930.4527968779635</v>
      </c>
      <c r="E96" s="1">
        <v>2410.026158878256</v>
      </c>
      <c r="F96" s="1">
        <f>SUM(Table3[[#This Row],[Dist Litigating]:[MNK Litigating]])</f>
        <v>17357.207854774111</v>
      </c>
    </row>
    <row r="97" spans="1:6" x14ac:dyDescent="0.3">
      <c r="A97" t="s">
        <v>94</v>
      </c>
      <c r="B97">
        <v>90</v>
      </c>
      <c r="C97" s="1">
        <v>11016.728899017893</v>
      </c>
      <c r="D97" s="1">
        <v>3930.4527968779635</v>
      </c>
      <c r="E97" s="1">
        <v>1761.9003092258388</v>
      </c>
      <c r="F97" s="1">
        <f>SUM(Table3[[#This Row],[Dist Litigating]:[MNK Litigating]])</f>
        <v>16709.082005121694</v>
      </c>
    </row>
    <row r="98" spans="1:6" x14ac:dyDescent="0.3">
      <c r="A98" t="s">
        <v>95</v>
      </c>
      <c r="B98">
        <v>91</v>
      </c>
      <c r="C98" s="1">
        <v>11895.957145765189</v>
      </c>
      <c r="D98" s="1">
        <v>3930.4527968779635</v>
      </c>
      <c r="E98" s="1">
        <v>2668.7804275800331</v>
      </c>
      <c r="F98" s="1">
        <f>SUM(Table3[[#This Row],[Dist Litigating]:[MNK Litigating]])</f>
        <v>18495.190370223187</v>
      </c>
    </row>
    <row r="99" spans="1:6" x14ac:dyDescent="0.3">
      <c r="A99" t="s">
        <v>96</v>
      </c>
      <c r="B99">
        <v>92</v>
      </c>
      <c r="C99" s="1">
        <v>11016.728899017893</v>
      </c>
      <c r="D99" s="1">
        <v>3930.4527968779635</v>
      </c>
      <c r="E99" s="1">
        <v>1761.9003092258388</v>
      </c>
      <c r="F99" s="1">
        <f>SUM(Table3[[#This Row],[Dist Litigating]:[MNK Litigating]])</f>
        <v>16709.082005121694</v>
      </c>
    </row>
    <row r="100" spans="1:6" x14ac:dyDescent="0.3">
      <c r="A100" t="s">
        <v>125</v>
      </c>
      <c r="B100">
        <v>93</v>
      </c>
      <c r="C100" s="1"/>
      <c r="D100" s="1">
        <v>1572.1811187511853</v>
      </c>
      <c r="E100" s="1"/>
      <c r="F100" s="1">
        <f>SUM(Table3[[#This Row],[Dist Litigating]:[MNK Litigating]])</f>
        <v>1572.1811187511853</v>
      </c>
    </row>
    <row r="101" spans="1:6" x14ac:dyDescent="0.3">
      <c r="A101" t="s">
        <v>97</v>
      </c>
      <c r="B101">
        <v>94</v>
      </c>
      <c r="C101" s="1">
        <v>16506.6264915922</v>
      </c>
      <c r="D101" s="1">
        <v>5424.5309732054347</v>
      </c>
      <c r="E101" s="1"/>
      <c r="F101" s="1">
        <f>SUM(Table3[[#This Row],[Dist Litigating]:[MNK Litigating]])</f>
        <v>21931.157464797634</v>
      </c>
    </row>
    <row r="102" spans="1:6" x14ac:dyDescent="0.3">
      <c r="A102" t="s">
        <v>98</v>
      </c>
      <c r="B102">
        <v>95</v>
      </c>
      <c r="C102" s="1">
        <v>4406.6915596071576</v>
      </c>
      <c r="D102" s="1">
        <v>1572.1811187511853</v>
      </c>
      <c r="E102" s="1"/>
      <c r="F102" s="1">
        <f>SUM(Table3[[#This Row],[Dist Litigating]:[MNK Litigating]])</f>
        <v>5978.8726783583425</v>
      </c>
    </row>
    <row r="103" spans="1:6" x14ac:dyDescent="0.3">
      <c r="A103" t="s">
        <v>99</v>
      </c>
      <c r="B103">
        <v>96</v>
      </c>
      <c r="C103" s="1">
        <v>11016.728899017893</v>
      </c>
      <c r="D103" s="1">
        <v>3930.4527968779635</v>
      </c>
      <c r="E103" s="1">
        <v>1761.9003092258388</v>
      </c>
      <c r="F103" s="1">
        <f>SUM(Table3[[#This Row],[Dist Litigating]:[MNK Litigating]])</f>
        <v>16709.082005121694</v>
      </c>
    </row>
    <row r="104" spans="1:6" x14ac:dyDescent="0.3">
      <c r="A104" t="s">
        <v>100</v>
      </c>
      <c r="B104">
        <v>97</v>
      </c>
      <c r="C104" s="1"/>
      <c r="D104" s="1">
        <v>3930.4527968779635</v>
      </c>
      <c r="E104" s="1"/>
      <c r="F104" s="1">
        <f>SUM(Table3[[#This Row],[Dist Litigating]:[MNK Litigating]])</f>
        <v>3930.4527968779635</v>
      </c>
    </row>
    <row r="105" spans="1:6" x14ac:dyDescent="0.3">
      <c r="A105" t="s">
        <v>101</v>
      </c>
      <c r="B105">
        <v>98</v>
      </c>
      <c r="C105" s="1">
        <v>11016.728899017893</v>
      </c>
      <c r="D105" s="1">
        <v>3930.4527968779635</v>
      </c>
      <c r="E105" s="1"/>
      <c r="F105" s="1">
        <f>SUM(Table3[[#This Row],[Dist Litigating]:[MNK Litigating]])</f>
        <v>14947.181695895857</v>
      </c>
    </row>
    <row r="106" spans="1:6" x14ac:dyDescent="0.3">
      <c r="A106" t="s">
        <v>102</v>
      </c>
      <c r="B106">
        <v>99</v>
      </c>
      <c r="C106" s="1">
        <v>12816.656903158948</v>
      </c>
      <c r="D106" s="1">
        <v>4211.905587101387</v>
      </c>
      <c r="E106" s="1"/>
      <c r="F106" s="1">
        <f>SUM(Table3[[#This Row],[Dist Litigating]:[MNK Litigating]])</f>
        <v>17028.562490260334</v>
      </c>
    </row>
    <row r="107" spans="1:6" x14ac:dyDescent="0.3">
      <c r="A107" t="s">
        <v>103</v>
      </c>
      <c r="B107">
        <v>100</v>
      </c>
      <c r="C107" s="1">
        <v>108623.56939148958</v>
      </c>
      <c r="D107" s="1">
        <v>35696.689258970975</v>
      </c>
      <c r="E107" s="1">
        <v>24368.989599890003</v>
      </c>
      <c r="F107" s="1">
        <f>SUM(Table3[[#This Row],[Dist Litigating]:[MNK Litigating]])</f>
        <v>168689.24825035059</v>
      </c>
    </row>
    <row r="108" spans="1:6" x14ac:dyDescent="0.3">
      <c r="A108" t="s">
        <v>104</v>
      </c>
      <c r="B108">
        <v>101</v>
      </c>
      <c r="C108" s="1">
        <v>4406.6915596071576</v>
      </c>
      <c r="D108" s="1">
        <v>1572.1811187511853</v>
      </c>
      <c r="E108" s="1">
        <v>788.89085092540586</v>
      </c>
      <c r="F108" s="1">
        <f>SUM(Table3[[#This Row],[Dist Litigating]:[MNK Litigating]])</f>
        <v>6767.7635292837485</v>
      </c>
    </row>
    <row r="109" spans="1:6" x14ac:dyDescent="0.3">
      <c r="A109" t="s">
        <v>105</v>
      </c>
      <c r="B109">
        <v>102</v>
      </c>
      <c r="C109" s="1"/>
      <c r="D109" s="1">
        <v>49698.907111222929</v>
      </c>
      <c r="E109" s="1"/>
      <c r="F109" s="1">
        <f>SUM(Table3[[#This Row],[Dist Litigating]:[MNK Litigating]])</f>
        <v>49698.907111222929</v>
      </c>
    </row>
    <row r="110" spans="1:6" x14ac:dyDescent="0.3">
      <c r="A110" t="s">
        <v>106</v>
      </c>
      <c r="B110">
        <v>103</v>
      </c>
      <c r="C110" s="1">
        <v>4406.6915596071576</v>
      </c>
      <c r="D110" s="1">
        <v>1572.1811187511853</v>
      </c>
      <c r="E110" s="1">
        <v>704.76012369033549</v>
      </c>
      <c r="F110" s="1">
        <f>SUM(Table3[[#This Row],[Dist Litigating]:[MNK Litigating]])</f>
        <v>6683.6328020486781</v>
      </c>
    </row>
    <row r="111" spans="1:6" x14ac:dyDescent="0.3">
      <c r="A111" t="s">
        <v>298</v>
      </c>
      <c r="B111">
        <v>104</v>
      </c>
      <c r="C111" s="1"/>
      <c r="D111" s="1">
        <v>1572.1811187511853</v>
      </c>
      <c r="E111" s="1"/>
      <c r="F111" s="1">
        <f>SUM(Table3[[#This Row],[Dist Litigating]:[MNK Litigating]])</f>
        <v>1572.1811187511853</v>
      </c>
    </row>
    <row r="112" spans="1:6" x14ac:dyDescent="0.3">
      <c r="A112" t="s">
        <v>108</v>
      </c>
      <c r="B112">
        <v>105</v>
      </c>
      <c r="C112" s="1"/>
      <c r="D112" s="1">
        <v>1572.1811187511853</v>
      </c>
      <c r="E112" s="1"/>
      <c r="F112" s="1">
        <f>SUM(Table3[[#This Row],[Dist Litigating]:[MNK Litigating]])</f>
        <v>1572.1811187511853</v>
      </c>
    </row>
    <row r="113" spans="1:9" x14ac:dyDescent="0.3">
      <c r="A113" t="s">
        <v>109</v>
      </c>
      <c r="B113">
        <v>106</v>
      </c>
      <c r="C113" s="1">
        <v>12047.614465616261</v>
      </c>
      <c r="D113" s="1">
        <v>3930.4527968779635</v>
      </c>
      <c r="E113" s="1">
        <v>2702.8037585283864</v>
      </c>
      <c r="F113" s="1">
        <f>SUM(Table3[[#This Row],[Dist Litigating]:[MNK Litigating]])</f>
        <v>18680.871021022613</v>
      </c>
    </row>
    <row r="114" spans="1:9" x14ac:dyDescent="0.3">
      <c r="A114" t="s">
        <v>110</v>
      </c>
      <c r="B114">
        <v>107</v>
      </c>
      <c r="C114" s="1">
        <v>11016.728899017893</v>
      </c>
      <c r="D114" s="1">
        <v>3930.4527968779635</v>
      </c>
      <c r="E114" s="1">
        <v>2062.2321091839804</v>
      </c>
      <c r="F114" s="1">
        <f>SUM(Table3[[#This Row],[Dist Litigating]:[MNK Litigating]])</f>
        <v>17009.413805079836</v>
      </c>
    </row>
    <row r="115" spans="1:9" x14ac:dyDescent="0.3">
      <c r="A115" t="s">
        <v>111</v>
      </c>
      <c r="B115">
        <v>108</v>
      </c>
      <c r="C115" s="1">
        <v>11016.728899017893</v>
      </c>
      <c r="D115" s="1">
        <v>3930.4527968779635</v>
      </c>
      <c r="E115" s="1"/>
      <c r="F115" s="1">
        <f>SUM(Table3[[#This Row],[Dist Litigating]:[MNK Litigating]])</f>
        <v>14947.181695895857</v>
      </c>
    </row>
    <row r="116" spans="1:9" x14ac:dyDescent="0.3">
      <c r="A116" t="s">
        <v>112</v>
      </c>
      <c r="B116">
        <v>109</v>
      </c>
      <c r="C116" s="1">
        <v>4406.6915596071576</v>
      </c>
      <c r="D116" s="1">
        <v>1572.1811187511853</v>
      </c>
      <c r="E116" s="1">
        <v>704.76012369033549</v>
      </c>
      <c r="F116" s="1">
        <f>SUM(Table3[[#This Row],[Dist Litigating]:[MNK Litigating]])</f>
        <v>6683.6328020486781</v>
      </c>
    </row>
    <row r="117" spans="1:9" x14ac:dyDescent="0.3">
      <c r="A117" t="s">
        <v>113</v>
      </c>
      <c r="B117">
        <v>110</v>
      </c>
      <c r="C117" s="1">
        <v>15892.826653329696</v>
      </c>
      <c r="D117" s="1">
        <v>5222.8194826292456</v>
      </c>
      <c r="E117" s="1">
        <v>3565.4520432118061</v>
      </c>
      <c r="F117" s="1">
        <f>SUM(Table3[[#This Row],[Dist Litigating]:[MNK Litigating]])</f>
        <v>24681.098179170745</v>
      </c>
    </row>
    <row r="118" spans="1:9" x14ac:dyDescent="0.3">
      <c r="A118" t="s">
        <v>114</v>
      </c>
      <c r="B118">
        <v>111</v>
      </c>
      <c r="C118" s="1">
        <v>4406.6915596071576</v>
      </c>
      <c r="D118" s="1">
        <v>1572.1811187511853</v>
      </c>
      <c r="E118" s="1">
        <v>704.76012369033549</v>
      </c>
      <c r="F118" s="1">
        <f>SUM(Table3[[#This Row],[Dist Litigating]:[MNK Litigating]])</f>
        <v>6683.6328020486781</v>
      </c>
    </row>
    <row r="119" spans="1:9" x14ac:dyDescent="0.3">
      <c r="A119" t="s">
        <v>115</v>
      </c>
      <c r="B119">
        <v>112</v>
      </c>
      <c r="C119" s="1">
        <v>4406.6915596071576</v>
      </c>
      <c r="D119" s="1">
        <v>1572.1811187511853</v>
      </c>
      <c r="E119" s="1">
        <v>704.76012369033549</v>
      </c>
      <c r="F119" s="1">
        <f>SUM(Table3[[#This Row],[Dist Litigating]:[MNK Litigating]])</f>
        <v>6683.6328020486781</v>
      </c>
    </row>
    <row r="120" spans="1:9" x14ac:dyDescent="0.3">
      <c r="A120" t="s">
        <v>116</v>
      </c>
      <c r="B120">
        <v>113</v>
      </c>
      <c r="C120" s="1">
        <v>4406.6915596071576</v>
      </c>
      <c r="D120" s="1">
        <v>1572.1811187511853</v>
      </c>
      <c r="E120" s="1">
        <v>704.76012369033549</v>
      </c>
      <c r="F120" s="1">
        <f>SUM(Table3[[#This Row],[Dist Litigating]:[MNK Litigating]])</f>
        <v>6683.6328020486781</v>
      </c>
    </row>
    <row r="122" spans="1:9" x14ac:dyDescent="0.3">
      <c r="A122" t="s">
        <v>117</v>
      </c>
      <c r="B122" t="s">
        <v>139</v>
      </c>
      <c r="C122" t="s">
        <v>135</v>
      </c>
      <c r="D122" t="s">
        <v>136</v>
      </c>
      <c r="E122" t="s">
        <v>137</v>
      </c>
      <c r="F122" t="s">
        <v>138</v>
      </c>
      <c r="G122" t="s">
        <v>126</v>
      </c>
    </row>
    <row r="123" spans="1:9" x14ac:dyDescent="0.3">
      <c r="A123" t="s">
        <v>118</v>
      </c>
      <c r="B123">
        <v>114</v>
      </c>
      <c r="C123" s="1">
        <v>5437582.677011624</v>
      </c>
      <c r="D123" s="1">
        <v>3530726.3405258879</v>
      </c>
      <c r="E123" s="3">
        <v>1053001.5285</v>
      </c>
      <c r="F123" s="1"/>
      <c r="G123" s="1">
        <f>SUM(Table7[[Dist Payment]:[MNK Payment]])</f>
        <v>10021310.546037512</v>
      </c>
    </row>
    <row r="124" spans="1:9" x14ac:dyDescent="0.3">
      <c r="C124" s="1"/>
      <c r="D124" s="1"/>
      <c r="E124" s="1"/>
      <c r="F124" s="1"/>
      <c r="G124" s="1"/>
      <c r="H124" s="1"/>
    </row>
    <row r="125" spans="1:9" x14ac:dyDescent="0.3">
      <c r="A125" t="s">
        <v>140</v>
      </c>
      <c r="B125" t="s">
        <v>139</v>
      </c>
      <c r="C125" t="s">
        <v>134</v>
      </c>
      <c r="D125" s="1" t="s">
        <v>132</v>
      </c>
      <c r="E125" s="1" t="s">
        <v>133</v>
      </c>
      <c r="F125" s="1" t="s">
        <v>126</v>
      </c>
      <c r="G125" s="1"/>
      <c r="H125" s="1"/>
      <c r="I125" s="1"/>
    </row>
    <row r="126" spans="1:9" x14ac:dyDescent="0.3">
      <c r="A126" t="s">
        <v>119</v>
      </c>
      <c r="B126">
        <v>115</v>
      </c>
      <c r="D126" s="1">
        <v>9348726.9730906058</v>
      </c>
      <c r="E126" s="1">
        <v>2167213.9464940801</v>
      </c>
      <c r="F126" s="2">
        <f>SUM(D126:E126)</f>
        <v>11515940.919584686</v>
      </c>
    </row>
    <row r="127" spans="1:9" x14ac:dyDescent="0.3">
      <c r="A127" t="s">
        <v>123</v>
      </c>
      <c r="F127" s="1">
        <v>0</v>
      </c>
    </row>
    <row r="129" spans="1:6" x14ac:dyDescent="0.3">
      <c r="A129" t="s">
        <v>124</v>
      </c>
      <c r="F129" s="1">
        <f>SUM(F126:F127)</f>
        <v>11515940.919584686</v>
      </c>
    </row>
    <row r="130" spans="1:6" x14ac:dyDescent="0.3">
      <c r="A130" t="s">
        <v>130</v>
      </c>
      <c r="F130" s="1">
        <f>SUM(G123,F85:F120,I73:I82,L2:L68)</f>
        <v>66808736.973583415</v>
      </c>
    </row>
    <row r="131" spans="1:6" x14ac:dyDescent="0.3">
      <c r="A131" t="s">
        <v>131</v>
      </c>
      <c r="F131" s="1">
        <f>SUM(F129:F130)</f>
        <v>78324677.893168107</v>
      </c>
    </row>
    <row r="135" spans="1:6" x14ac:dyDescent="0.3">
      <c r="F135" s="1"/>
    </row>
    <row r="136" spans="1:6" x14ac:dyDescent="0.3">
      <c r="E136" s="1"/>
      <c r="F136" s="1"/>
    </row>
    <row r="137" spans="1:6" x14ac:dyDescent="0.3">
      <c r="F137" s="1"/>
    </row>
  </sheetData>
  <sheetProtection algorithmName="SHA-512" hashValue="u6wFkaDsvZy+c1bAba8G8kdnGQ6+mPWc8EHWieB/fB05EHSpQg6d5Hx+Emr+LNafZmWu89O16xDXJxCVDu0fJA==" saltValue="oj6yBfmu6rnlqsKwi/ID6w==" spinCount="100000" sheet="1" objects="1" scenarios="1" selectLockedCells="1" selectUnlockedCells="1"/>
  <pageMargins left="0.7" right="0.7" top="0.75" bottom="0.75" header="0.3" footer="0.3"/>
  <pageSetup orientation="portrait" horizontalDpi="200" verticalDpi="200" r:id="rId1"/>
  <tableParts count="5"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workbookViewId="0">
      <selection activeCell="F14" sqref="F14"/>
    </sheetView>
  </sheetViews>
  <sheetFormatPr defaultColWidth="10.109375" defaultRowHeight="15.6" x14ac:dyDescent="0.3"/>
  <cols>
    <col min="1" max="1" width="23.5546875" style="4" customWidth="1"/>
    <col min="2" max="2" width="23.88671875" style="4" customWidth="1"/>
    <col min="3" max="3" width="24.6640625" style="4" customWidth="1"/>
    <col min="4" max="4" width="23.33203125" style="4" customWidth="1"/>
    <col min="5" max="5" width="21.6640625" style="4" customWidth="1"/>
    <col min="6" max="10" width="20.44140625" style="4" customWidth="1"/>
    <col min="11" max="11" width="19.88671875" style="4" customWidth="1"/>
    <col min="12" max="12" width="14.44140625" style="4" customWidth="1"/>
    <col min="13" max="13" width="13.88671875" style="4" bestFit="1" customWidth="1"/>
    <col min="14" max="16384" width="10.109375" style="4"/>
  </cols>
  <sheetData>
    <row r="1" spans="1:13" x14ac:dyDescent="0.3">
      <c r="A1" s="19" t="s">
        <v>190</v>
      </c>
      <c r="B1" s="19" t="s">
        <v>170</v>
      </c>
      <c r="C1" s="19" t="s">
        <v>246</v>
      </c>
      <c r="D1" s="19" t="s">
        <v>247</v>
      </c>
      <c r="E1" s="19" t="s">
        <v>156</v>
      </c>
      <c r="F1" s="19"/>
      <c r="G1" s="19"/>
      <c r="H1" s="26"/>
      <c r="I1" s="26"/>
      <c r="J1" s="26"/>
      <c r="K1" s="26"/>
    </row>
    <row r="2" spans="1:13" x14ac:dyDescent="0.3">
      <c r="C2" s="10">
        <v>1053001.5285</v>
      </c>
      <c r="D2" s="10">
        <v>1238825.328</v>
      </c>
      <c r="E2" s="10">
        <f>SUM(C2:D2)</f>
        <v>2291826.8564999998</v>
      </c>
      <c r="F2" s="10"/>
      <c r="G2" s="10"/>
      <c r="H2" s="10"/>
      <c r="I2" s="10"/>
      <c r="J2" s="10"/>
      <c r="K2" s="10"/>
      <c r="L2" s="13"/>
    </row>
    <row r="3" spans="1:13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1:13" x14ac:dyDescent="0.3">
      <c r="A4" s="36">
        <v>0.25</v>
      </c>
      <c r="C4" s="10">
        <f>C2*0.25</f>
        <v>263250.382125</v>
      </c>
      <c r="D4" s="10">
        <f t="shared" ref="D4" si="0">D2*0.25</f>
        <v>309706.33199999999</v>
      </c>
      <c r="E4" s="10">
        <f>E2*0.25</f>
        <v>572956.71412499994</v>
      </c>
      <c r="F4" s="10"/>
      <c r="G4" s="10"/>
      <c r="H4" s="10"/>
      <c r="I4" s="10"/>
      <c r="J4" s="10"/>
      <c r="K4" s="10"/>
    </row>
    <row r="5" spans="1:13" x14ac:dyDescent="0.3">
      <c r="A5" s="36" t="s">
        <v>190</v>
      </c>
      <c r="B5" s="4" t="s">
        <v>192</v>
      </c>
      <c r="C5" s="10" t="s">
        <v>246</v>
      </c>
      <c r="D5" s="10" t="s">
        <v>247</v>
      </c>
      <c r="E5" s="10" t="s">
        <v>156</v>
      </c>
      <c r="F5" s="10"/>
      <c r="G5" s="10"/>
      <c r="H5" s="10"/>
      <c r="I5" s="10"/>
      <c r="J5" s="10"/>
      <c r="K5" s="10"/>
    </row>
    <row r="6" spans="1:13" x14ac:dyDescent="0.3">
      <c r="A6" s="4" t="s">
        <v>248</v>
      </c>
      <c r="B6" s="4">
        <v>0.66666666666666663</v>
      </c>
      <c r="C6" s="10">
        <f t="shared" ref="C6:D6" si="1">$B$6*C4</f>
        <v>175500.25474999999</v>
      </c>
      <c r="D6" s="10">
        <f t="shared" si="1"/>
        <v>206470.88799999998</v>
      </c>
      <c r="E6" s="10">
        <f>SUM(Table618[[#This Row],[Emergent - 12/1/2023]:[Payment 1 - 12/1/23]])</f>
        <v>381971.14275</v>
      </c>
      <c r="F6" s="10"/>
      <c r="G6" s="10"/>
      <c r="H6" s="10"/>
      <c r="I6" s="10"/>
      <c r="J6" s="10"/>
      <c r="K6" s="10"/>
    </row>
    <row r="7" spans="1:13" x14ac:dyDescent="0.3">
      <c r="A7" s="4" t="s">
        <v>249</v>
      </c>
      <c r="B7" s="4">
        <v>0.33333333333333331</v>
      </c>
      <c r="C7" s="10">
        <f>$B$7*C4</f>
        <v>87750.127374999996</v>
      </c>
      <c r="D7" s="10">
        <f t="shared" ref="D7" si="2">$B$7*D4</f>
        <v>103235.44399999999</v>
      </c>
      <c r="E7" s="10">
        <f>SUM(Table618[[#This Row],[Emergent - 12/1/2023]:[Payment 1 - 12/1/23]])</f>
        <v>190985.571375</v>
      </c>
      <c r="F7" s="10"/>
      <c r="G7" s="10"/>
      <c r="H7" s="10"/>
      <c r="I7" s="10"/>
      <c r="J7" s="10"/>
      <c r="K7" s="10"/>
    </row>
    <row r="8" spans="1:13" x14ac:dyDescent="0.3">
      <c r="C8" s="10"/>
      <c r="D8" s="10"/>
      <c r="E8" s="10"/>
      <c r="F8" s="10"/>
      <c r="G8" s="10"/>
      <c r="H8" s="10"/>
      <c r="I8" s="10"/>
      <c r="J8" s="10"/>
      <c r="K8" s="10"/>
    </row>
    <row r="9" spans="1:13" x14ac:dyDescent="0.3">
      <c r="A9" s="36">
        <v>0.75</v>
      </c>
      <c r="C9" s="10">
        <f>C2*0.75</f>
        <v>789751.14637500001</v>
      </c>
      <c r="D9" s="10">
        <f t="shared" ref="D9" si="3">D2*0.75</f>
        <v>929118.99600000004</v>
      </c>
      <c r="E9" s="10">
        <f>SUM(C9:D9)</f>
        <v>1718870.1423750001</v>
      </c>
      <c r="F9" s="10"/>
      <c r="G9" s="10"/>
      <c r="H9" s="10"/>
      <c r="I9" s="10"/>
      <c r="J9" s="10"/>
      <c r="K9" s="10"/>
    </row>
    <row r="10" spans="1:13" x14ac:dyDescent="0.3">
      <c r="A10" s="36"/>
      <c r="C10" s="10"/>
      <c r="D10" s="10"/>
      <c r="E10" s="10"/>
      <c r="F10" s="10"/>
      <c r="G10" s="10"/>
      <c r="H10" s="10"/>
      <c r="I10" s="10"/>
      <c r="J10" s="10"/>
      <c r="K10" s="10"/>
    </row>
    <row r="11" spans="1:13" x14ac:dyDescent="0.3">
      <c r="A11" s="36" t="s">
        <v>190</v>
      </c>
      <c r="B11" s="4" t="s">
        <v>192</v>
      </c>
      <c r="C11" s="13" t="s">
        <v>246</v>
      </c>
      <c r="D11" s="13" t="s">
        <v>247</v>
      </c>
      <c r="E11" s="13" t="s">
        <v>156</v>
      </c>
      <c r="F11" s="13"/>
      <c r="G11" s="13"/>
      <c r="H11" s="13"/>
      <c r="I11" s="13"/>
      <c r="J11" s="13"/>
      <c r="K11" s="13"/>
      <c r="M11" s="11"/>
    </row>
    <row r="12" spans="1:13" x14ac:dyDescent="0.3">
      <c r="A12" s="4" t="s">
        <v>53</v>
      </c>
      <c r="B12" s="4">
        <v>0.16133140700655793</v>
      </c>
      <c r="C12" s="10">
        <f>Table517[[#This Row],[Adjusted % (W/Floors)]]*$C$9</f>
        <v>127411.66362972083</v>
      </c>
      <c r="D12" s="10">
        <f t="shared" ref="D12:D57" si="4">B12*$D$9</f>
        <v>149896.07490120048</v>
      </c>
      <c r="E12" s="10">
        <f>SUM(Table517[[#This Row],[Emergent - 12/1/2023]:[Payment 1 - 12/1/23]])</f>
        <v>277307.73853092128</v>
      </c>
      <c r="F12" s="10"/>
      <c r="G12" s="10"/>
      <c r="H12" s="10"/>
      <c r="I12" s="10"/>
      <c r="J12" s="10"/>
      <c r="K12" s="10"/>
      <c r="M12" s="11"/>
    </row>
    <row r="13" spans="1:13" x14ac:dyDescent="0.3">
      <c r="A13" s="4" t="s">
        <v>251</v>
      </c>
      <c r="B13" s="4">
        <v>0.12736701819588556</v>
      </c>
      <c r="C13" s="10">
        <f>Table517[[#This Row],[Adjusted % (W/Floors)]]*$C$9</f>
        <v>100588.2486305661</v>
      </c>
      <c r="D13" s="10">
        <f t="shared" si="4"/>
        <v>118339.11606967493</v>
      </c>
      <c r="E13" s="10">
        <f>SUM(Table517[[#This Row],[Emergent - 12/1/2023]:[Payment 1 - 12/1/23]])</f>
        <v>218927.36470024101</v>
      </c>
      <c r="F13" s="10"/>
      <c r="G13" s="10"/>
      <c r="H13" s="10"/>
      <c r="I13" s="10"/>
      <c r="J13" s="10"/>
      <c r="K13" s="10"/>
    </row>
    <row r="14" spans="1:13" x14ac:dyDescent="0.3">
      <c r="A14" s="4" t="s">
        <v>256</v>
      </c>
      <c r="B14" s="4">
        <v>6.5847645816839454E-2</v>
      </c>
      <c r="C14" s="10">
        <f>Table517[[#This Row],[Adjusted % (W/Floors)]]*$C$9</f>
        <v>52003.253769943934</v>
      </c>
      <c r="D14" s="10">
        <f t="shared" si="4"/>
        <v>61180.298570305473</v>
      </c>
      <c r="E14" s="10">
        <f>SUM(Table517[[#This Row],[Emergent - 12/1/2023]:[Payment 1 - 12/1/23]])</f>
        <v>113183.55234024941</v>
      </c>
      <c r="F14" s="10"/>
      <c r="G14" s="10"/>
      <c r="H14" s="10"/>
      <c r="I14" s="10"/>
      <c r="J14" s="10"/>
      <c r="K14" s="10"/>
    </row>
    <row r="15" spans="1:13" x14ac:dyDescent="0.3">
      <c r="A15" s="4" t="s">
        <v>268</v>
      </c>
      <c r="B15" s="4">
        <v>5.8748128550104556E-2</v>
      </c>
      <c r="C15" s="10">
        <f>Table517[[#This Row],[Adjusted % (W/Floors)]]*$C$9</f>
        <v>46396.401869830937</v>
      </c>
      <c r="D15" s="10">
        <f t="shared" si="4"/>
        <v>54584.002215352084</v>
      </c>
      <c r="E15" s="10">
        <f>SUM(Table517[[#This Row],[Emergent - 12/1/2023]:[Payment 1 - 12/1/23]])</f>
        <v>100980.40408518302</v>
      </c>
      <c r="F15" s="10"/>
      <c r="G15" s="10"/>
      <c r="H15" s="10"/>
      <c r="I15" s="10"/>
      <c r="J15" s="10"/>
      <c r="K15" s="10"/>
    </row>
    <row r="16" spans="1:13" x14ac:dyDescent="0.3">
      <c r="A16" s="4" t="s">
        <v>258</v>
      </c>
      <c r="B16" s="4">
        <v>5.4428104680489961E-2</v>
      </c>
      <c r="C16" s="10">
        <f>Table517[[#This Row],[Adjusted % (W/Floors)]]*$C$9</f>
        <v>42984.658066435448</v>
      </c>
      <c r="D16" s="10">
        <f t="shared" si="4"/>
        <v>50570.185974919739</v>
      </c>
      <c r="E16" s="10">
        <f>SUM(Table517[[#This Row],[Emergent - 12/1/2023]:[Payment 1 - 12/1/23]])</f>
        <v>93554.844041355187</v>
      </c>
      <c r="F16" s="10"/>
      <c r="G16" s="10"/>
      <c r="H16" s="10"/>
      <c r="I16" s="10"/>
      <c r="J16" s="10"/>
      <c r="K16" s="10"/>
    </row>
    <row r="17" spans="1:11" x14ac:dyDescent="0.3">
      <c r="A17" s="4" t="s">
        <v>253</v>
      </c>
      <c r="B17" s="4">
        <v>4.3676778566620646E-2</v>
      </c>
      <c r="C17" s="10">
        <f>Table517[[#This Row],[Adjusted % (W/Floors)]]*$C$9</f>
        <v>34493.785942955685</v>
      </c>
      <c r="D17" s="10">
        <f t="shared" si="4"/>
        <v>40580.924650332898</v>
      </c>
      <c r="E17" s="10">
        <f>SUM(Table517[[#This Row],[Emergent - 12/1/2023]:[Payment 1 - 12/1/23]])</f>
        <v>75074.71059328859</v>
      </c>
      <c r="F17" s="10"/>
      <c r="G17" s="10"/>
      <c r="H17" s="10"/>
      <c r="I17" s="10"/>
      <c r="J17" s="10"/>
      <c r="K17" s="10"/>
    </row>
    <row r="18" spans="1:11" x14ac:dyDescent="0.3">
      <c r="A18" s="4" t="s">
        <v>248</v>
      </c>
      <c r="B18" s="4">
        <v>3.814732726339045E-2</v>
      </c>
      <c r="C18" s="10">
        <f>Table517[[#This Row],[Adjusted % (W/Floors)]]*$C$9</f>
        <v>30126.895437404899</v>
      </c>
      <c r="D18" s="10">
        <f t="shared" si="4"/>
        <v>35443.406407044764</v>
      </c>
      <c r="E18" s="10">
        <f>SUM(Table517[[#This Row],[Emergent - 12/1/2023]:[Payment 1 - 12/1/23]])</f>
        <v>65570.301844449656</v>
      </c>
      <c r="F18" s="10"/>
      <c r="G18" s="10"/>
      <c r="H18" s="10"/>
      <c r="I18" s="10"/>
      <c r="J18" s="10"/>
      <c r="K18" s="10"/>
    </row>
    <row r="19" spans="1:11" x14ac:dyDescent="0.3">
      <c r="A19" s="4" t="s">
        <v>280</v>
      </c>
      <c r="B19" s="4">
        <v>3.3160616069106572E-2</v>
      </c>
      <c r="C19" s="10">
        <f>Table517[[#This Row],[Adjusted % (W/Floors)]]*$C$9</f>
        <v>26188.634555078163</v>
      </c>
      <c r="D19" s="10">
        <f t="shared" si="4"/>
        <v>30810.158308869766</v>
      </c>
      <c r="E19" s="10">
        <f>SUM(Table517[[#This Row],[Emergent - 12/1/2023]:[Payment 1 - 12/1/23]])</f>
        <v>56998.792863947929</v>
      </c>
      <c r="F19" s="10"/>
      <c r="G19" s="10"/>
      <c r="H19" s="10"/>
      <c r="I19" s="10"/>
      <c r="J19" s="10"/>
      <c r="K19" s="10"/>
    </row>
    <row r="20" spans="1:11" x14ac:dyDescent="0.3">
      <c r="A20" s="4" t="s">
        <v>299</v>
      </c>
      <c r="B20" s="4">
        <v>3.1993556788112783E-2</v>
      </c>
      <c r="C20" s="10">
        <f>Table517[[#This Row],[Adjusted % (W/Floors)]]*$C$9</f>
        <v>25266.948150025735</v>
      </c>
      <c r="D20" s="10">
        <f t="shared" si="4"/>
        <v>29725.821361440336</v>
      </c>
      <c r="E20" s="10">
        <f>SUM(Table517[[#This Row],[Emergent - 12/1/2023]:[Payment 1 - 12/1/23]])</f>
        <v>54992.769511466075</v>
      </c>
      <c r="F20" s="10"/>
      <c r="G20" s="10"/>
      <c r="H20" s="10"/>
      <c r="I20" s="10"/>
      <c r="J20" s="10"/>
      <c r="K20" s="10"/>
    </row>
    <row r="21" spans="1:11" x14ac:dyDescent="0.3">
      <c r="A21" s="4" t="s">
        <v>283</v>
      </c>
      <c r="B21" s="4">
        <v>3.1872970507573761E-2</v>
      </c>
      <c r="C21" s="10">
        <f>Table517[[#This Row],[Adjusted % (W/Floors)]]*$C$9</f>
        <v>25171.714996732942</v>
      </c>
      <c r="D21" s="10">
        <f t="shared" si="4"/>
        <v>29613.782357534546</v>
      </c>
      <c r="E21" s="10">
        <f>SUM(Table517[[#This Row],[Emergent - 12/1/2023]:[Payment 1 - 12/1/23]])</f>
        <v>54785.497354267485</v>
      </c>
      <c r="F21" s="10"/>
      <c r="G21" s="10"/>
      <c r="H21" s="10"/>
      <c r="I21" s="10"/>
      <c r="J21" s="10"/>
      <c r="K21" s="10"/>
    </row>
    <row r="22" spans="1:11" x14ac:dyDescent="0.3">
      <c r="A22" s="4" t="s">
        <v>263</v>
      </c>
      <c r="B22" s="4">
        <v>3.085654223073302E-2</v>
      </c>
      <c r="C22" s="10">
        <f>Table517[[#This Row],[Adjusted % (W/Floors)]]*$C$9</f>
        <v>24368.989599890003</v>
      </c>
      <c r="D22" s="10">
        <f t="shared" si="4"/>
        <v>28669.399537450267</v>
      </c>
      <c r="E22" s="10">
        <f>SUM(Table517[[#This Row],[Emergent - 12/1/2023]:[Payment 1 - 12/1/23]])</f>
        <v>53038.389137340273</v>
      </c>
      <c r="F22" s="10"/>
      <c r="G22" s="10"/>
      <c r="H22" s="10"/>
      <c r="I22" s="10"/>
      <c r="J22" s="10"/>
      <c r="K22" s="10"/>
    </row>
    <row r="23" spans="1:11" x14ac:dyDescent="0.3">
      <c r="A23" s="4" t="s">
        <v>269</v>
      </c>
      <c r="B23" s="4">
        <v>2.9374064275052278E-2</v>
      </c>
      <c r="C23" s="10">
        <f>Table517[[#This Row],[Adjusted % (W/Floors)]]*$C$9</f>
        <v>23198.200934915469</v>
      </c>
      <c r="D23" s="10">
        <f t="shared" si="4"/>
        <v>27292.001107676042</v>
      </c>
      <c r="E23" s="10">
        <f>SUM(Table517[[#This Row],[Emergent - 12/1/2023]:[Payment 1 - 12/1/23]])</f>
        <v>50490.202042591511</v>
      </c>
      <c r="F23" s="10"/>
      <c r="G23" s="10"/>
      <c r="H23" s="10"/>
      <c r="I23" s="10"/>
      <c r="J23" s="10"/>
      <c r="K23" s="10"/>
    </row>
    <row r="24" spans="1:11" x14ac:dyDescent="0.3">
      <c r="A24" s="4" t="s">
        <v>271</v>
      </c>
      <c r="B24" s="4">
        <v>2.7587778148047293E-2</v>
      </c>
      <c r="C24" s="10">
        <f>Table517[[#This Row],[Adjusted % (W/Floors)]]*$C$9</f>
        <v>21787.479418359526</v>
      </c>
      <c r="D24" s="10">
        <f t="shared" si="4"/>
        <v>25632.328734784442</v>
      </c>
      <c r="E24" s="10">
        <f>SUM(Table517[[#This Row],[Emergent - 12/1/2023]:[Payment 1 - 12/1/23]])</f>
        <v>47419.808153143968</v>
      </c>
      <c r="F24" s="10"/>
      <c r="G24" s="10"/>
      <c r="H24" s="10"/>
      <c r="I24" s="10"/>
      <c r="J24" s="10"/>
      <c r="K24" s="10"/>
    </row>
    <row r="25" spans="1:11" x14ac:dyDescent="0.3">
      <c r="A25" s="4" t="s">
        <v>300</v>
      </c>
      <c r="B25" s="4">
        <v>2.6734151534586307E-2</v>
      </c>
      <c r="C25" s="10">
        <f>Table517[[#This Row],[Adjusted % (W/Floors)]]*$C$9</f>
        <v>21113.3268218025</v>
      </c>
      <c r="D25" s="10">
        <f t="shared" si="4"/>
        <v>24839.208032726689</v>
      </c>
      <c r="E25" s="10">
        <f>SUM(Table517[[#This Row],[Emergent - 12/1/2023]:[Payment 1 - 12/1/23]])</f>
        <v>45952.534854529193</v>
      </c>
      <c r="F25" s="10"/>
      <c r="G25" s="10"/>
      <c r="H25" s="10"/>
      <c r="I25" s="10"/>
      <c r="J25" s="10"/>
      <c r="K25" s="10"/>
    </row>
    <row r="26" spans="1:11" x14ac:dyDescent="0.3">
      <c r="A26" s="4" t="s">
        <v>254</v>
      </c>
      <c r="B26" s="4">
        <v>2.1838389283310323E-2</v>
      </c>
      <c r="C26" s="10">
        <f>Table517[[#This Row],[Adjusted % (W/Floors)]]*$C$9</f>
        <v>17246.892971477842</v>
      </c>
      <c r="D26" s="10">
        <f t="shared" si="4"/>
        <v>20290.462325166449</v>
      </c>
      <c r="E26" s="10">
        <f>SUM(Table517[[#This Row],[Emergent - 12/1/2023]:[Payment 1 - 12/1/23]])</f>
        <v>37537.355296644295</v>
      </c>
      <c r="F26" s="10"/>
      <c r="G26" s="10"/>
      <c r="H26" s="10"/>
      <c r="I26" s="10"/>
      <c r="J26" s="10"/>
      <c r="K26" s="10"/>
    </row>
    <row r="27" spans="1:11" x14ac:dyDescent="0.3">
      <c r="A27" s="4" t="s">
        <v>249</v>
      </c>
      <c r="B27" s="4">
        <v>1.9073663631695225E-2</v>
      </c>
      <c r="C27" s="10">
        <f>Table517[[#This Row],[Adjusted % (W/Floors)]]*$C$9</f>
        <v>15063.447718702449</v>
      </c>
      <c r="D27" s="10">
        <f t="shared" si="4"/>
        <v>17721.703203522382</v>
      </c>
      <c r="E27" s="10">
        <f>SUM(Table517[[#This Row],[Emergent - 12/1/2023]:[Payment 1 - 12/1/23]])</f>
        <v>32785.150922224828</v>
      </c>
      <c r="F27" s="10"/>
      <c r="G27" s="10"/>
      <c r="H27" s="10"/>
      <c r="I27" s="10"/>
      <c r="J27" s="10"/>
      <c r="K27" s="10"/>
    </row>
    <row r="28" spans="1:11" x14ac:dyDescent="0.3">
      <c r="A28" s="4" t="s">
        <v>301</v>
      </c>
      <c r="B28" s="4">
        <v>1.7767074617307466E-2</v>
      </c>
      <c r="C28" s="10">
        <f>Table517[[#This Row],[Adjusted % (W/Floors)]]*$C$9</f>
        <v>14031.567546748736</v>
      </c>
      <c r="D28" s="10">
        <f t="shared" si="4"/>
        <v>16507.726530289798</v>
      </c>
      <c r="E28" s="10">
        <f>SUM(Table517[[#This Row],[Emergent - 12/1/2023]:[Payment 1 - 12/1/23]])</f>
        <v>30539.294077038532</v>
      </c>
      <c r="F28" s="10"/>
      <c r="G28" s="10"/>
      <c r="H28" s="10"/>
      <c r="I28" s="10"/>
      <c r="J28" s="10"/>
      <c r="K28" s="10"/>
    </row>
    <row r="29" spans="1:11" x14ac:dyDescent="0.3">
      <c r="A29" s="4" t="s">
        <v>302</v>
      </c>
      <c r="B29" s="4">
        <v>1.5546107539845944E-2</v>
      </c>
      <c r="C29" s="10">
        <f>Table517[[#This Row],[Adjusted % (W/Floors)]]*$C$9</f>
        <v>12277.556251262366</v>
      </c>
      <c r="D29" s="10">
        <f t="shared" si="4"/>
        <v>14444.183829129694</v>
      </c>
      <c r="E29" s="10">
        <f>SUM(Table517[[#This Row],[Emergent - 12/1/2023]:[Payment 1 - 12/1/23]])</f>
        <v>26721.740080392061</v>
      </c>
      <c r="F29" s="10"/>
      <c r="G29" s="10"/>
      <c r="H29" s="10"/>
      <c r="I29" s="10"/>
      <c r="J29" s="10"/>
      <c r="K29" s="10"/>
    </row>
    <row r="30" spans="1:11" x14ac:dyDescent="0.3">
      <c r="A30" s="4" t="s">
        <v>303</v>
      </c>
      <c r="B30" s="4">
        <v>1.4171892435696434E-2</v>
      </c>
      <c r="C30" s="10">
        <f>Table517[[#This Row],[Adjusted % (W/Floors)]]*$C$9</f>
        <v>11192.26829739445</v>
      </c>
      <c r="D30" s="10">
        <f t="shared" si="4"/>
        <v>13167.374471274266</v>
      </c>
      <c r="E30" s="10">
        <f>SUM(Table517[[#This Row],[Emergent - 12/1/2023]:[Payment 1 - 12/1/23]])</f>
        <v>24359.642768668717</v>
      </c>
      <c r="F30" s="10"/>
      <c r="G30" s="10"/>
      <c r="H30" s="10"/>
      <c r="I30" s="10"/>
      <c r="J30" s="10"/>
      <c r="K30" s="10"/>
    </row>
    <row r="31" spans="1:11" x14ac:dyDescent="0.3">
      <c r="A31" s="4" t="s">
        <v>304</v>
      </c>
      <c r="B31" s="4">
        <v>1.3735429171127198E-2</v>
      </c>
      <c r="C31" s="10">
        <f>Table517[[#This Row],[Adjusted % (W/Floors)]]*$C$9</f>
        <v>10847.57093385032</v>
      </c>
      <c r="D31" s="10">
        <f t="shared" si="4"/>
        <v>12761.848161106815</v>
      </c>
      <c r="E31" s="10">
        <f>SUM(Table517[[#This Row],[Emergent - 12/1/2023]:[Payment 1 - 12/1/23]])</f>
        <v>23609.419094957135</v>
      </c>
      <c r="F31" s="10"/>
      <c r="G31" s="10"/>
      <c r="H31" s="10"/>
      <c r="I31" s="10"/>
      <c r="J31" s="10"/>
      <c r="K31" s="10"/>
    </row>
    <row r="32" spans="1:11" x14ac:dyDescent="0.3">
      <c r="A32" s="4" t="s">
        <v>259</v>
      </c>
      <c r="B32" s="4">
        <v>1.2816875400703686E-2</v>
      </c>
      <c r="C32" s="10">
        <f>Table517[[#This Row],[Adjusted % (W/Floors)]]*$C$9</f>
        <v>10122.142040651273</v>
      </c>
      <c r="D32" s="10">
        <f t="shared" si="4"/>
        <v>11908.402404158907</v>
      </c>
      <c r="E32" s="10">
        <f>SUM(Table517[[#This Row],[Emergent - 12/1/2023]:[Payment 1 - 12/1/23]])</f>
        <v>22030.544444810181</v>
      </c>
      <c r="F32" s="10"/>
      <c r="G32" s="10"/>
      <c r="H32" s="10"/>
      <c r="I32" s="10"/>
      <c r="J32" s="10"/>
      <c r="K32" s="10"/>
    </row>
    <row r="33" spans="1:11" x14ac:dyDescent="0.3">
      <c r="A33" s="4" t="s">
        <v>281</v>
      </c>
      <c r="B33" s="4">
        <v>1.1629650508606244E-2</v>
      </c>
      <c r="C33" s="10">
        <f>Table517[[#This Row],[Adjusted % (W/Floors)]]*$C$9</f>
        <v>9184.5298211123827</v>
      </c>
      <c r="D33" s="10">
        <f t="shared" si="4"/>
        <v>10805.329204387122</v>
      </c>
      <c r="E33" s="10">
        <f>SUM(Table517[[#This Row],[Emergent - 12/1/2023]:[Payment 1 - 12/1/23]])</f>
        <v>19989.859025499507</v>
      </c>
      <c r="F33" s="10"/>
      <c r="G33" s="10"/>
      <c r="H33" s="10"/>
      <c r="I33" s="10"/>
      <c r="J33" s="10"/>
      <c r="K33" s="10"/>
    </row>
    <row r="34" spans="1:11" x14ac:dyDescent="0.3">
      <c r="A34" s="4" t="s">
        <v>282</v>
      </c>
      <c r="B34" s="4">
        <v>1.1269521211320787E-2</v>
      </c>
      <c r="C34" s="10">
        <f>Table517[[#This Row],[Adjusted % (W/Floors)]]*$C$9</f>
        <v>8900.1172957379695</v>
      </c>
      <c r="D34" s="10">
        <f t="shared" si="4"/>
        <v>10470.726233263074</v>
      </c>
      <c r="E34" s="10">
        <f>SUM(Table517[[#This Row],[Emergent - 12/1/2023]:[Payment 1 - 12/1/23]])</f>
        <v>19370.843529001046</v>
      </c>
      <c r="F34" s="10"/>
      <c r="G34" s="10"/>
      <c r="H34" s="10"/>
      <c r="I34" s="10"/>
      <c r="J34" s="10"/>
      <c r="K34" s="10"/>
    </row>
    <row r="35" spans="1:11" x14ac:dyDescent="0.3">
      <c r="A35" s="4" t="s">
        <v>250</v>
      </c>
      <c r="B35" s="4">
        <v>1.0576964870387217E-2</v>
      </c>
      <c r="C35" s="10">
        <f>Table517[[#This Row],[Adjusted % (W/Floors)]]*$C$9</f>
        <v>8353.1701315564078</v>
      </c>
      <c r="D35" s="10">
        <f t="shared" si="4"/>
        <v>9827.2589811014404</v>
      </c>
      <c r="E35" s="10">
        <f>SUM(Table517[[#This Row],[Emergent - 12/1/2023]:[Payment 1 - 12/1/23]])</f>
        <v>18180.429112657846</v>
      </c>
      <c r="F35" s="10"/>
      <c r="G35" s="10"/>
      <c r="H35" s="10"/>
      <c r="I35" s="10"/>
      <c r="J35" s="10"/>
      <c r="K35" s="10"/>
    </row>
    <row r="36" spans="1:11" x14ac:dyDescent="0.3">
      <c r="A36" s="4" t="s">
        <v>284</v>
      </c>
      <c r="B36" s="4">
        <v>9.3339280849321863E-3</v>
      </c>
      <c r="C36" s="10">
        <f>Table517[[#This Row],[Adjusted % (W/Floors)]]*$C$9</f>
        <v>7371.4804052570025</v>
      </c>
      <c r="D36" s="10">
        <f t="shared" si="4"/>
        <v>8672.3298910083959</v>
      </c>
      <c r="E36" s="10">
        <f>SUM(Table517[[#This Row],[Emergent - 12/1/2023]:[Payment 1 - 12/1/23]])</f>
        <v>16043.810296265397</v>
      </c>
      <c r="F36" s="10"/>
      <c r="G36" s="10"/>
      <c r="H36" s="10"/>
      <c r="I36" s="10"/>
      <c r="J36" s="10"/>
      <c r="K36" s="10"/>
    </row>
    <row r="37" spans="1:11" x14ac:dyDescent="0.3">
      <c r="A37" s="4" t="s">
        <v>276</v>
      </c>
      <c r="B37" s="4">
        <v>8.4783154643170502E-3</v>
      </c>
      <c r="C37" s="10">
        <f>Table517[[#This Row],[Adjusted % (W/Floors)]]*$C$9</f>
        <v>6695.7593572732812</v>
      </c>
      <c r="D37" s="10">
        <f t="shared" si="4"/>
        <v>7877.3639519775315</v>
      </c>
      <c r="E37" s="10">
        <f>SUM(Table517[[#This Row],[Emergent - 12/1/2023]:[Payment 1 - 12/1/23]])</f>
        <v>14573.123309250812</v>
      </c>
      <c r="F37" s="10"/>
      <c r="G37" s="10"/>
      <c r="H37" s="10"/>
      <c r="I37" s="10"/>
      <c r="J37" s="10"/>
      <c r="K37" s="10"/>
    </row>
    <row r="38" spans="1:11" x14ac:dyDescent="0.3">
      <c r="A38" s="4" t="s">
        <v>257</v>
      </c>
      <c r="B38" s="4">
        <v>6.5944603704570148E-3</v>
      </c>
      <c r="C38" s="10">
        <f>Table517[[#This Row],[Adjusted % (W/Floors)]]*$C$9</f>
        <v>5207.9826372929347</v>
      </c>
      <c r="D38" s="10">
        <f t="shared" si="4"/>
        <v>6127.0383985608096</v>
      </c>
      <c r="E38" s="10">
        <f>SUM(Table517[[#This Row],[Emergent - 12/1/2023]:[Payment 1 - 12/1/23]])</f>
        <v>11335.021035853744</v>
      </c>
      <c r="F38" s="10"/>
      <c r="G38" s="10"/>
      <c r="H38" s="10"/>
      <c r="I38" s="10"/>
      <c r="J38" s="10"/>
      <c r="K38" s="10"/>
    </row>
    <row r="39" spans="1:11" x14ac:dyDescent="0.3">
      <c r="A39" s="4" t="s">
        <v>267</v>
      </c>
      <c r="B39" s="4">
        <v>6.5922197470010529E-3</v>
      </c>
      <c r="C39" s="10">
        <f>Table517[[#This Row],[Adjusted % (W/Floors)]]*$C$9</f>
        <v>5206.2131023499942</v>
      </c>
      <c r="D39" s="10">
        <f t="shared" si="4"/>
        <v>6124.9565927449921</v>
      </c>
      <c r="E39" s="10">
        <f>SUM(Table517[[#This Row],[Emergent - 12/1/2023]:[Payment 1 - 12/1/23]])</f>
        <v>11331.169695094986</v>
      </c>
      <c r="F39" s="10"/>
      <c r="G39" s="10"/>
      <c r="H39" s="10"/>
      <c r="I39" s="10"/>
      <c r="J39" s="10"/>
      <c r="K39" s="10"/>
    </row>
    <row r="40" spans="1:11" x14ac:dyDescent="0.3">
      <c r="A40" s="4" t="s">
        <v>255</v>
      </c>
      <c r="B40" s="4">
        <v>5.5293494567094752E-3</v>
      </c>
      <c r="C40" s="10">
        <f>Table517[[#This Row],[Adjusted % (W/Floors)]]*$C$9</f>
        <v>4366.8100721442916</v>
      </c>
      <c r="D40" s="10">
        <f t="shared" si="4"/>
        <v>5137.4236157510531</v>
      </c>
      <c r="E40" s="10">
        <f>SUM(Table517[[#This Row],[Emergent - 12/1/2023]:[Payment 1 - 12/1/23]])</f>
        <v>9504.2336878953447</v>
      </c>
      <c r="F40" s="10"/>
      <c r="G40" s="10"/>
      <c r="H40" s="10"/>
      <c r="I40" s="10"/>
      <c r="J40" s="10"/>
      <c r="K40" s="10"/>
    </row>
    <row r="41" spans="1:11" x14ac:dyDescent="0.3">
      <c r="A41" s="4" t="s">
        <v>252</v>
      </c>
      <c r="B41" s="4">
        <v>4.8455519165583006E-3</v>
      </c>
      <c r="C41" s="10">
        <f>Table517[[#This Row],[Adjusted % (W/Floors)]]*$C$9</f>
        <v>3826.7801809214961</v>
      </c>
      <c r="D41" s="10">
        <f t="shared" si="4"/>
        <v>4502.0943317785241</v>
      </c>
      <c r="E41" s="10">
        <f>SUM(Table517[[#This Row],[Emergent - 12/1/2023]:[Payment 1 - 12/1/23]])</f>
        <v>8328.8745127000202</v>
      </c>
      <c r="F41" s="10"/>
      <c r="G41" s="10"/>
      <c r="H41" s="10"/>
      <c r="I41" s="10"/>
      <c r="J41" s="10"/>
      <c r="K41" s="10"/>
    </row>
    <row r="42" spans="1:11" x14ac:dyDescent="0.3">
      <c r="A42" s="4" t="s">
        <v>264</v>
      </c>
      <c r="B42" s="4">
        <v>4.5146525707210703E-3</v>
      </c>
      <c r="C42" s="10">
        <f>Table517[[#This Row],[Adjusted % (W/Floors)]]*$C$9</f>
        <v>3565.4520432118061</v>
      </c>
      <c r="D42" s="10">
        <f t="shared" si="4"/>
        <v>4194.64946379718</v>
      </c>
      <c r="E42" s="10">
        <f>SUM(Table517[[#This Row],[Emergent - 12/1/2023]:[Payment 1 - 12/1/23]])</f>
        <v>7760.1015070089861</v>
      </c>
      <c r="F42" s="10"/>
      <c r="G42" s="10"/>
      <c r="H42" s="10"/>
      <c r="I42" s="10"/>
      <c r="J42" s="10"/>
      <c r="K42" s="10"/>
    </row>
    <row r="43" spans="1:11" x14ac:dyDescent="0.3">
      <c r="A43" s="4" t="s">
        <v>265</v>
      </c>
      <c r="B43" s="4">
        <v>4.1024797013448702E-3</v>
      </c>
      <c r="C43" s="10">
        <f>Table517[[#This Row],[Adjusted % (W/Floors)]]*$C$9</f>
        <v>3239.938047117279</v>
      </c>
      <c r="D43" s="10">
        <f t="shared" si="4"/>
        <v>3811.6918212239257</v>
      </c>
      <c r="E43" s="10">
        <f>SUM(Table517[[#This Row],[Emergent - 12/1/2023]:[Payment 1 - 12/1/23]])</f>
        <v>7051.6298683412042</v>
      </c>
      <c r="F43" s="10"/>
      <c r="G43" s="10"/>
      <c r="H43" s="10"/>
      <c r="I43" s="10"/>
      <c r="J43" s="10"/>
      <c r="K43" s="10"/>
    </row>
    <row r="44" spans="1:11" x14ac:dyDescent="0.3">
      <c r="A44" s="4" t="s">
        <v>266</v>
      </c>
      <c r="B44" s="4">
        <v>3.8141522011709088E-3</v>
      </c>
      <c r="C44" s="10">
        <f>Table517[[#This Row],[Adjusted % (W/Floors)]]*$C$9</f>
        <v>3012.2310733234549</v>
      </c>
      <c r="D44" s="10">
        <f t="shared" si="4"/>
        <v>3543.8012637431052</v>
      </c>
      <c r="E44" s="10">
        <f>SUM(Table517[[#This Row],[Emergent - 12/1/2023]:[Payment 1 - 12/1/23]])</f>
        <v>6556.0323370665601</v>
      </c>
      <c r="F44" s="10"/>
      <c r="G44" s="10"/>
      <c r="H44" s="10"/>
      <c r="I44" s="10"/>
      <c r="J44" s="10"/>
      <c r="K44" s="10"/>
    </row>
    <row r="45" spans="1:11" x14ac:dyDescent="0.3">
      <c r="A45" s="4" t="s">
        <v>287</v>
      </c>
      <c r="B45" s="4">
        <v>3.4223486359398151E-3</v>
      </c>
      <c r="C45" s="10">
        <f>Table517[[#This Row],[Adjusted % (W/Floors)]]*$C$9</f>
        <v>2702.8037585283864</v>
      </c>
      <c r="D45" s="10">
        <f t="shared" si="4"/>
        <v>3179.7691285863707</v>
      </c>
      <c r="E45" s="10">
        <f>SUM(Table517[[#This Row],[Emergent - 12/1/2023]:[Payment 1 - 12/1/23]])</f>
        <v>5882.5728871147567</v>
      </c>
      <c r="F45" s="10"/>
      <c r="G45" s="10"/>
      <c r="H45" s="10"/>
      <c r="I45" s="10"/>
      <c r="J45" s="10"/>
      <c r="K45" s="10"/>
    </row>
    <row r="46" spans="1:11" x14ac:dyDescent="0.3">
      <c r="A46" s="4" t="s">
        <v>278</v>
      </c>
      <c r="B46" s="4">
        <v>3.3792675576729179E-3</v>
      </c>
      <c r="C46" s="10">
        <f>Table517[[#This Row],[Adjusted % (W/Floors)]]*$C$9</f>
        <v>2668.7804275800331</v>
      </c>
      <c r="D46" s="10">
        <f t="shared" si="4"/>
        <v>3139.7416804004338</v>
      </c>
      <c r="E46" s="10">
        <f>SUM(Table517[[#This Row],[Emergent - 12/1/2023]:[Payment 1 - 12/1/23]])</f>
        <v>5808.5221079804669</v>
      </c>
      <c r="F46" s="10"/>
      <c r="G46" s="10"/>
      <c r="H46" s="10"/>
      <c r="I46" s="10"/>
      <c r="J46" s="10"/>
      <c r="K46" s="10"/>
    </row>
    <row r="47" spans="1:11" x14ac:dyDescent="0.3">
      <c r="A47" s="4" t="s">
        <v>261</v>
      </c>
      <c r="B47" s="4">
        <v>3.0516273004989039E-3</v>
      </c>
      <c r="C47" s="10">
        <f>Table517[[#This Row],[Adjusted % (W/Floors)]]*$C$9</f>
        <v>2410.026158878256</v>
      </c>
      <c r="D47" s="10">
        <f t="shared" si="4"/>
        <v>2835.3248936057321</v>
      </c>
      <c r="E47" s="10">
        <f>SUM(Table517[[#This Row],[Emergent - 12/1/2023]:[Payment 1 - 12/1/23]])</f>
        <v>5245.3510524839876</v>
      </c>
      <c r="F47" s="10"/>
      <c r="G47" s="10"/>
      <c r="H47" s="10"/>
      <c r="I47" s="10"/>
      <c r="J47" s="10"/>
      <c r="K47" s="10"/>
    </row>
    <row r="48" spans="1:11" x14ac:dyDescent="0.3">
      <c r="A48" s="4" t="s">
        <v>293</v>
      </c>
      <c r="B48" s="4">
        <v>2.6550369487937102E-3</v>
      </c>
      <c r="C48" s="10">
        <f>Table517[[#This Row],[Adjusted % (W/Floors)]]*$C$9</f>
        <v>2096.8184739778148</v>
      </c>
      <c r="D48" s="10">
        <f t="shared" si="4"/>
        <v>2466.8452642061156</v>
      </c>
      <c r="E48" s="10">
        <f>SUM(Table517[[#This Row],[Emergent - 12/1/2023]:[Payment 1 - 12/1/23]])</f>
        <v>4563.66373818393</v>
      </c>
      <c r="F48" s="10"/>
      <c r="G48" s="10"/>
      <c r="H48" s="10"/>
      <c r="I48" s="10"/>
      <c r="J48" s="10"/>
      <c r="K48" s="10"/>
    </row>
    <row r="49" spans="1:11" x14ac:dyDescent="0.3">
      <c r="A49" s="4" t="s">
        <v>288</v>
      </c>
      <c r="B49" s="4">
        <v>2.6112429448817338E-3</v>
      </c>
      <c r="C49" s="10">
        <f>Table517[[#This Row],[Adjusted % (W/Floors)]]*$C$9</f>
        <v>2062.2321091839804</v>
      </c>
      <c r="D49" s="10">
        <f t="shared" si="4"/>
        <v>2426.1554232605999</v>
      </c>
      <c r="E49" s="10">
        <f>SUM(Table517[[#This Row],[Emergent - 12/1/2023]:[Payment 1 - 12/1/23]])</f>
        <v>4488.3875324445798</v>
      </c>
      <c r="F49" s="10"/>
      <c r="G49" s="10"/>
      <c r="H49" s="10"/>
      <c r="I49" s="10"/>
      <c r="J49" s="10"/>
      <c r="K49" s="10"/>
    </row>
    <row r="50" spans="1:11" x14ac:dyDescent="0.3">
      <c r="A50" s="4" t="s">
        <v>279</v>
      </c>
      <c r="B50" s="4">
        <v>2.230956317459057E-3</v>
      </c>
      <c r="C50" s="10">
        <f>Table517[[#This Row],[Adjusted % (W/Floors)]]*$C$9</f>
        <v>1761.9003092258388</v>
      </c>
      <c r="D50" s="10">
        <f t="shared" si="4"/>
        <v>2072.8238937974165</v>
      </c>
      <c r="E50" s="10">
        <f>SUM(Table517[[#This Row],[Emergent - 12/1/2023]:[Payment 1 - 12/1/23]])</f>
        <v>3834.7242030232555</v>
      </c>
      <c r="F50" s="10"/>
      <c r="G50" s="10"/>
      <c r="H50" s="10"/>
      <c r="I50" s="10"/>
      <c r="J50" s="10"/>
      <c r="K50" s="10"/>
    </row>
    <row r="51" spans="1:11" x14ac:dyDescent="0.3">
      <c r="A51" s="4" t="s">
        <v>273</v>
      </c>
      <c r="B51" s="4">
        <v>2.230956317459057E-3</v>
      </c>
      <c r="C51" s="10">
        <f>Table517[[#This Row],[Adjusted % (W/Floors)]]*$C$9</f>
        <v>1761.9003092258388</v>
      </c>
      <c r="D51" s="10">
        <f t="shared" si="4"/>
        <v>2072.8238937974165</v>
      </c>
      <c r="E51" s="10">
        <f>SUM(Table517[[#This Row],[Emergent - 12/1/2023]:[Payment 1 - 12/1/23]])</f>
        <v>3834.7242030232555</v>
      </c>
      <c r="F51" s="10"/>
      <c r="G51" s="10"/>
      <c r="H51" s="10"/>
      <c r="I51" s="10"/>
      <c r="J51" s="10"/>
      <c r="K51" s="10"/>
    </row>
    <row r="52" spans="1:11" x14ac:dyDescent="0.3">
      <c r="A52" s="4" t="s">
        <v>260</v>
      </c>
      <c r="B52" s="4">
        <v>2.230956317459057E-3</v>
      </c>
      <c r="C52" s="10">
        <f>Table517[[#This Row],[Adjusted % (W/Floors)]]*$C$9</f>
        <v>1761.9003092258388</v>
      </c>
      <c r="D52" s="10">
        <f t="shared" si="4"/>
        <v>2072.8238937974165</v>
      </c>
      <c r="E52" s="10">
        <f>SUM(Table517[[#This Row],[Emergent - 12/1/2023]:[Payment 1 - 12/1/23]])</f>
        <v>3834.7242030232555</v>
      </c>
      <c r="F52" s="10"/>
      <c r="G52" s="10"/>
      <c r="H52" s="10"/>
      <c r="I52" s="10"/>
      <c r="J52" s="10"/>
      <c r="K52" s="10"/>
    </row>
    <row r="53" spans="1:11" x14ac:dyDescent="0.3">
      <c r="A53" s="4" t="s">
        <v>277</v>
      </c>
      <c r="B53" s="4">
        <v>2.230956317459057E-3</v>
      </c>
      <c r="C53" s="10">
        <f>Table517[[#This Row],[Adjusted % (W/Floors)]]*$C$9</f>
        <v>1761.9003092258388</v>
      </c>
      <c r="D53" s="10">
        <f t="shared" si="4"/>
        <v>2072.8238937974165</v>
      </c>
      <c r="E53" s="10">
        <f>SUM(Table517[[#This Row],[Emergent - 12/1/2023]:[Payment 1 - 12/1/23]])</f>
        <v>3834.7242030232555</v>
      </c>
      <c r="F53" s="10"/>
      <c r="G53" s="10"/>
      <c r="H53" s="10"/>
      <c r="I53" s="10"/>
      <c r="J53" s="10"/>
      <c r="K53" s="10"/>
    </row>
    <row r="54" spans="1:11" x14ac:dyDescent="0.3">
      <c r="A54" s="4" t="s">
        <v>275</v>
      </c>
      <c r="B54" s="4">
        <v>2.230956317459057E-3</v>
      </c>
      <c r="C54" s="10">
        <f>Table517[[#This Row],[Adjusted % (W/Floors)]]*$C$9</f>
        <v>1761.9003092258388</v>
      </c>
      <c r="D54" s="10">
        <f t="shared" si="4"/>
        <v>2072.8238937974165</v>
      </c>
      <c r="E54" s="10">
        <f>SUM(Table517[[#This Row],[Emergent - 12/1/2023]:[Payment 1 - 12/1/23]])</f>
        <v>3834.7242030232555</v>
      </c>
      <c r="F54" s="10"/>
      <c r="G54" s="10"/>
      <c r="H54" s="10"/>
      <c r="I54" s="10"/>
      <c r="J54" s="10"/>
      <c r="K54" s="10"/>
    </row>
    <row r="55" spans="1:11" x14ac:dyDescent="0.3">
      <c r="A55" s="4" t="s">
        <v>262</v>
      </c>
      <c r="B55" s="4">
        <v>2.230956317459057E-3</v>
      </c>
      <c r="C55" s="10">
        <f>Table517[[#This Row],[Adjusted % (W/Floors)]]*$C$9</f>
        <v>1761.9003092258388</v>
      </c>
      <c r="D55" s="10">
        <f t="shared" si="4"/>
        <v>2072.8238937974165</v>
      </c>
      <c r="E55" s="10">
        <f>SUM(Table517[[#This Row],[Emergent - 12/1/2023]:[Payment 1 - 12/1/23]])</f>
        <v>3834.7242030232555</v>
      </c>
      <c r="F55" s="10"/>
      <c r="G55" s="10"/>
      <c r="H55" s="10"/>
      <c r="I55" s="10"/>
      <c r="J55" s="10"/>
      <c r="K55" s="10"/>
    </row>
    <row r="56" spans="1:11" x14ac:dyDescent="0.3">
      <c r="A56" s="4" t="s">
        <v>285</v>
      </c>
      <c r="B56" s="4">
        <v>9.9891067527594865E-4</v>
      </c>
      <c r="C56" s="10">
        <f>Table517[[#This Row],[Adjusted % (W/Floors)]]*$C$9</f>
        <v>788.89085092540586</v>
      </c>
      <c r="D56" s="10">
        <f t="shared" si="4"/>
        <v>928.10688370607147</v>
      </c>
      <c r="E56" s="10">
        <f>SUM(Table517[[#This Row],[Emergent - 12/1/2023]:[Payment 1 - 12/1/23]])</f>
        <v>1716.9977346314772</v>
      </c>
      <c r="F56" s="10"/>
      <c r="G56" s="10"/>
      <c r="H56" s="10"/>
      <c r="I56" s="10"/>
      <c r="J56" s="10"/>
      <c r="K56" s="10"/>
    </row>
    <row r="57" spans="1:11" x14ac:dyDescent="0.3">
      <c r="A57" s="4" t="s">
        <v>291</v>
      </c>
      <c r="B57" s="4">
        <v>8.923825269836228E-4</v>
      </c>
      <c r="C57" s="10">
        <f>Table517[[#This Row],[Adjusted % (W/Floors)]]*$C$9</f>
        <v>704.76012369033549</v>
      </c>
      <c r="D57" s="10">
        <f t="shared" si="4"/>
        <v>829.12955751896652</v>
      </c>
      <c r="E57" s="10">
        <f>SUM(Table517[[#This Row],[Emergent - 12/1/2023]:[Payment 1 - 12/1/23]])</f>
        <v>1533.8896812093021</v>
      </c>
      <c r="F57" s="10"/>
      <c r="G57" s="10"/>
      <c r="H57" s="10"/>
      <c r="I57" s="10"/>
      <c r="J57" s="10"/>
      <c r="K57" s="10"/>
    </row>
    <row r="58" spans="1:11" x14ac:dyDescent="0.3">
      <c r="A58" s="4" t="s">
        <v>272</v>
      </c>
      <c r="B58" s="4">
        <v>8.923825269836228E-4</v>
      </c>
      <c r="C58" s="25">
        <f>Table517[[#This Row],[Adjusted % (W/Floors)]]*$C$9</f>
        <v>704.76012369033549</v>
      </c>
      <c r="D58" s="25">
        <f t="shared" ref="D58:D64" si="5">B58*$D$9</f>
        <v>829.12955751896652</v>
      </c>
      <c r="E58" s="25">
        <f>SUM(Table517[[#This Row],[Emergent - 12/1/2023]:[Payment 1 - 12/1/23]])</f>
        <v>1533.8896812093021</v>
      </c>
      <c r="F58" s="25"/>
      <c r="G58" s="25"/>
      <c r="H58" s="25"/>
      <c r="I58" s="25"/>
      <c r="J58" s="25"/>
      <c r="K58" s="25"/>
    </row>
    <row r="59" spans="1:11" x14ac:dyDescent="0.3">
      <c r="A59" s="4" t="s">
        <v>270</v>
      </c>
      <c r="B59" s="4">
        <v>8.923825269836228E-4</v>
      </c>
      <c r="C59" s="25">
        <f>Table517[[#This Row],[Adjusted % (W/Floors)]]*$C$9</f>
        <v>704.76012369033549</v>
      </c>
      <c r="D59" s="25">
        <f t="shared" si="5"/>
        <v>829.12955751896652</v>
      </c>
      <c r="E59" s="25">
        <f>SUM(Table517[[#This Row],[Emergent - 12/1/2023]:[Payment 1 - 12/1/23]])</f>
        <v>1533.8896812093021</v>
      </c>
      <c r="F59" s="25"/>
      <c r="G59" s="25"/>
      <c r="H59" s="25"/>
      <c r="I59" s="25"/>
      <c r="J59" s="25"/>
      <c r="K59" s="25"/>
    </row>
    <row r="60" spans="1:11" x14ac:dyDescent="0.3">
      <c r="A60" s="4" t="s">
        <v>289</v>
      </c>
      <c r="B60" s="4">
        <v>8.923825269836228E-4</v>
      </c>
      <c r="C60" s="25">
        <f>Table517[[#This Row],[Adjusted % (W/Floors)]]*$C$9</f>
        <v>704.76012369033549</v>
      </c>
      <c r="D60" s="25">
        <f t="shared" si="5"/>
        <v>829.12955751896652</v>
      </c>
      <c r="E60" s="25">
        <f>SUM(Table517[[#This Row],[Emergent - 12/1/2023]:[Payment 1 - 12/1/23]])</f>
        <v>1533.8896812093021</v>
      </c>
      <c r="F60" s="25"/>
      <c r="G60" s="25"/>
      <c r="H60" s="25"/>
      <c r="I60" s="25"/>
      <c r="J60" s="25"/>
      <c r="K60" s="25"/>
    </row>
    <row r="61" spans="1:11" x14ac:dyDescent="0.3">
      <c r="A61" s="4" t="s">
        <v>274</v>
      </c>
      <c r="B61" s="4">
        <v>8.923825269836228E-4</v>
      </c>
      <c r="C61" s="25">
        <f>Table517[[#This Row],[Adjusted % (W/Floors)]]*$C$9</f>
        <v>704.76012369033549</v>
      </c>
      <c r="D61" s="25">
        <f t="shared" si="5"/>
        <v>829.12955751896652</v>
      </c>
      <c r="E61" s="25">
        <f>SUM(Table517[[#This Row],[Emergent - 12/1/2023]:[Payment 1 - 12/1/23]])</f>
        <v>1533.8896812093021</v>
      </c>
      <c r="F61" s="25"/>
      <c r="G61" s="25"/>
      <c r="H61" s="25"/>
      <c r="I61" s="25"/>
      <c r="J61" s="25"/>
      <c r="K61" s="25"/>
    </row>
    <row r="62" spans="1:11" x14ac:dyDescent="0.3">
      <c r="A62" s="4" t="s">
        <v>290</v>
      </c>
      <c r="B62" s="4">
        <v>8.923825269836228E-4</v>
      </c>
      <c r="C62" s="25">
        <f>Table517[[#This Row],[Adjusted % (W/Floors)]]*$C$9</f>
        <v>704.76012369033549</v>
      </c>
      <c r="D62" s="25">
        <f t="shared" si="5"/>
        <v>829.12955751896652</v>
      </c>
      <c r="E62" s="25">
        <f>SUM(Table517[[#This Row],[Emergent - 12/1/2023]:[Payment 1 - 12/1/23]])</f>
        <v>1533.8896812093021</v>
      </c>
      <c r="F62" s="25"/>
      <c r="G62" s="25"/>
      <c r="H62" s="25"/>
      <c r="I62" s="25"/>
      <c r="J62" s="25"/>
      <c r="K62" s="25"/>
    </row>
    <row r="63" spans="1:11" x14ac:dyDescent="0.3">
      <c r="A63" s="4" t="s">
        <v>292</v>
      </c>
      <c r="B63" s="4">
        <v>8.923825269836228E-4</v>
      </c>
      <c r="C63" s="25">
        <f>Table517[[#This Row],[Adjusted % (W/Floors)]]*$C$9</f>
        <v>704.76012369033549</v>
      </c>
      <c r="D63" s="25">
        <f t="shared" si="5"/>
        <v>829.12955751896652</v>
      </c>
      <c r="E63" s="25">
        <f>SUM(Table517[[#This Row],[Emergent - 12/1/2023]:[Payment 1 - 12/1/23]])</f>
        <v>1533.8896812093021</v>
      </c>
      <c r="F63" s="25"/>
      <c r="G63" s="25"/>
      <c r="H63" s="25"/>
      <c r="I63" s="25"/>
      <c r="J63" s="25"/>
      <c r="K63" s="25"/>
    </row>
    <row r="64" spans="1:11" x14ac:dyDescent="0.3">
      <c r="A64" s="4" t="s">
        <v>286</v>
      </c>
      <c r="B64" s="4">
        <v>8.923825269836228E-4</v>
      </c>
      <c r="C64" s="25">
        <f>Table517[[#This Row],[Adjusted % (W/Floors)]]*$C$9</f>
        <v>704.76012369033549</v>
      </c>
      <c r="D64" s="25">
        <f t="shared" si="5"/>
        <v>829.12955751896652</v>
      </c>
      <c r="E64" s="25">
        <f>SUM(Table517[[#This Row],[Emergent - 12/1/2023]:[Payment 1 - 12/1/23]])</f>
        <v>1533.8896812093021</v>
      </c>
      <c r="F64" s="25"/>
      <c r="G64" s="25"/>
      <c r="H64" s="25"/>
      <c r="I64" s="25"/>
      <c r="J64" s="25"/>
      <c r="K64" s="25"/>
    </row>
    <row r="65" spans="3:11" x14ac:dyDescent="0.3">
      <c r="C65" s="13"/>
      <c r="D65" s="13"/>
      <c r="E65" s="13"/>
      <c r="F65" s="13"/>
      <c r="G65" s="13"/>
      <c r="H65" s="13"/>
      <c r="I65" s="13"/>
      <c r="J65" s="13"/>
      <c r="K65" s="13"/>
    </row>
    <row r="66" spans="3:11" x14ac:dyDescent="0.3">
      <c r="C66" s="13"/>
      <c r="D66" s="13"/>
      <c r="E66" s="13"/>
      <c r="F66" s="13"/>
      <c r="G66" s="13"/>
      <c r="H66" s="13"/>
      <c r="I66" s="13"/>
      <c r="J66" s="13"/>
      <c r="K66" s="13"/>
    </row>
    <row r="67" spans="3:11" x14ac:dyDescent="0.3">
      <c r="C67" s="13"/>
      <c r="D67" s="13"/>
      <c r="E67" s="13"/>
      <c r="F67" s="13"/>
      <c r="G67" s="13"/>
      <c r="H67" s="13"/>
      <c r="I67" s="13"/>
      <c r="J67" s="13"/>
      <c r="K67" s="13"/>
    </row>
    <row r="68" spans="3:11" x14ac:dyDescent="0.3">
      <c r="C68" s="13"/>
      <c r="D68" s="13"/>
      <c r="E68" s="13"/>
      <c r="F68" s="13"/>
      <c r="G68" s="13"/>
      <c r="H68" s="13"/>
      <c r="I68" s="13"/>
      <c r="J68" s="13"/>
      <c r="K68" s="13"/>
    </row>
    <row r="69" spans="3:11" x14ac:dyDescent="0.3">
      <c r="C69" s="13"/>
      <c r="D69" s="13"/>
      <c r="E69" s="13"/>
      <c r="F69" s="13"/>
      <c r="G69" s="13"/>
      <c r="H69" s="13"/>
      <c r="I69" s="13"/>
      <c r="J69" s="13"/>
      <c r="K69" s="13"/>
    </row>
    <row r="70" spans="3:11" x14ac:dyDescent="0.3">
      <c r="C70" s="13"/>
      <c r="D70" s="13"/>
      <c r="E70" s="13"/>
      <c r="F70" s="13"/>
      <c r="G70" s="13"/>
      <c r="H70" s="13"/>
      <c r="I70" s="13"/>
      <c r="J70" s="13"/>
      <c r="K70" s="13"/>
    </row>
    <row r="71" spans="3:11" x14ac:dyDescent="0.3">
      <c r="C71" s="13"/>
      <c r="D71" s="13"/>
      <c r="E71" s="13"/>
      <c r="F71" s="13"/>
      <c r="G71" s="13"/>
      <c r="H71" s="13"/>
      <c r="I71" s="13"/>
      <c r="J71" s="13"/>
      <c r="K71" s="13"/>
    </row>
    <row r="72" spans="3:11" x14ac:dyDescent="0.3">
      <c r="C72" s="13"/>
      <c r="D72" s="13"/>
      <c r="E72" s="13"/>
      <c r="F72" s="13"/>
      <c r="G72" s="13"/>
      <c r="H72" s="13"/>
      <c r="I72" s="13"/>
      <c r="J72" s="13"/>
      <c r="K72" s="13"/>
    </row>
    <row r="73" spans="3:11" x14ac:dyDescent="0.3">
      <c r="C73" s="13"/>
      <c r="D73" s="13"/>
      <c r="E73" s="13"/>
      <c r="F73" s="13"/>
      <c r="G73" s="13"/>
      <c r="H73" s="13"/>
      <c r="I73" s="13"/>
      <c r="J73" s="13"/>
      <c r="K73" s="13"/>
    </row>
    <row r="74" spans="3:11" x14ac:dyDescent="0.3">
      <c r="C74" s="13"/>
      <c r="D74" s="13"/>
      <c r="E74" s="13"/>
      <c r="F74" s="13"/>
      <c r="G74" s="13"/>
      <c r="H74" s="13"/>
      <c r="I74" s="13"/>
      <c r="J74" s="13"/>
      <c r="K74" s="13"/>
    </row>
    <row r="75" spans="3:11" x14ac:dyDescent="0.3">
      <c r="C75" s="13"/>
      <c r="D75" s="13"/>
      <c r="E75" s="13"/>
      <c r="F75" s="13"/>
      <c r="G75" s="13"/>
      <c r="H75" s="13"/>
      <c r="I75" s="13"/>
      <c r="J75" s="13"/>
      <c r="K75" s="13"/>
    </row>
    <row r="76" spans="3:11" x14ac:dyDescent="0.3">
      <c r="C76" s="13"/>
      <c r="D76" s="13"/>
      <c r="E76" s="13"/>
      <c r="F76" s="13"/>
      <c r="G76" s="13"/>
      <c r="H76" s="13"/>
      <c r="I76" s="13"/>
      <c r="J76" s="13"/>
      <c r="K76" s="13"/>
    </row>
    <row r="77" spans="3:11" x14ac:dyDescent="0.3">
      <c r="C77" s="13"/>
      <c r="D77" s="13"/>
      <c r="E77" s="13"/>
      <c r="F77" s="13"/>
      <c r="G77" s="13"/>
      <c r="H77" s="13"/>
      <c r="I77" s="13"/>
      <c r="J77" s="13"/>
      <c r="K77" s="13"/>
    </row>
    <row r="78" spans="3:11" x14ac:dyDescent="0.3">
      <c r="C78" s="13"/>
      <c r="D78" s="13"/>
      <c r="E78" s="13"/>
      <c r="F78" s="13"/>
      <c r="G78" s="13"/>
      <c r="H78" s="13"/>
      <c r="I78" s="13"/>
      <c r="J78" s="13"/>
      <c r="K78" s="13"/>
    </row>
    <row r="79" spans="3:11" x14ac:dyDescent="0.3">
      <c r="C79" s="13"/>
      <c r="D79" s="13"/>
      <c r="E79" s="13"/>
      <c r="F79" s="13"/>
      <c r="G79" s="13"/>
      <c r="H79" s="13"/>
      <c r="I79" s="13"/>
      <c r="J79" s="13"/>
      <c r="K79" s="13"/>
    </row>
    <row r="80" spans="3:11" x14ac:dyDescent="0.3">
      <c r="C80" s="13"/>
      <c r="D80" s="13"/>
      <c r="E80" s="13"/>
      <c r="F80" s="13"/>
      <c r="G80" s="13"/>
      <c r="H80" s="13"/>
      <c r="I80" s="13"/>
      <c r="J80" s="13"/>
      <c r="K80" s="13"/>
    </row>
    <row r="81" spans="3:11" x14ac:dyDescent="0.3">
      <c r="C81" s="13"/>
      <c r="D81" s="13"/>
      <c r="E81" s="13"/>
      <c r="F81" s="13"/>
      <c r="G81" s="13"/>
      <c r="H81" s="13"/>
      <c r="I81" s="13"/>
      <c r="J81" s="13"/>
      <c r="K81" s="13"/>
    </row>
    <row r="82" spans="3:11" x14ac:dyDescent="0.3">
      <c r="C82" s="13"/>
      <c r="D82" s="13"/>
      <c r="E82" s="13"/>
      <c r="F82" s="13"/>
      <c r="G82" s="13"/>
      <c r="H82" s="13"/>
      <c r="I82" s="13"/>
      <c r="J82" s="13"/>
      <c r="K82" s="13"/>
    </row>
    <row r="83" spans="3:11" x14ac:dyDescent="0.3">
      <c r="C83" s="13"/>
      <c r="D83" s="13"/>
      <c r="E83" s="13"/>
      <c r="F83" s="13"/>
      <c r="G83" s="13"/>
      <c r="H83" s="13"/>
      <c r="I83" s="13"/>
      <c r="J83" s="13"/>
      <c r="K83" s="13"/>
    </row>
    <row r="84" spans="3:11" x14ac:dyDescent="0.3">
      <c r="C84" s="13"/>
      <c r="D84" s="13"/>
      <c r="E84" s="13"/>
      <c r="F84" s="13"/>
      <c r="G84" s="13"/>
      <c r="H84" s="13"/>
      <c r="I84" s="13"/>
      <c r="J84" s="13"/>
      <c r="K84" s="13"/>
    </row>
    <row r="85" spans="3:11" x14ac:dyDescent="0.3">
      <c r="C85" s="13"/>
      <c r="D85" s="13"/>
      <c r="E85" s="13"/>
      <c r="F85" s="13"/>
      <c r="G85" s="13"/>
      <c r="H85" s="13"/>
      <c r="I85" s="13"/>
      <c r="J85" s="13"/>
      <c r="K85" s="13"/>
    </row>
    <row r="86" spans="3:11" x14ac:dyDescent="0.3">
      <c r="C86" s="13"/>
      <c r="D86" s="13"/>
      <c r="E86" s="13"/>
      <c r="F86" s="13"/>
      <c r="G86" s="13"/>
      <c r="H86" s="13"/>
      <c r="I86" s="13"/>
      <c r="J86" s="13"/>
      <c r="K86" s="13"/>
    </row>
    <row r="87" spans="3:11" x14ac:dyDescent="0.3">
      <c r="C87" s="13"/>
      <c r="D87" s="13"/>
      <c r="E87" s="13"/>
      <c r="F87" s="13"/>
      <c r="G87" s="13"/>
      <c r="H87" s="13"/>
      <c r="I87" s="13"/>
      <c r="J87" s="13"/>
      <c r="K87" s="13"/>
    </row>
    <row r="88" spans="3:11" x14ac:dyDescent="0.3">
      <c r="C88" s="13"/>
      <c r="D88" s="13"/>
      <c r="E88" s="13"/>
      <c r="F88" s="13"/>
      <c r="G88" s="13"/>
      <c r="H88" s="13"/>
      <c r="I88" s="13"/>
      <c r="J88" s="13"/>
      <c r="K88" s="13"/>
    </row>
    <row r="89" spans="3:11" x14ac:dyDescent="0.3">
      <c r="C89" s="13"/>
      <c r="D89" s="13"/>
      <c r="E89" s="13"/>
      <c r="F89" s="13"/>
      <c r="G89" s="13"/>
      <c r="H89" s="13"/>
      <c r="I89" s="13"/>
      <c r="J89" s="13"/>
      <c r="K89" s="13"/>
    </row>
    <row r="90" spans="3:11" x14ac:dyDescent="0.3">
      <c r="E90" s="9"/>
    </row>
  </sheetData>
  <pageMargins left="0.7" right="0.7" top="0.75" bottom="0.75" header="0.3" footer="0.3"/>
  <pageSetup orientation="portrait" copies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8"/>
  <sheetViews>
    <sheetView workbookViewId="0">
      <selection activeCell="B3" sqref="B3"/>
    </sheetView>
  </sheetViews>
  <sheetFormatPr defaultRowHeight="14.4" x14ac:dyDescent="0.3"/>
  <cols>
    <col min="1" max="1" width="52.5546875" bestFit="1" customWidth="1"/>
    <col min="2" max="2" width="26.21875" bestFit="1" customWidth="1"/>
  </cols>
  <sheetData>
    <row r="2" spans="1:2" x14ac:dyDescent="0.3">
      <c r="A2" t="s">
        <v>190</v>
      </c>
      <c r="B2" s="3" t="s">
        <v>242</v>
      </c>
    </row>
    <row r="3" spans="1:2" x14ac:dyDescent="0.3">
      <c r="A3" t="s">
        <v>194</v>
      </c>
      <c r="B3" s="3">
        <v>-2.286420734890271E-3</v>
      </c>
    </row>
    <row r="4" spans="1:2" x14ac:dyDescent="0.3">
      <c r="A4" t="s">
        <v>82</v>
      </c>
      <c r="B4" s="3">
        <v>-781.63644159940668</v>
      </c>
    </row>
    <row r="5" spans="1:2" x14ac:dyDescent="0.3">
      <c r="A5" t="s">
        <v>195</v>
      </c>
      <c r="B5" s="3">
        <v>6273.6124460863648</v>
      </c>
    </row>
    <row r="6" spans="1:2" x14ac:dyDescent="0.3">
      <c r="A6" t="s">
        <v>83</v>
      </c>
      <c r="B6" s="3">
        <v>186.60196657018605</v>
      </c>
    </row>
    <row r="7" spans="1:2" x14ac:dyDescent="0.3">
      <c r="A7" t="s">
        <v>196</v>
      </c>
      <c r="B7" s="3">
        <v>260.90253997187574</v>
      </c>
    </row>
    <row r="8" spans="1:2" x14ac:dyDescent="0.3">
      <c r="A8" t="s">
        <v>197</v>
      </c>
      <c r="B8" s="3">
        <v>843.86237213386266</v>
      </c>
    </row>
    <row r="9" spans="1:2" x14ac:dyDescent="0.3">
      <c r="A9" t="s">
        <v>198</v>
      </c>
      <c r="B9" s="3">
        <v>238.67336491402511</v>
      </c>
    </row>
    <row r="10" spans="1:2" x14ac:dyDescent="0.3">
      <c r="A10" t="s">
        <v>84</v>
      </c>
      <c r="B10" s="3">
        <v>47.799593108888075</v>
      </c>
    </row>
    <row r="11" spans="1:2" x14ac:dyDescent="0.3">
      <c r="A11" t="s">
        <v>79</v>
      </c>
      <c r="B11" s="3">
        <v>1869.7486341548938</v>
      </c>
    </row>
    <row r="12" spans="1:2" x14ac:dyDescent="0.3">
      <c r="A12" t="s">
        <v>199</v>
      </c>
      <c r="B12" s="3">
        <v>1954.0899607881511</v>
      </c>
    </row>
    <row r="13" spans="1:2" x14ac:dyDescent="0.3">
      <c r="A13" t="s">
        <v>85</v>
      </c>
      <c r="B13" s="3">
        <v>-1.1432103674451355E-3</v>
      </c>
    </row>
    <row r="14" spans="1:2" x14ac:dyDescent="0.3">
      <c r="A14" t="s">
        <v>200</v>
      </c>
      <c r="B14" s="3">
        <v>3243.4033252366498</v>
      </c>
    </row>
    <row r="15" spans="1:2" x14ac:dyDescent="0.3">
      <c r="A15" t="s">
        <v>71</v>
      </c>
      <c r="B15" s="3">
        <v>2818.8493469260429</v>
      </c>
    </row>
    <row r="16" spans="1:2" x14ac:dyDescent="0.3">
      <c r="A16" t="s">
        <v>201</v>
      </c>
      <c r="B16" s="3">
        <v>671.63215926610428</v>
      </c>
    </row>
    <row r="17" spans="1:2" x14ac:dyDescent="0.3">
      <c r="A17" t="s">
        <v>202</v>
      </c>
      <c r="B17" s="3">
        <v>209.45512606195189</v>
      </c>
    </row>
    <row r="18" spans="1:2" x14ac:dyDescent="0.3">
      <c r="A18" t="s">
        <v>203</v>
      </c>
      <c r="B18" s="3">
        <v>2680.9203809361497</v>
      </c>
    </row>
    <row r="19" spans="1:2" x14ac:dyDescent="0.3">
      <c r="A19" t="s">
        <v>76</v>
      </c>
      <c r="B19" s="3">
        <v>2329.998476327979</v>
      </c>
    </row>
    <row r="20" spans="1:2" x14ac:dyDescent="0.3">
      <c r="A20" t="s">
        <v>86</v>
      </c>
      <c r="B20" s="3">
        <v>-2.2864207312522922E-4</v>
      </c>
    </row>
    <row r="21" spans="1:2" x14ac:dyDescent="0.3">
      <c r="A21" t="s">
        <v>204</v>
      </c>
      <c r="B21" s="3">
        <v>186.82209434733613</v>
      </c>
    </row>
    <row r="22" spans="1:2" x14ac:dyDescent="0.3">
      <c r="A22" t="s">
        <v>205</v>
      </c>
      <c r="B22" s="3">
        <v>404.14493608683915</v>
      </c>
    </row>
    <row r="23" spans="1:2" x14ac:dyDescent="0.3">
      <c r="A23" t="s">
        <v>80</v>
      </c>
      <c r="B23" s="3">
        <v>351.24330060577631</v>
      </c>
    </row>
    <row r="24" spans="1:2" x14ac:dyDescent="0.3">
      <c r="A24" t="s">
        <v>206</v>
      </c>
      <c r="B24" s="3">
        <v>187.87055753894037</v>
      </c>
    </row>
    <row r="25" spans="1:2" x14ac:dyDescent="0.3">
      <c r="A25" t="s">
        <v>87</v>
      </c>
      <c r="B25" s="3">
        <v>-5.7160518372256774E-4</v>
      </c>
    </row>
    <row r="26" spans="1:2" x14ac:dyDescent="0.3">
      <c r="A26" t="s">
        <v>207</v>
      </c>
      <c r="B26" s="3">
        <v>208.05606165401696</v>
      </c>
    </row>
    <row r="27" spans="1:2" x14ac:dyDescent="0.3">
      <c r="A27" t="s">
        <v>208</v>
      </c>
      <c r="B27" s="3">
        <v>1301.6444778123332</v>
      </c>
    </row>
    <row r="28" spans="1:2" x14ac:dyDescent="0.3">
      <c r="A28" t="s">
        <v>239</v>
      </c>
      <c r="B28" s="3">
        <v>-16776.587682673315</v>
      </c>
    </row>
    <row r="29" spans="1:2" x14ac:dyDescent="0.3">
      <c r="A29" t="s">
        <v>78</v>
      </c>
      <c r="B29" s="3">
        <v>1248.6877656971701</v>
      </c>
    </row>
    <row r="30" spans="1:2" x14ac:dyDescent="0.3">
      <c r="A30" t="s">
        <v>209</v>
      </c>
      <c r="B30" s="3">
        <v>2893.7082431291783</v>
      </c>
    </row>
    <row r="31" spans="1:2" x14ac:dyDescent="0.3">
      <c r="A31" t="s">
        <v>72</v>
      </c>
      <c r="B31" s="3">
        <v>2514.9285406075942</v>
      </c>
    </row>
    <row r="32" spans="1:2" x14ac:dyDescent="0.3">
      <c r="A32" t="s">
        <v>88</v>
      </c>
      <c r="B32" s="3">
        <v>-2.2864207312522922E-4</v>
      </c>
    </row>
    <row r="33" spans="1:2" x14ac:dyDescent="0.3">
      <c r="A33" t="s">
        <v>210</v>
      </c>
      <c r="B33" s="3">
        <v>1358.8684951647083</v>
      </c>
    </row>
    <row r="34" spans="1:2" x14ac:dyDescent="0.3">
      <c r="A34" t="s">
        <v>75</v>
      </c>
      <c r="B34" s="3">
        <v>1180.9957584827862</v>
      </c>
    </row>
    <row r="35" spans="1:2" x14ac:dyDescent="0.3">
      <c r="A35" t="s">
        <v>89</v>
      </c>
      <c r="B35" s="3">
        <v>-2.2864207312522922E-4</v>
      </c>
    </row>
    <row r="36" spans="1:2" x14ac:dyDescent="0.3">
      <c r="A36" t="s">
        <v>232</v>
      </c>
      <c r="B36" s="3">
        <v>-5.7160518372256774E-4</v>
      </c>
    </row>
    <row r="37" spans="1:2" x14ac:dyDescent="0.3">
      <c r="A37" t="s">
        <v>211</v>
      </c>
      <c r="B37" s="3">
        <v>374.7761294372649</v>
      </c>
    </row>
    <row r="38" spans="1:2" x14ac:dyDescent="0.3">
      <c r="A38" t="s">
        <v>91</v>
      </c>
      <c r="B38" s="3">
        <v>-2.2864207312522922E-4</v>
      </c>
    </row>
    <row r="39" spans="1:2" x14ac:dyDescent="0.3">
      <c r="A39" t="s">
        <v>212</v>
      </c>
      <c r="B39" s="3">
        <v>782.24383920326363</v>
      </c>
    </row>
    <row r="40" spans="1:2" x14ac:dyDescent="0.3">
      <c r="A40" t="s">
        <v>213</v>
      </c>
      <c r="B40" s="3">
        <v>180.36576837797293</v>
      </c>
    </row>
    <row r="41" spans="1:2" x14ac:dyDescent="0.3">
      <c r="A41" t="s">
        <v>92</v>
      </c>
      <c r="B41" s="3">
        <v>-5.7160518372256774E-4</v>
      </c>
    </row>
    <row r="42" spans="1:2" x14ac:dyDescent="0.3">
      <c r="A42" t="s">
        <v>93</v>
      </c>
      <c r="B42" s="3">
        <v>-5.7160518372256774E-4</v>
      </c>
    </row>
    <row r="43" spans="1:2" x14ac:dyDescent="0.3">
      <c r="A43" t="s">
        <v>214</v>
      </c>
      <c r="B43" s="3">
        <v>221.19061743676775</v>
      </c>
    </row>
    <row r="44" spans="1:2" x14ac:dyDescent="0.3">
      <c r="A44" t="s">
        <v>215</v>
      </c>
      <c r="B44" s="3">
        <v>417.60941075798655</v>
      </c>
    </row>
    <row r="45" spans="1:2" x14ac:dyDescent="0.3">
      <c r="A45" t="s">
        <v>94</v>
      </c>
      <c r="B45" s="3">
        <v>-5.7160518372256774E-4</v>
      </c>
    </row>
    <row r="46" spans="1:2" x14ac:dyDescent="0.3">
      <c r="A46" t="s">
        <v>216</v>
      </c>
      <c r="B46" s="3">
        <v>1083.057460358541</v>
      </c>
    </row>
    <row r="47" spans="1:2" x14ac:dyDescent="0.3">
      <c r="A47" t="s">
        <v>217</v>
      </c>
      <c r="B47" s="3">
        <v>431.77620527040563</v>
      </c>
    </row>
    <row r="48" spans="1:2" x14ac:dyDescent="0.3">
      <c r="A48" t="s">
        <v>218</v>
      </c>
      <c r="B48" s="3">
        <v>1878.9915198962117</v>
      </c>
    </row>
    <row r="49" spans="1:2" x14ac:dyDescent="0.3">
      <c r="A49" t="s">
        <v>73</v>
      </c>
      <c r="B49" s="3">
        <v>1633.0402446351727</v>
      </c>
    </row>
    <row r="50" spans="1:2" x14ac:dyDescent="0.3">
      <c r="A50" t="s">
        <v>95</v>
      </c>
      <c r="B50" s="3">
        <v>155.95239851236511</v>
      </c>
    </row>
    <row r="51" spans="1:2" x14ac:dyDescent="0.3">
      <c r="A51" t="s">
        <v>96</v>
      </c>
      <c r="B51" s="3">
        <v>-5.7160518372256774E-4</v>
      </c>
    </row>
    <row r="52" spans="1:2" x14ac:dyDescent="0.3">
      <c r="A52" t="s">
        <v>219</v>
      </c>
      <c r="B52" s="3">
        <v>1633.365188553631</v>
      </c>
    </row>
    <row r="53" spans="1:2" x14ac:dyDescent="0.3">
      <c r="A53" t="s">
        <v>220</v>
      </c>
      <c r="B53" s="3">
        <v>-2.286420734890271E-3</v>
      </c>
    </row>
    <row r="54" spans="1:2" x14ac:dyDescent="0.3">
      <c r="A54" t="s">
        <v>241</v>
      </c>
      <c r="B54" s="3">
        <v>-781.63644159940668</v>
      </c>
    </row>
    <row r="55" spans="1:2" x14ac:dyDescent="0.3">
      <c r="A55" t="s">
        <v>221</v>
      </c>
      <c r="B55" s="3">
        <v>-2.286420734890271E-3</v>
      </c>
    </row>
    <row r="56" spans="1:2" x14ac:dyDescent="0.3">
      <c r="A56" t="s">
        <v>97</v>
      </c>
      <c r="B56" s="3">
        <v>230.96289637097016</v>
      </c>
    </row>
    <row r="57" spans="1:2" x14ac:dyDescent="0.3">
      <c r="A57" t="s">
        <v>222</v>
      </c>
      <c r="B57" s="3">
        <v>844.424228006872</v>
      </c>
    </row>
    <row r="58" spans="1:2" x14ac:dyDescent="0.3">
      <c r="A58" t="s">
        <v>98</v>
      </c>
      <c r="B58" s="3">
        <v>-2.2864207312522922E-4</v>
      </c>
    </row>
    <row r="59" spans="1:2" x14ac:dyDescent="0.3">
      <c r="A59" t="s">
        <v>99</v>
      </c>
      <c r="B59" s="3">
        <v>-5.7160518372256774E-4</v>
      </c>
    </row>
    <row r="60" spans="1:2" x14ac:dyDescent="0.3">
      <c r="A60" t="s">
        <v>100</v>
      </c>
      <c r="B60" s="3">
        <v>-1954.0911039985185</v>
      </c>
    </row>
    <row r="61" spans="1:2" x14ac:dyDescent="0.3">
      <c r="A61" t="s">
        <v>101</v>
      </c>
      <c r="B61" s="3">
        <v>-5.7160518372256774E-4</v>
      </c>
    </row>
    <row r="62" spans="1:2" x14ac:dyDescent="0.3">
      <c r="A62" t="s">
        <v>102</v>
      </c>
      <c r="B62" s="3">
        <v>179.33235489725121</v>
      </c>
    </row>
    <row r="63" spans="1:2" x14ac:dyDescent="0.3">
      <c r="A63" t="s">
        <v>240</v>
      </c>
      <c r="B63" s="3">
        <v>-18331.814106376361</v>
      </c>
    </row>
    <row r="64" spans="1:2" x14ac:dyDescent="0.3">
      <c r="A64" t="s">
        <v>77</v>
      </c>
      <c r="B64" s="3">
        <v>1364.4434523867094</v>
      </c>
    </row>
    <row r="65" spans="1:2" x14ac:dyDescent="0.3">
      <c r="A65" t="s">
        <v>223</v>
      </c>
      <c r="B65" s="3">
        <v>459.75361780431194</v>
      </c>
    </row>
    <row r="66" spans="1:2" x14ac:dyDescent="0.3">
      <c r="A66" t="s">
        <v>224</v>
      </c>
      <c r="B66" s="3">
        <v>8045.5603890328784</v>
      </c>
    </row>
    <row r="67" spans="1:2" x14ac:dyDescent="0.3">
      <c r="A67" t="s">
        <v>225</v>
      </c>
      <c r="B67" s="3">
        <v>-1.1432103674451355E-3</v>
      </c>
    </row>
    <row r="68" spans="1:2" x14ac:dyDescent="0.3">
      <c r="A68" t="s">
        <v>103</v>
      </c>
      <c r="B68" s="3">
        <v>1519.8753187751863</v>
      </c>
    </row>
    <row r="69" spans="1:2" x14ac:dyDescent="0.3">
      <c r="A69" t="s">
        <v>104</v>
      </c>
      <c r="B69" s="3">
        <v>-2.2864207312522922E-4</v>
      </c>
    </row>
    <row r="70" spans="1:2" x14ac:dyDescent="0.3">
      <c r="A70" t="s">
        <v>226</v>
      </c>
      <c r="B70" s="3">
        <v>717.61536409581095</v>
      </c>
    </row>
    <row r="71" spans="1:2" x14ac:dyDescent="0.3">
      <c r="A71" t="s">
        <v>105</v>
      </c>
      <c r="B71" s="3">
        <v>-24708.652484423859</v>
      </c>
    </row>
    <row r="72" spans="1:2" x14ac:dyDescent="0.3">
      <c r="A72" t="s">
        <v>106</v>
      </c>
      <c r="B72" s="3">
        <v>-2.2864207312522922E-4</v>
      </c>
    </row>
    <row r="73" spans="1:2" x14ac:dyDescent="0.3">
      <c r="A73" t="s">
        <v>227</v>
      </c>
      <c r="B73" s="3">
        <v>205.90512774862236</v>
      </c>
    </row>
    <row r="74" spans="1:2" x14ac:dyDescent="0.3">
      <c r="A74" t="s">
        <v>107</v>
      </c>
      <c r="B74" s="3">
        <v>-781.63644159940668</v>
      </c>
    </row>
    <row r="75" spans="1:2" x14ac:dyDescent="0.3">
      <c r="A75" t="s">
        <v>108</v>
      </c>
      <c r="B75" s="3">
        <v>-781.63644159940668</v>
      </c>
    </row>
    <row r="76" spans="1:2" x14ac:dyDescent="0.3">
      <c r="A76" t="s">
        <v>109</v>
      </c>
      <c r="B76" s="3">
        <v>182.85259144672636</v>
      </c>
    </row>
    <row r="77" spans="1:2" x14ac:dyDescent="0.3">
      <c r="A77" t="s">
        <v>110</v>
      </c>
      <c r="B77" s="3">
        <v>-5.7160518372256774E-4</v>
      </c>
    </row>
    <row r="78" spans="1:2" x14ac:dyDescent="0.3">
      <c r="A78" t="s">
        <v>228</v>
      </c>
      <c r="B78" s="3">
        <v>1050.2139746387111</v>
      </c>
    </row>
    <row r="79" spans="1:2" x14ac:dyDescent="0.3">
      <c r="A79" t="s">
        <v>111</v>
      </c>
      <c r="B79" s="3">
        <v>-5.7160518372256774E-4</v>
      </c>
    </row>
    <row r="80" spans="1:2" x14ac:dyDescent="0.3">
      <c r="A80" t="s">
        <v>112</v>
      </c>
      <c r="B80" s="3">
        <v>-2.2864207312522922E-4</v>
      </c>
    </row>
    <row r="81" spans="1:2" x14ac:dyDescent="0.3">
      <c r="A81" t="s">
        <v>229</v>
      </c>
      <c r="B81" s="3">
        <v>1779.1918704521668</v>
      </c>
    </row>
    <row r="82" spans="1:2" x14ac:dyDescent="0.3">
      <c r="A82" t="s">
        <v>74</v>
      </c>
      <c r="B82" s="3">
        <v>1546.3041380060822</v>
      </c>
    </row>
    <row r="83" spans="1:2" x14ac:dyDescent="0.3">
      <c r="A83" t="s">
        <v>113</v>
      </c>
      <c r="B83" s="3">
        <v>222.37452802633288</v>
      </c>
    </row>
    <row r="84" spans="1:2" x14ac:dyDescent="0.3">
      <c r="A84" t="s">
        <v>114</v>
      </c>
      <c r="B84" s="3">
        <v>-2.2864207312522922E-4</v>
      </c>
    </row>
    <row r="85" spans="1:2" x14ac:dyDescent="0.3">
      <c r="A85" t="s">
        <v>115</v>
      </c>
      <c r="B85" s="3">
        <v>-2.2864207312522922E-4</v>
      </c>
    </row>
    <row r="86" spans="1:2" x14ac:dyDescent="0.3">
      <c r="A86" t="s">
        <v>116</v>
      </c>
      <c r="B86" s="3">
        <v>-2.2864207312522922E-4</v>
      </c>
    </row>
    <row r="87" spans="1:2" x14ac:dyDescent="0.3">
      <c r="A87" t="s">
        <v>230</v>
      </c>
      <c r="B87" s="3">
        <v>-5.7160518372256774E-4</v>
      </c>
    </row>
    <row r="88" spans="1:2" x14ac:dyDescent="0.3">
      <c r="A88" t="s">
        <v>231</v>
      </c>
      <c r="B88" s="3">
        <v>2289.7533122018649</v>
      </c>
    </row>
  </sheetData>
  <sheetProtection algorithmName="SHA-512" hashValue="oKzkTNOu5dddnOPiYk3WbcsUsnN6NQxPYi0409oxmwY8Z6zKg4YtJRlUsRLSJy2CFpCJcLH5yhxe/c4L1SRJBA==" saltValue="oypUIeE0GCWBoMcjaEnINQ==" spinCount="100000" sheet="1" objects="1" scenarios="1" selectLockedCells="1" selectUnlockedCells="1"/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topLeftCell="C1" workbookViewId="0">
      <selection activeCell="M25" sqref="M25"/>
    </sheetView>
  </sheetViews>
  <sheetFormatPr defaultColWidth="12.5546875" defaultRowHeight="15.6" x14ac:dyDescent="0.3"/>
  <cols>
    <col min="1" max="1" width="16.88671875" style="4" bestFit="1" customWidth="1"/>
    <col min="2" max="2" width="17.109375" style="4" customWidth="1"/>
    <col min="3" max="3" width="18.109375" style="4" bestFit="1" customWidth="1"/>
    <col min="4" max="4" width="16.109375" style="4" bestFit="1" customWidth="1"/>
    <col min="5" max="5" width="17.88671875" style="4" bestFit="1" customWidth="1"/>
    <col min="6" max="6" width="23.77734375" style="4" bestFit="1" customWidth="1"/>
    <col min="7" max="7" width="20.88671875" style="4" bestFit="1" customWidth="1"/>
    <col min="8" max="8" width="18.5546875" style="4" bestFit="1" customWidth="1"/>
    <col min="9" max="9" width="14.88671875" style="4" bestFit="1" customWidth="1"/>
    <col min="10" max="10" width="17.109375" style="4" bestFit="1" customWidth="1"/>
    <col min="11" max="11" width="18.21875" style="4" bestFit="1" customWidth="1"/>
    <col min="12" max="14" width="16.109375" style="4" bestFit="1" customWidth="1"/>
    <col min="15" max="15" width="16.77734375" style="4" bestFit="1" customWidth="1"/>
    <col min="16" max="16" width="13.88671875" style="4" bestFit="1" customWidth="1"/>
    <col min="17" max="16384" width="12.5546875" style="4"/>
  </cols>
  <sheetData>
    <row r="1" spans="1:15" x14ac:dyDescent="0.3">
      <c r="A1" s="4" t="s">
        <v>141</v>
      </c>
      <c r="B1" s="4" t="s">
        <v>142</v>
      </c>
      <c r="C1" s="4" t="s">
        <v>143</v>
      </c>
      <c r="D1" s="4" t="s">
        <v>144</v>
      </c>
      <c r="E1" s="4" t="s">
        <v>145</v>
      </c>
      <c r="F1" s="4" t="s">
        <v>146</v>
      </c>
      <c r="G1" s="4" t="s">
        <v>147</v>
      </c>
      <c r="H1" s="4" t="s">
        <v>148</v>
      </c>
      <c r="I1" s="4" t="s">
        <v>149</v>
      </c>
      <c r="J1" s="4" t="s">
        <v>150</v>
      </c>
      <c r="K1" s="4" t="s">
        <v>151</v>
      </c>
      <c r="L1" s="4" t="s">
        <v>152</v>
      </c>
      <c r="M1" s="4" t="s">
        <v>153</v>
      </c>
      <c r="N1" s="4" t="s">
        <v>154</v>
      </c>
      <c r="O1" s="4" t="s">
        <v>155</v>
      </c>
    </row>
    <row r="2" spans="1:15" x14ac:dyDescent="0.3">
      <c r="A2" s="5">
        <v>1</v>
      </c>
      <c r="B2" s="6">
        <v>44805</v>
      </c>
      <c r="C2" s="7">
        <v>40908127</v>
      </c>
      <c r="D2" s="7"/>
      <c r="E2" s="7">
        <f>Table14[[#This Row],[PA Distributors ]]+Table14[[#This Row],[PA J&amp;J]]</f>
        <v>40908127</v>
      </c>
      <c r="F2" s="7"/>
      <c r="G2" s="7"/>
      <c r="H2" s="7"/>
      <c r="I2" s="7"/>
      <c r="J2" s="7">
        <f>Table14[[#This Row],[Totals]]-Table14[[#This Row],[Distributors Atty Fees]]-Table14[[#This Row],[J&amp;J Attorneys Fees]]-Table14[[#This Row],[Attorney''s Costs]]-Table14[[#This Row],[Admin Costs]]</f>
        <v>40908127</v>
      </c>
      <c r="K2" s="7">
        <f>Table14[[#This Row],[Total Less Fees]]*0.15</f>
        <v>6136219.0499999998</v>
      </c>
      <c r="L2" s="7">
        <f>Table14[[#This Row],[Total Less Fees]]*0.7</f>
        <v>28635688.899999999</v>
      </c>
      <c r="M2" s="7">
        <f>Table14[[#This Row],[Total Less Fees]]*0.15</f>
        <v>6136219.0499999998</v>
      </c>
      <c r="N2" s="7">
        <v>6136219</v>
      </c>
      <c r="O2" s="7">
        <f>(Table14[[#This Row],[PA J&amp;J]]-Table14[[#This Row],[J&amp;J Attorneys Fees]])*0.15</f>
        <v>0</v>
      </c>
    </row>
    <row r="3" spans="1:15" x14ac:dyDescent="0.3">
      <c r="A3" s="5">
        <v>2</v>
      </c>
      <c r="B3" s="6">
        <v>44910</v>
      </c>
      <c r="C3" s="7">
        <v>46164857.061240003</v>
      </c>
      <c r="D3" s="7">
        <v>44023813</v>
      </c>
      <c r="E3" s="7">
        <f>Table14[[#This Row],[PA Distributors ]]+Table14[[#This Row],[PA J&amp;J]]</f>
        <v>90188670.061240003</v>
      </c>
      <c r="F3" s="7">
        <v>9348591</v>
      </c>
      <c r="G3" s="7">
        <v>2167116.1509940801</v>
      </c>
      <c r="H3" s="7">
        <v>16651314.529999999</v>
      </c>
      <c r="I3" s="7">
        <v>300000</v>
      </c>
      <c r="J3" s="7">
        <f>Table14[[#This Row],[Totals]]-Table14[[#This Row],[Distributors Atty Fees]]-Table14[[#This Row],[J&amp;J Attorneys Fees]]-Table14[[#This Row],[Attorney''s Costs]]-Table14[[#This Row],[Admin Costs]]</f>
        <v>61721648.380245924</v>
      </c>
      <c r="K3" s="7">
        <f>Table14[[#This Row],[Total Less Fees]]*0.15</f>
        <v>9258247.257036889</v>
      </c>
      <c r="L3" s="7">
        <f>Table14[[#This Row],[Total Less Fees]]*0.7</f>
        <v>43205153.866172142</v>
      </c>
      <c r="M3" s="7">
        <f>Table14[[#This Row],[Total Less Fees]]*0.15</f>
        <v>9258247.257036889</v>
      </c>
      <c r="N3" s="7">
        <f>Table14[[#This Row],[Litigating]]-Table14[[#This Row],[(Litigating J&amp;J)]]</f>
        <v>3078636.6570368893</v>
      </c>
      <c r="O3" s="7">
        <v>6179610.5999999996</v>
      </c>
    </row>
    <row r="4" spans="1:15" x14ac:dyDescent="0.3">
      <c r="A4" s="4">
        <v>3</v>
      </c>
      <c r="B4" s="8">
        <v>45275</v>
      </c>
      <c r="C4" s="9">
        <v>45599278.15316809</v>
      </c>
      <c r="D4" s="9">
        <v>25705389.550000001</v>
      </c>
      <c r="E4" s="9">
        <f>Table14[[#This Row],[PA Distributors ]]+Table14[[#This Row],[PA J&amp;J]]</f>
        <v>71304667.703168094</v>
      </c>
      <c r="F4" s="9">
        <f>9348591.07302335+135.9</f>
        <v>9348726.9730233513</v>
      </c>
      <c r="G4" s="9">
        <f>2167116.15099408+97.8</f>
        <v>2167213.9509940799</v>
      </c>
      <c r="H4" s="9"/>
      <c r="I4" s="9"/>
      <c r="J4" s="9">
        <f>Table14[[#This Row],[Totals]]-Table14[[#This Row],[Distributors Atty Fees]]-Table14[[#This Row],[J&amp;J Attorneys Fees]]-Table14[[#This Row],[Attorney''s Costs]]-Table14[[#This Row],[Admin Costs]]</f>
        <v>59788726.779150657</v>
      </c>
      <c r="K4" s="9">
        <f>Table14[[#This Row],[Total Less Fees]]*0.15</f>
        <v>8968309.0168725979</v>
      </c>
      <c r="L4" s="9">
        <f>Table14[[#This Row],[Total Less Fees]]*0.7</f>
        <v>41852108.745405458</v>
      </c>
      <c r="M4" s="9">
        <f>Table14[[#This Row],[Total Less Fees]]*0.15</f>
        <v>8968309.0168725979</v>
      </c>
      <c r="N4" s="9">
        <f>Table14[[#This Row],[Litigating]]-Table14[[#This Row],[(Litigating J&amp;J)]]</f>
        <v>6610037.3387458203</v>
      </c>
      <c r="O4" s="18">
        <v>2358271.6781267775</v>
      </c>
    </row>
    <row r="5" spans="1:15" x14ac:dyDescent="0.3">
      <c r="A5" s="4">
        <v>4</v>
      </c>
      <c r="B5" s="8">
        <v>45641</v>
      </c>
      <c r="C5" s="9">
        <v>47835145.781559996</v>
      </c>
      <c r="D5" s="9">
        <v>38539123</v>
      </c>
      <c r="E5" s="9">
        <f>Table14[[#This Row],[PA Distributors ]]+Table14[[#This Row],[PA J&amp;J]]</f>
        <v>86374268.781560004</v>
      </c>
      <c r="F5" s="9">
        <v>9348591.0730233546</v>
      </c>
      <c r="G5" s="9">
        <v>2167116.1509940801</v>
      </c>
      <c r="H5" s="9"/>
      <c r="I5" s="9"/>
      <c r="J5" s="9">
        <f>Table14[[#This Row],[Totals]]-Table14[[#This Row],[Distributors Atty Fees]]-Table14[[#This Row],[J&amp;J Attorneys Fees]]-Table14[[#This Row],[Attorney''s Costs]]-Table14[[#This Row],[Admin Costs]]</f>
        <v>74858561.557542577</v>
      </c>
      <c r="K5" s="9">
        <f>Table14[[#This Row],[Total Less Fees]]*0.15</f>
        <v>11228784.233631385</v>
      </c>
      <c r="L5" s="9">
        <f>Table14[[#This Row],[Total Less Fees]]*0.7</f>
        <v>52400993.090279803</v>
      </c>
      <c r="M5" s="9">
        <f>Table14[[#This Row],[Total Less Fees]]*0.15</f>
        <v>11228784.233631385</v>
      </c>
      <c r="N5" s="9">
        <f>Table14[[#This Row],[Litigating]]-Table14[[#This Row],[(Litigating J&amp;J)]]</f>
        <v>5772983.2062804969</v>
      </c>
      <c r="O5" s="9">
        <f>(Table14[[#This Row],[PA J&amp;J]]-Table14[[#This Row],[J&amp;J Attorneys Fees]])*0.15</f>
        <v>5455801.0273508886</v>
      </c>
    </row>
    <row r="6" spans="1:15" x14ac:dyDescent="0.3">
      <c r="A6" s="4">
        <v>5</v>
      </c>
      <c r="B6" s="8">
        <v>46006</v>
      </c>
      <c r="C6" s="9">
        <v>47835145.781559996</v>
      </c>
      <c r="D6" s="9">
        <v>41142321</v>
      </c>
      <c r="E6" s="9">
        <f>Table14[[#This Row],[PA Distributors ]]+Table14[[#This Row],[PA J&amp;J]]</f>
        <v>88977466.781560004</v>
      </c>
      <c r="F6" s="9">
        <v>9348591.0730233546</v>
      </c>
      <c r="G6" s="9">
        <v>2167116.1509940801</v>
      </c>
      <c r="H6" s="9"/>
      <c r="I6" s="9"/>
      <c r="J6" s="9">
        <f>Table14[[#This Row],[Totals]]-Table14[[#This Row],[Distributors Atty Fees]]-Table14[[#This Row],[J&amp;J Attorneys Fees]]-Table14[[#This Row],[Attorney''s Costs]]-Table14[[#This Row],[Admin Costs]]</f>
        <v>77461759.557542577</v>
      </c>
      <c r="K6" s="9">
        <f>Table14[[#This Row],[Total Less Fees]]*0.15</f>
        <v>11619263.933631387</v>
      </c>
      <c r="L6" s="9">
        <f>Table14[[#This Row],[Total Less Fees]]*0.7</f>
        <v>54223231.690279804</v>
      </c>
      <c r="M6" s="9">
        <f>Table14[[#This Row],[Total Less Fees]]*0.15</f>
        <v>11619263.933631387</v>
      </c>
      <c r="N6" s="9">
        <f>Table14[[#This Row],[Litigating]]-Table14[[#This Row],[(Litigating J&amp;J)]]</f>
        <v>5772983.2062804988</v>
      </c>
      <c r="O6" s="9">
        <f>(Table14[[#This Row],[PA J&amp;J]]-Table14[[#This Row],[J&amp;J Attorneys Fees]])*0.15</f>
        <v>5846280.7273508878</v>
      </c>
    </row>
    <row r="7" spans="1:15" x14ac:dyDescent="0.3">
      <c r="A7" s="4">
        <v>6</v>
      </c>
      <c r="B7" s="8">
        <v>46371</v>
      </c>
      <c r="C7" s="9">
        <v>47835145.781559996</v>
      </c>
      <c r="D7" s="9">
        <v>7342887</v>
      </c>
      <c r="E7" s="9">
        <f>Table14[[#This Row],[PA Distributors ]]+Table14[[#This Row],[PA J&amp;J]]</f>
        <v>55178032.781559996</v>
      </c>
      <c r="F7" s="9">
        <v>9348591.0730233546</v>
      </c>
      <c r="G7" s="9">
        <v>2167116.1509940801</v>
      </c>
      <c r="H7" s="9"/>
      <c r="I7" s="9"/>
      <c r="J7" s="9">
        <f>Table14[[#This Row],[Totals]]-Table14[[#This Row],[Distributors Atty Fees]]-Table14[[#This Row],[J&amp;J Attorneys Fees]]-Table14[[#This Row],[Attorney''s Costs]]-Table14[[#This Row],[Admin Costs]]</f>
        <v>43662325.557542562</v>
      </c>
      <c r="K7" s="9">
        <f>Table14[[#This Row],[Total Less Fees]]*0.15</f>
        <v>6549348.8336313842</v>
      </c>
      <c r="L7" s="9">
        <f>Table14[[#This Row],[Total Less Fees]]*0.7</f>
        <v>30563627.890279792</v>
      </c>
      <c r="M7" s="9">
        <f>Table14[[#This Row],[Total Less Fees]]*0.15</f>
        <v>6549348.8336313842</v>
      </c>
      <c r="N7" s="9">
        <f>Table14[[#This Row],[Litigating]]-Table14[[#This Row],[(Litigating J&amp;J)]]</f>
        <v>5772983.206280496</v>
      </c>
      <c r="O7" s="9">
        <f>(Table14[[#This Row],[PA J&amp;J]]-Table14[[#This Row],[J&amp;J Attorneys Fees]])*0.15</f>
        <v>776365.62735088798</v>
      </c>
    </row>
    <row r="8" spans="1:15" x14ac:dyDescent="0.3">
      <c r="A8" s="4">
        <v>7</v>
      </c>
      <c r="B8" s="8">
        <v>46736</v>
      </c>
      <c r="C8" s="9">
        <v>47835145.781559996</v>
      </c>
      <c r="D8" s="9">
        <v>7342887</v>
      </c>
      <c r="E8" s="9">
        <f>Table14[[#This Row],[PA Distributors ]]+Table14[[#This Row],[PA J&amp;J]]</f>
        <v>55178032.781559996</v>
      </c>
      <c r="F8" s="9"/>
      <c r="G8" s="9"/>
      <c r="H8" s="9"/>
      <c r="I8" s="9"/>
      <c r="J8" s="9">
        <f>Table14[[#This Row],[Totals]]-Table14[[#This Row],[Distributors Atty Fees]]-Table14[[#This Row],[J&amp;J Attorneys Fees]]-Table14[[#This Row],[Attorney''s Costs]]-Table14[[#This Row],[Admin Costs]]</f>
        <v>55178032.781559996</v>
      </c>
      <c r="K8" s="9">
        <f>Table14[[#This Row],[Total Less Fees]]*0.15</f>
        <v>8276704.9172339989</v>
      </c>
      <c r="L8" s="9">
        <f>Table14[[#This Row],[Total Less Fees]]*0.7</f>
        <v>38624622.947091997</v>
      </c>
      <c r="M8" s="9">
        <f>Table14[[#This Row],[Total Less Fees]]*0.15</f>
        <v>8276704.9172339989</v>
      </c>
      <c r="N8" s="9">
        <f>Table14[[#This Row],[Litigating]]-Table14[[#This Row],[(Litigating J&amp;J)]]</f>
        <v>7175271.8672339991</v>
      </c>
      <c r="O8" s="9">
        <f>(Table14[[#This Row],[PA J&amp;J]]-Table14[[#This Row],[J&amp;J Attorneys Fees]])*0.15</f>
        <v>1101433.05</v>
      </c>
    </row>
    <row r="9" spans="1:15" x14ac:dyDescent="0.3">
      <c r="A9" s="4">
        <v>8</v>
      </c>
      <c r="B9" s="8">
        <v>47102</v>
      </c>
      <c r="C9" s="9">
        <v>56259894.68688</v>
      </c>
      <c r="D9" s="9">
        <v>7342887</v>
      </c>
      <c r="E9" s="9">
        <f>Table14[[#This Row],[PA Distributors ]]+Table14[[#This Row],[PA J&amp;J]]</f>
        <v>63602781.68688</v>
      </c>
      <c r="F9" s="9"/>
      <c r="G9" s="9"/>
      <c r="H9" s="9"/>
      <c r="I9" s="9"/>
      <c r="J9" s="9">
        <f>Table14[[#This Row],[Totals]]-Table14[[#This Row],[Distributors Atty Fees]]-Table14[[#This Row],[J&amp;J Attorneys Fees]]-Table14[[#This Row],[Attorney''s Costs]]-Table14[[#This Row],[Admin Costs]]</f>
        <v>63602781.68688</v>
      </c>
      <c r="K9" s="9">
        <f>Table14[[#This Row],[Total Less Fees]]*0.15</f>
        <v>9540417.2530319989</v>
      </c>
      <c r="L9" s="9">
        <f>Table14[[#This Row],[Total Less Fees]]*0.7</f>
        <v>44521947.180815995</v>
      </c>
      <c r="M9" s="9">
        <f>Table14[[#This Row],[Total Less Fees]]*0.15</f>
        <v>9540417.2530319989</v>
      </c>
      <c r="N9" s="9">
        <f>Table14[[#This Row],[Litigating]]-Table14[[#This Row],[(Litigating J&amp;J)]]</f>
        <v>8438984.2030319981</v>
      </c>
      <c r="O9" s="9">
        <f>(Table14[[#This Row],[PA J&amp;J]]-Table14[[#This Row],[J&amp;J Attorneys Fees]])*0.15</f>
        <v>1101433.05</v>
      </c>
    </row>
    <row r="10" spans="1:15" x14ac:dyDescent="0.3">
      <c r="A10" s="4">
        <v>9</v>
      </c>
      <c r="B10" s="8">
        <v>47467</v>
      </c>
      <c r="C10" s="9">
        <v>56259894.68688</v>
      </c>
      <c r="D10" s="9">
        <v>9348779</v>
      </c>
      <c r="E10" s="9">
        <f>Table14[[#This Row],[PA Distributors ]]+Table14[[#This Row],[PA J&amp;J]]</f>
        <v>65608673.68688</v>
      </c>
      <c r="F10" s="9"/>
      <c r="G10" s="9"/>
      <c r="H10" s="9"/>
      <c r="I10" s="9"/>
      <c r="J10" s="9">
        <f>Table14[[#This Row],[Totals]]-Table14[[#This Row],[Distributors Atty Fees]]-Table14[[#This Row],[J&amp;J Attorneys Fees]]-Table14[[#This Row],[Attorney''s Costs]]-Table14[[#This Row],[Admin Costs]]</f>
        <v>65608673.68688</v>
      </c>
      <c r="K10" s="9">
        <f>Table14[[#This Row],[Total Less Fees]]*0.15</f>
        <v>9841301.0530319996</v>
      </c>
      <c r="L10" s="9">
        <f>Table14[[#This Row],[Total Less Fees]]*0.7</f>
        <v>45926071.580816001</v>
      </c>
      <c r="M10" s="9">
        <f>Table14[[#This Row],[Total Less Fees]]*0.15</f>
        <v>9841301.0530319996</v>
      </c>
      <c r="N10" s="9">
        <f>Table14[[#This Row],[Litigating]]-Table14[[#This Row],[(Litigating J&amp;J)]]</f>
        <v>8438984.203032</v>
      </c>
      <c r="O10" s="9">
        <f>(Table14[[#This Row],[PA J&amp;J]]-Table14[[#This Row],[J&amp;J Attorneys Fees]])*0.15</f>
        <v>1402316.8499999999</v>
      </c>
    </row>
    <row r="11" spans="1:15" x14ac:dyDescent="0.3">
      <c r="A11" s="4">
        <v>10</v>
      </c>
      <c r="B11" s="8">
        <v>47832</v>
      </c>
      <c r="C11" s="9">
        <v>56259894.68688</v>
      </c>
      <c r="D11" s="9">
        <v>9348779</v>
      </c>
      <c r="E11" s="9">
        <f>Table14[[#This Row],[PA Distributors ]]+Table14[[#This Row],[PA J&amp;J]]</f>
        <v>65608673.68688</v>
      </c>
      <c r="F11" s="9"/>
      <c r="G11" s="9"/>
      <c r="H11" s="9"/>
      <c r="I11" s="9"/>
      <c r="J11" s="9">
        <f>Table14[[#This Row],[Totals]]-Table14[[#This Row],[Distributors Atty Fees]]-Table14[[#This Row],[J&amp;J Attorneys Fees]]-Table14[[#This Row],[Attorney''s Costs]]-Table14[[#This Row],[Admin Costs]]</f>
        <v>65608673.68688</v>
      </c>
      <c r="K11" s="9">
        <f>Table14[[#This Row],[Total Less Fees]]*0.15</f>
        <v>9841301.0530319996</v>
      </c>
      <c r="L11" s="9">
        <f>Table14[[#This Row],[Total Less Fees]]*0.7</f>
        <v>45926071.580816001</v>
      </c>
      <c r="M11" s="9">
        <f>Table14[[#This Row],[Total Less Fees]]*0.15</f>
        <v>9841301.0530319996</v>
      </c>
      <c r="N11" s="9">
        <f>Table14[[#This Row],[Litigating]]-Table14[[#This Row],[(Litigating J&amp;J)]]</f>
        <v>8438984.203032</v>
      </c>
      <c r="O11" s="9">
        <f>(Table14[[#This Row],[PA J&amp;J]]-Table14[[#This Row],[J&amp;J Attorneys Fees]])*0.15</f>
        <v>1402316.8499999999</v>
      </c>
    </row>
    <row r="12" spans="1:15" x14ac:dyDescent="0.3">
      <c r="A12" s="4">
        <v>11</v>
      </c>
      <c r="B12" s="8">
        <v>48197</v>
      </c>
      <c r="C12" s="9">
        <v>47292119.32344</v>
      </c>
      <c r="D12" s="9">
        <v>9348779</v>
      </c>
      <c r="E12" s="9">
        <f>Table14[[#This Row],[PA Distributors ]]+Table14[[#This Row],[PA J&amp;J]]</f>
        <v>56640898.32344</v>
      </c>
      <c r="F12" s="9"/>
      <c r="G12" s="9"/>
      <c r="H12" s="9"/>
      <c r="I12" s="9"/>
      <c r="J12" s="9">
        <f>Table14[[#This Row],[Totals]]-Table14[[#This Row],[Distributors Atty Fees]]-Table14[[#This Row],[J&amp;J Attorneys Fees]]-Table14[[#This Row],[Attorney''s Costs]]-Table14[[#This Row],[Admin Costs]]</f>
        <v>56640898.32344</v>
      </c>
      <c r="K12" s="9">
        <f>Table14[[#This Row],[Total Less Fees]]*0.15</f>
        <v>8496134.7485159989</v>
      </c>
      <c r="L12" s="9">
        <f>Table14[[#This Row],[Total Less Fees]]*0.7</f>
        <v>39648628.826407999</v>
      </c>
      <c r="M12" s="9">
        <f>Table14[[#This Row],[Total Less Fees]]*0.15</f>
        <v>8496134.7485159989</v>
      </c>
      <c r="N12" s="9">
        <f>Table14[[#This Row],[Litigating]]-Table14[[#This Row],[(Litigating J&amp;J)]]</f>
        <v>7093817.8985159993</v>
      </c>
      <c r="O12" s="9">
        <f>(Table14[[#This Row],[PA J&amp;J]]-Table14[[#This Row],[J&amp;J Attorneys Fees]])*0.15</f>
        <v>1402316.8499999999</v>
      </c>
    </row>
    <row r="13" spans="1:15" x14ac:dyDescent="0.3">
      <c r="A13" s="4">
        <v>12</v>
      </c>
      <c r="B13" s="8">
        <v>48563</v>
      </c>
      <c r="C13" s="9">
        <v>47292119.32344</v>
      </c>
      <c r="D13" s="9"/>
      <c r="E13" s="9">
        <f>Table14[[#This Row],[PA Distributors ]]+Table14[[#This Row],[PA J&amp;J]]</f>
        <v>47292119.32344</v>
      </c>
      <c r="F13" s="9"/>
      <c r="G13" s="9"/>
      <c r="H13" s="9"/>
      <c r="I13" s="9"/>
      <c r="J13" s="9">
        <f>Table14[[#This Row],[Totals]]-Table14[[#This Row],[Distributors Atty Fees]]-Table14[[#This Row],[J&amp;J Attorneys Fees]]-Table14[[#This Row],[Attorney''s Costs]]-Table14[[#This Row],[Admin Costs]]</f>
        <v>47292119.32344</v>
      </c>
      <c r="K13" s="9">
        <f>Table14[[#This Row],[Total Less Fees]]*0.15</f>
        <v>7093817.8985160002</v>
      </c>
      <c r="L13" s="9">
        <f>Table14[[#This Row],[Total Less Fees]]*0.7</f>
        <v>33104483.526407998</v>
      </c>
      <c r="M13" s="9">
        <f>Table14[[#This Row],[Total Less Fees]]*0.15</f>
        <v>7093817.8985160002</v>
      </c>
      <c r="N13" s="9">
        <f>Table14[[#This Row],[Litigating]]</f>
        <v>7093817.8985160002</v>
      </c>
      <c r="O13" s="9">
        <f>(Table14[[#This Row],[PA J&amp;J]]-Table14[[#This Row],[J&amp;J Attorneys Fees]])*0.15</f>
        <v>0</v>
      </c>
    </row>
    <row r="14" spans="1:15" x14ac:dyDescent="0.3">
      <c r="A14" s="4">
        <v>13</v>
      </c>
      <c r="B14" s="8">
        <v>48928</v>
      </c>
      <c r="C14" s="9">
        <v>47292119.32344</v>
      </c>
      <c r="D14" s="9"/>
      <c r="E14" s="9">
        <f>Table14[[#This Row],[PA Distributors ]]+Table14[[#This Row],[PA J&amp;J]]</f>
        <v>47292119.32344</v>
      </c>
      <c r="F14" s="9"/>
      <c r="G14" s="9"/>
      <c r="H14" s="9"/>
      <c r="I14" s="9"/>
      <c r="J14" s="9">
        <f>Table14[[#This Row],[Totals]]-Table14[[#This Row],[Distributors Atty Fees]]-Table14[[#This Row],[J&amp;J Attorneys Fees]]-Table14[[#This Row],[Attorney''s Costs]]-Table14[[#This Row],[Admin Costs]]</f>
        <v>47292119.32344</v>
      </c>
      <c r="K14" s="9">
        <f>Table14[[#This Row],[Total Less Fees]]*0.15</f>
        <v>7093817.8985160002</v>
      </c>
      <c r="L14" s="9">
        <f>Table14[[#This Row],[Total Less Fees]]*0.7</f>
        <v>33104483.526407998</v>
      </c>
      <c r="M14" s="9">
        <f>Table14[[#This Row],[Total Less Fees]]*0.15</f>
        <v>7093817.8985160002</v>
      </c>
      <c r="N14" s="9">
        <f>Table14[[#This Row],[Litigating]]</f>
        <v>7093817.8985160002</v>
      </c>
      <c r="O14" s="9">
        <f>(Table14[[#This Row],[PA J&amp;J]]-Table14[[#This Row],[J&amp;J Attorneys Fees]])*0.15</f>
        <v>0</v>
      </c>
    </row>
    <row r="15" spans="1:15" x14ac:dyDescent="0.3">
      <c r="A15" s="4">
        <v>14</v>
      </c>
      <c r="B15" s="8">
        <v>49293</v>
      </c>
      <c r="C15" s="9">
        <v>47292119.32344</v>
      </c>
      <c r="D15" s="9"/>
      <c r="E15" s="9">
        <f>Table14[[#This Row],[PA Distributors ]]+Table14[[#This Row],[PA J&amp;J]]</f>
        <v>47292119.32344</v>
      </c>
      <c r="F15" s="9"/>
      <c r="G15" s="9"/>
      <c r="H15" s="9"/>
      <c r="I15" s="9"/>
      <c r="J15" s="9">
        <f>Table14[[#This Row],[Totals]]-Table14[[#This Row],[Distributors Atty Fees]]-Table14[[#This Row],[J&amp;J Attorneys Fees]]-Table14[[#This Row],[Attorney''s Costs]]-Table14[[#This Row],[Admin Costs]]</f>
        <v>47292119.32344</v>
      </c>
      <c r="K15" s="9">
        <f>Table14[[#This Row],[Total Less Fees]]*0.15</f>
        <v>7093817.8985160002</v>
      </c>
      <c r="L15" s="9">
        <f>Table14[[#This Row],[Total Less Fees]]*0.7</f>
        <v>33104483.526407998</v>
      </c>
      <c r="M15" s="9">
        <f>Table14[[#This Row],[Total Less Fees]]*0.15</f>
        <v>7093817.8985160002</v>
      </c>
      <c r="N15" s="9">
        <f>Table14[[#This Row],[Litigating]]</f>
        <v>7093817.8985160002</v>
      </c>
      <c r="O15" s="9">
        <f>(Table14[[#This Row],[PA J&amp;J]]-Table14[[#This Row],[J&amp;J Attorneys Fees]])*0.15</f>
        <v>0</v>
      </c>
    </row>
    <row r="16" spans="1:15" x14ac:dyDescent="0.3">
      <c r="A16" s="4">
        <v>15</v>
      </c>
      <c r="B16" s="8">
        <v>49658</v>
      </c>
      <c r="C16" s="9">
        <v>47292119.32344</v>
      </c>
      <c r="D16" s="9"/>
      <c r="E16" s="9">
        <f>Table14[[#This Row],[PA Distributors ]]+Table14[[#This Row],[PA J&amp;J]]</f>
        <v>47292119.32344</v>
      </c>
      <c r="F16" s="9"/>
      <c r="G16" s="9"/>
      <c r="H16" s="9"/>
      <c r="I16" s="9"/>
      <c r="J16" s="9">
        <f>Table14[[#This Row],[Totals]]-Table14[[#This Row],[Distributors Atty Fees]]-Table14[[#This Row],[J&amp;J Attorneys Fees]]-Table14[[#This Row],[Attorney''s Costs]]-Table14[[#This Row],[Admin Costs]]</f>
        <v>47292119.32344</v>
      </c>
      <c r="K16" s="9">
        <f>Table14[[#This Row],[Total Less Fees]]*0.15</f>
        <v>7093817.8985160002</v>
      </c>
      <c r="L16" s="9">
        <f>Table14[[#This Row],[Total Less Fees]]*0.7</f>
        <v>33104483.526407998</v>
      </c>
      <c r="M16" s="9">
        <f>Table14[[#This Row],[Total Less Fees]]*0.15</f>
        <v>7093817.8985160002</v>
      </c>
      <c r="N16" s="9">
        <f>Table14[[#This Row],[Litigating]]</f>
        <v>7093817.8985160002</v>
      </c>
      <c r="O16" s="9">
        <f>(Table14[[#This Row],[PA J&amp;J]]-Table14[[#This Row],[J&amp;J Attorneys Fees]])*0.15</f>
        <v>0</v>
      </c>
    </row>
    <row r="17" spans="1:16" x14ac:dyDescent="0.3">
      <c r="A17" s="4">
        <v>16</v>
      </c>
      <c r="B17" s="8">
        <v>50024</v>
      </c>
      <c r="C17" s="9">
        <v>47292119.32344</v>
      </c>
      <c r="D17" s="9"/>
      <c r="E17" s="9">
        <f>Table14[[#This Row],[PA Distributors ]]+Table14[[#This Row],[PA J&amp;J]]</f>
        <v>47292119.32344</v>
      </c>
      <c r="F17" s="9"/>
      <c r="G17" s="9"/>
      <c r="H17" s="9"/>
      <c r="I17" s="9"/>
      <c r="J17" s="9">
        <f>Table14[[#This Row],[Totals]]-Table14[[#This Row],[Distributors Atty Fees]]-Table14[[#This Row],[J&amp;J Attorneys Fees]]-Table14[[#This Row],[Attorney''s Costs]]-Table14[[#This Row],[Admin Costs]]</f>
        <v>47292119.32344</v>
      </c>
      <c r="K17" s="9">
        <f>Table14[[#This Row],[Total Less Fees]]*0.15</f>
        <v>7093817.8985160002</v>
      </c>
      <c r="L17" s="9">
        <f>Table14[[#This Row],[Total Less Fees]]*0.7</f>
        <v>33104483.526407998</v>
      </c>
      <c r="M17" s="9">
        <f>Table14[[#This Row],[Total Less Fees]]*0.15</f>
        <v>7093817.8985160002</v>
      </c>
      <c r="N17" s="9">
        <f>Table14[[#This Row],[Litigating]]</f>
        <v>7093817.8985160002</v>
      </c>
      <c r="O17" s="9">
        <f>(Table14[[#This Row],[PA J&amp;J]]-Table14[[#This Row],[J&amp;J Attorneys Fees]])*0.15</f>
        <v>0</v>
      </c>
    </row>
    <row r="18" spans="1:16" x14ac:dyDescent="0.3">
      <c r="A18" s="4">
        <v>17</v>
      </c>
      <c r="B18" s="8">
        <v>50389</v>
      </c>
      <c r="C18" s="9">
        <v>47292119.32344</v>
      </c>
      <c r="D18" s="9"/>
      <c r="E18" s="9">
        <f>Table14[[#This Row],[PA Distributors ]]+Table14[[#This Row],[PA J&amp;J]]</f>
        <v>47292119.32344</v>
      </c>
      <c r="F18" s="9"/>
      <c r="G18" s="9"/>
      <c r="H18" s="9"/>
      <c r="I18" s="9"/>
      <c r="J18" s="9">
        <f>Table14[[#This Row],[Totals]]-Table14[[#This Row],[Distributors Atty Fees]]-Table14[[#This Row],[J&amp;J Attorneys Fees]]-Table14[[#This Row],[Attorney''s Costs]]-Table14[[#This Row],[Admin Costs]]</f>
        <v>47292119.32344</v>
      </c>
      <c r="K18" s="9">
        <f>Table14[[#This Row],[Total Less Fees]]*0.15</f>
        <v>7093817.8985160002</v>
      </c>
      <c r="L18" s="9">
        <f>Table14[[#This Row],[Total Less Fees]]*0.7</f>
        <v>33104483.526407998</v>
      </c>
      <c r="M18" s="9">
        <f>Table14[[#This Row],[Total Less Fees]]*0.15</f>
        <v>7093817.8985160002</v>
      </c>
      <c r="N18" s="9">
        <f>Table14[[#This Row],[Litigating]]</f>
        <v>7093817.8985160002</v>
      </c>
      <c r="O18" s="9">
        <f>(Table14[[#This Row],[PA J&amp;J]]-Table14[[#This Row],[J&amp;J Attorneys Fees]])*0.15</f>
        <v>0</v>
      </c>
    </row>
    <row r="19" spans="1:16" x14ac:dyDescent="0.3">
      <c r="A19" s="4">
        <v>18</v>
      </c>
      <c r="B19" s="39">
        <v>50754</v>
      </c>
      <c r="C19" s="9">
        <v>47292119.32344</v>
      </c>
      <c r="D19" s="9"/>
      <c r="E19" s="9">
        <f>Table14[[#This Row],[PA Distributors ]]+Table14[[#This Row],[PA J&amp;J]]</f>
        <v>47292119.32344</v>
      </c>
      <c r="F19" s="9"/>
      <c r="G19" s="9"/>
      <c r="H19" s="9"/>
      <c r="I19" s="9"/>
      <c r="J19" s="9">
        <f>Table14[[#This Row],[Totals]]-Table14[[#This Row],[Distributors Atty Fees]]-Table14[[#This Row],[J&amp;J Attorneys Fees]]-Table14[[#This Row],[Attorney''s Costs]]-Table14[[#This Row],[Admin Costs]]</f>
        <v>47292119.32344</v>
      </c>
      <c r="K19" s="9">
        <f>Table14[[#This Row],[Total Less Fees]]*0.15</f>
        <v>7093817.8985160002</v>
      </c>
      <c r="L19" s="9">
        <f>Table14[[#This Row],[Total Less Fees]]*0.7</f>
        <v>33104483.526407998</v>
      </c>
      <c r="M19" s="9">
        <f>Table14[[#This Row],[Total Less Fees]]*0.15</f>
        <v>7093817.8985160002</v>
      </c>
      <c r="N19" s="9">
        <f>Table14[[#This Row],[Litigating]]</f>
        <v>7093817.8985160002</v>
      </c>
      <c r="O19" s="9">
        <f>(Table14[[#This Row],[PA J&amp;J]]-Table14[[#This Row],[J&amp;J Attorneys Fees]])*0.15</f>
        <v>0</v>
      </c>
    </row>
    <row r="20" spans="1:16" x14ac:dyDescent="0.3">
      <c r="A20" s="4" t="s">
        <v>156</v>
      </c>
      <c r="C20" s="9">
        <f t="shared" ref="C20:H20" si="0">SUM(C2:C19)</f>
        <v>871129483.9888078</v>
      </c>
      <c r="D20" s="9">
        <f t="shared" si="0"/>
        <v>199485644.55000001</v>
      </c>
      <c r="E20" s="9">
        <f t="shared" si="0"/>
        <v>1070615128.5388077</v>
      </c>
      <c r="F20" s="9">
        <f t="shared" si="0"/>
        <v>46743091.192093417</v>
      </c>
      <c r="G20" s="9">
        <f t="shared" si="0"/>
        <v>10835678.554970402</v>
      </c>
      <c r="H20" s="9">
        <f t="shared" si="0"/>
        <v>16651314.529999999</v>
      </c>
      <c r="I20" s="9">
        <v>300000</v>
      </c>
      <c r="J20" s="9">
        <f>Table14[[#This Row],[Totals]]-Table14[[#This Row],[Distributors Atty Fees]]-Table14[[#This Row],[J&amp;J Attorneys Fees]]-Table14[[#This Row],[Attorney''s Costs]]-Table14[[#This Row],[Admin Costs]]</f>
        <v>996085044.26174402</v>
      </c>
      <c r="K20" s="9">
        <f>Table14[[#This Row],[Total Less Fees]]*0.15</f>
        <v>149412756.6392616</v>
      </c>
      <c r="L20" s="9">
        <f>Table14[[#This Row],[Total Less Fees]]*0.7</f>
        <v>697259530.98322082</v>
      </c>
      <c r="M20" s="9">
        <f>Table14[[#This Row],[Total Less Fees]]*0.15</f>
        <v>149412756.6392616</v>
      </c>
      <c r="N20" s="9">
        <f>SUM(N2:N19)</f>
        <v>122386610.27908219</v>
      </c>
      <c r="O20" s="9">
        <f>SUM(O2:O19)</f>
        <v>27026146.310179446</v>
      </c>
    </row>
    <row r="23" spans="1:16" x14ac:dyDescent="0.3">
      <c r="C23" s="17"/>
    </row>
    <row r="24" spans="1:16" x14ac:dyDescent="0.3">
      <c r="A24" s="10"/>
      <c r="B24" s="10"/>
      <c r="C24" s="10"/>
      <c r="D24" s="11"/>
      <c r="F24" s="12"/>
      <c r="G24" s="9"/>
      <c r="H24" s="13"/>
      <c r="I24" s="13"/>
      <c r="J24" s="13"/>
      <c r="K24" s="13"/>
      <c r="L24" s="13"/>
      <c r="M24" s="13"/>
    </row>
    <row r="25" spans="1:16" x14ac:dyDescent="0.3">
      <c r="A25" s="10"/>
      <c r="B25" s="10"/>
      <c r="C25" s="10"/>
      <c r="D25" s="14"/>
      <c r="E25" s="11"/>
      <c r="F25" s="11"/>
      <c r="I25" s="10"/>
      <c r="J25" s="9"/>
      <c r="K25" s="13"/>
      <c r="N25" s="15"/>
      <c r="O25" s="15"/>
      <c r="P25" s="13"/>
    </row>
    <row r="26" spans="1:16" x14ac:dyDescent="0.3">
      <c r="D26" s="10"/>
      <c r="H26" s="16"/>
      <c r="I26" s="15"/>
      <c r="J26" s="13"/>
      <c r="K26" s="13"/>
      <c r="L26" s="9"/>
      <c r="M26" s="9"/>
    </row>
    <row r="27" spans="1:16" x14ac:dyDescent="0.3">
      <c r="H27" s="11"/>
      <c r="J27" s="13"/>
      <c r="K27" s="13"/>
      <c r="L27" s="9"/>
    </row>
    <row r="28" spans="1:16" x14ac:dyDescent="0.3">
      <c r="G28" s="9"/>
      <c r="H28" s="11"/>
      <c r="J28" s="9"/>
      <c r="L28" s="9"/>
    </row>
    <row r="29" spans="1:16" x14ac:dyDescent="0.3">
      <c r="J29" s="9"/>
      <c r="L29" s="9"/>
    </row>
    <row r="30" spans="1:16" x14ac:dyDescent="0.3">
      <c r="B30" s="9"/>
      <c r="C30" s="9"/>
      <c r="D30" s="10"/>
      <c r="E30" s="9"/>
      <c r="H30" s="10"/>
      <c r="I30" s="10"/>
      <c r="J30" s="13"/>
    </row>
    <row r="31" spans="1:16" x14ac:dyDescent="0.3">
      <c r="B31" s="9"/>
      <c r="C31" s="9"/>
      <c r="D31" s="10"/>
      <c r="E31" s="9"/>
      <c r="H31" s="10"/>
      <c r="I31" s="10"/>
    </row>
    <row r="32" spans="1:16" x14ac:dyDescent="0.3">
      <c r="B32" s="9"/>
      <c r="C32" s="9"/>
      <c r="D32" s="10"/>
      <c r="G32" s="9"/>
      <c r="H32" s="9"/>
    </row>
  </sheetData>
  <sheetProtection algorithmName="SHA-512" hashValue="f72ngaQJHrDd9Fz36aQ3GU8NetGna63pcGBdY3HRDgzAZc+Rb03+uYyAWpQyt8dYl10fQ4MDFPet0IYpJ4oY9Q==" saltValue="UwBH7ykbOutZcKGwbv1MJA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B23" sqref="B23"/>
    </sheetView>
  </sheetViews>
  <sheetFormatPr defaultColWidth="12.5546875" defaultRowHeight="15.6" x14ac:dyDescent="0.3"/>
  <cols>
    <col min="1" max="1" width="121.21875" style="4" bestFit="1" customWidth="1"/>
    <col min="2" max="2" width="15.6640625" style="4" bestFit="1" customWidth="1"/>
    <col min="3" max="3" width="24.77734375" style="4" bestFit="1" customWidth="1"/>
    <col min="4" max="4" width="15.44140625" style="4" customWidth="1"/>
    <col min="5" max="16384" width="12.5546875" style="4"/>
  </cols>
  <sheetData>
    <row r="1" spans="1:4" x14ac:dyDescent="0.3">
      <c r="A1" s="19"/>
      <c r="B1" s="19" t="s">
        <v>158</v>
      </c>
      <c r="C1" s="19" t="s">
        <v>159</v>
      </c>
    </row>
    <row r="2" spans="1:4" x14ac:dyDescent="0.3">
      <c r="A2" s="4" t="s">
        <v>160</v>
      </c>
      <c r="B2" s="20">
        <v>871127424.89687967</v>
      </c>
      <c r="C2" s="20">
        <v>199484162.80000001</v>
      </c>
    </row>
    <row r="3" spans="1:4" x14ac:dyDescent="0.3">
      <c r="A3" s="4" t="s">
        <v>161</v>
      </c>
      <c r="B3" s="21">
        <f>B2*0.066</f>
        <v>57494410.043194063</v>
      </c>
      <c r="C3" s="21">
        <f>C2*0.066</f>
        <v>13165954.744800001</v>
      </c>
    </row>
    <row r="4" spans="1:4" ht="31.2" x14ac:dyDescent="0.3">
      <c r="A4" s="22" t="s">
        <v>162</v>
      </c>
      <c r="B4" s="23">
        <v>0.187</v>
      </c>
      <c r="C4" s="23">
        <v>0.17699999999999999</v>
      </c>
    </row>
    <row r="5" spans="1:4" x14ac:dyDescent="0.3">
      <c r="A5" s="22" t="s">
        <v>163</v>
      </c>
      <c r="B5" s="9">
        <f>B3*B4</f>
        <v>10751454.67807729</v>
      </c>
      <c r="C5" s="9">
        <f>C3*C4</f>
        <v>2330373.9898296003</v>
      </c>
    </row>
    <row r="6" spans="1:4" x14ac:dyDescent="0.3">
      <c r="A6" s="4" t="s">
        <v>164</v>
      </c>
      <c r="B6" s="9">
        <f>B3-B5</f>
        <v>46742955.365116775</v>
      </c>
      <c r="C6" s="9">
        <f>C3-C5</f>
        <v>10835580.754970402</v>
      </c>
    </row>
    <row r="7" spans="1:4" x14ac:dyDescent="0.3">
      <c r="A7" s="4" t="s">
        <v>165</v>
      </c>
      <c r="B7" s="9">
        <f>B6/5</f>
        <v>9348591.0730233546</v>
      </c>
      <c r="C7" s="9">
        <f>C6/5</f>
        <v>2167116.1509940801</v>
      </c>
    </row>
    <row r="10" spans="1:4" x14ac:dyDescent="0.3">
      <c r="A10" s="4" t="s">
        <v>166</v>
      </c>
    </row>
    <row r="11" spans="1:4" x14ac:dyDescent="0.3">
      <c r="B11" s="4" t="s">
        <v>157</v>
      </c>
      <c r="C11" s="4" t="s">
        <v>169</v>
      </c>
      <c r="D11" s="24"/>
    </row>
    <row r="12" spans="1:4" x14ac:dyDescent="0.3">
      <c r="A12" s="4" t="s">
        <v>167</v>
      </c>
      <c r="B12" s="25">
        <v>2059.0919280946255</v>
      </c>
      <c r="C12" s="25">
        <f>B12*0.066</f>
        <v>135.9000672542453</v>
      </c>
      <c r="D12" s="9"/>
    </row>
    <row r="13" spans="1:4" x14ac:dyDescent="0.3">
      <c r="A13" s="4" t="s">
        <v>168</v>
      </c>
      <c r="B13" s="25">
        <v>1481.75</v>
      </c>
      <c r="C13" s="25">
        <f>B13*0.066</f>
        <v>97.795500000000004</v>
      </c>
    </row>
    <row r="17" spans="4:4" x14ac:dyDescent="0.3">
      <c r="D17" s="9"/>
    </row>
    <row r="18" spans="4:4" x14ac:dyDescent="0.3">
      <c r="D18" s="25"/>
    </row>
    <row r="19" spans="4:4" x14ac:dyDescent="0.3">
      <c r="D19" s="25"/>
    </row>
  </sheetData>
  <sheetProtection algorithmName="SHA-512" hashValue="vej9vJkBLRMP8wRf2jehzRZZOTTWfkGiRO9w/xiXElgElDKkf24x5kPnGbRVa/LmkLdeEuO+fk2GinwWJ5/G7A==" saltValue="NdYid+OUwBY5VHJW6/w9Qg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0"/>
  <sheetViews>
    <sheetView workbookViewId="0">
      <selection activeCell="E3" sqref="E3"/>
    </sheetView>
  </sheetViews>
  <sheetFormatPr defaultColWidth="12.5546875" defaultRowHeight="15.6" x14ac:dyDescent="0.3"/>
  <cols>
    <col min="1" max="1" width="15.5546875" style="4" bestFit="1" customWidth="1"/>
    <col min="2" max="2" width="24.21875" style="4" bestFit="1" customWidth="1"/>
    <col min="3" max="3" width="21.5546875" style="4" bestFit="1" customWidth="1"/>
    <col min="4" max="4" width="22.6640625" style="4" bestFit="1" customWidth="1"/>
    <col min="5" max="10" width="19.5546875" style="4" bestFit="1" customWidth="1"/>
    <col min="11" max="11" width="18.88671875" style="4" bestFit="1" customWidth="1"/>
    <col min="12" max="12" width="20.109375" style="4" bestFit="1" customWidth="1"/>
    <col min="13" max="19" width="20.6640625" style="4" bestFit="1" customWidth="1"/>
    <col min="20" max="20" width="20.109375" style="4" bestFit="1" customWidth="1"/>
    <col min="21" max="21" width="17.5546875" style="4" bestFit="1" customWidth="1"/>
    <col min="22" max="16384" width="12.5546875" style="4"/>
  </cols>
  <sheetData>
    <row r="1" spans="1:21" x14ac:dyDescent="0.3">
      <c r="A1" s="19" t="s">
        <v>152</v>
      </c>
      <c r="B1" s="19" t="s">
        <v>170</v>
      </c>
      <c r="C1" s="19" t="s">
        <v>171</v>
      </c>
      <c r="D1" s="19" t="s">
        <v>172</v>
      </c>
      <c r="E1" s="19" t="s">
        <v>173</v>
      </c>
      <c r="F1" s="19" t="s">
        <v>174</v>
      </c>
      <c r="G1" s="19" t="s">
        <v>175</v>
      </c>
      <c r="H1" s="38" t="s">
        <v>176</v>
      </c>
      <c r="I1" s="38" t="s">
        <v>177</v>
      </c>
      <c r="J1" s="38" t="s">
        <v>178</v>
      </c>
      <c r="K1" s="38" t="s">
        <v>179</v>
      </c>
      <c r="L1" s="38" t="s">
        <v>180</v>
      </c>
      <c r="M1" s="38" t="s">
        <v>181</v>
      </c>
      <c r="N1" s="38" t="s">
        <v>182</v>
      </c>
      <c r="O1" s="38" t="s">
        <v>183</v>
      </c>
      <c r="P1" s="38" t="s">
        <v>184</v>
      </c>
      <c r="Q1" s="38" t="s">
        <v>185</v>
      </c>
      <c r="R1" s="38" t="s">
        <v>186</v>
      </c>
      <c r="S1" s="38" t="s">
        <v>187</v>
      </c>
      <c r="T1" s="38" t="s">
        <v>188</v>
      </c>
      <c r="U1" s="38" t="s">
        <v>156</v>
      </c>
    </row>
    <row r="2" spans="1:21" ht="16.2" thickBot="1" x14ac:dyDescent="0.35">
      <c r="A2" s="19" t="s">
        <v>189</v>
      </c>
      <c r="B2" s="19"/>
      <c r="C2" s="25">
        <v>28635688.899999999</v>
      </c>
      <c r="D2" s="25">
        <v>43205154</v>
      </c>
      <c r="E2" s="25">
        <v>41852108.748508386</v>
      </c>
      <c r="F2" s="25">
        <v>52400993.090279803</v>
      </c>
      <c r="G2" s="25">
        <v>54223231.690279804</v>
      </c>
      <c r="H2" s="25">
        <v>30563627.890279792</v>
      </c>
      <c r="I2" s="25">
        <v>38624622.947091997</v>
      </c>
      <c r="J2" s="25">
        <v>44521947.180815995</v>
      </c>
      <c r="K2" s="25">
        <v>45926071.580816001</v>
      </c>
      <c r="L2" s="25">
        <v>45926071.580816001</v>
      </c>
      <c r="M2" s="25">
        <v>39648628.826407999</v>
      </c>
      <c r="N2" s="25">
        <v>33104483.526407998</v>
      </c>
      <c r="O2" s="25">
        <v>33104483.526407998</v>
      </c>
      <c r="P2" s="25">
        <v>33104483.526407998</v>
      </c>
      <c r="Q2" s="25">
        <v>33104483.526407998</v>
      </c>
      <c r="R2" s="25">
        <v>33104483.526407998</v>
      </c>
      <c r="S2" s="25">
        <v>33104483.526407998</v>
      </c>
      <c r="T2" s="25">
        <v>33104483.526407998</v>
      </c>
      <c r="U2" s="25">
        <f>SUM(Table6[[#This Row],[Payment 1 - 9/1/22]:[Payment 18 -2038]])</f>
        <v>697259531.12015164</v>
      </c>
    </row>
    <row r="3" spans="1:21" ht="16.2" thickBot="1" x14ac:dyDescent="0.35">
      <c r="A3" s="27" t="s">
        <v>3</v>
      </c>
      <c r="B3" s="4">
        <v>3.4185894747622387E-3</v>
      </c>
      <c r="C3" s="9">
        <f>B3*$C$2</f>
        <v>97893.664676105866</v>
      </c>
      <c r="D3" s="9">
        <f>B3*$D$2</f>
        <v>147700.68471988162</v>
      </c>
      <c r="E3" s="9">
        <f>B3*$E$2</f>
        <v>143075.17846425538</v>
      </c>
      <c r="F3" s="9">
        <f>B3*$F$2</f>
        <v>179137.48344551932</v>
      </c>
      <c r="G3" s="9">
        <f>B3*$G$2</f>
        <v>185366.96914398481</v>
      </c>
      <c r="H3" s="9">
        <f>B3*$H$2</f>
        <v>104484.4966162601</v>
      </c>
      <c r="I3" s="9">
        <f>B3*$I$2</f>
        <v>132041.72947358876</v>
      </c>
      <c r="J3" s="9">
        <f>B3*$J$2</f>
        <v>152202.26002825788</v>
      </c>
      <c r="K3" s="9">
        <f>B3*$K$2</f>
        <v>157002.38492335475</v>
      </c>
      <c r="L3" s="9">
        <f>B3*$L$2</f>
        <v>157002.38492335475</v>
      </c>
      <c r="M3" s="9">
        <f>B3*$M$2</f>
        <v>135542.38519471308</v>
      </c>
      <c r="N3" s="9">
        <f>B3*$N$2</f>
        <v>113170.63895081831</v>
      </c>
      <c r="O3" s="9">
        <f>B3*$O$2</f>
        <v>113170.63895081831</v>
      </c>
      <c r="P3" s="9">
        <f>B3*$P$2</f>
        <v>113170.63895081831</v>
      </c>
      <c r="Q3" s="9">
        <f>B3*$Q$2</f>
        <v>113170.63895081831</v>
      </c>
      <c r="R3" s="9">
        <f>B3*$R$2</f>
        <v>113170.63895081831</v>
      </c>
      <c r="S3" s="9">
        <f>B3*$S$2</f>
        <v>113170.63895081831</v>
      </c>
      <c r="T3" s="9">
        <f>B3*$T$2</f>
        <v>113170.63895081831</v>
      </c>
      <c r="U3" s="9">
        <f>SUM(Table6[[#This Row],[Payment 1 - 9/1/22]:[Payment 18 -2038]])</f>
        <v>2383644.0942650042</v>
      </c>
    </row>
    <row r="4" spans="1:21" s="29" customFormat="1" ht="16.2" thickBot="1" x14ac:dyDescent="0.35">
      <c r="A4" s="28" t="s">
        <v>4</v>
      </c>
      <c r="B4" s="29">
        <v>0.11452275526177516</v>
      </c>
      <c r="C4" s="30">
        <f t="shared" ref="C4:C67" si="0">B4*$C$2</f>
        <v>3279437.9916470316</v>
      </c>
      <c r="D4" s="30">
        <f t="shared" ref="D4:D67" si="1">B4*$D$2</f>
        <v>4947973.2775893062</v>
      </c>
      <c r="E4" s="30">
        <f t="shared" ref="E4:E67" si="2">B4*$E$2</f>
        <v>4793018.8073946247</v>
      </c>
      <c r="F4" s="30">
        <f t="shared" ref="F4:F67" si="3">B4*$F$2</f>
        <v>6001106.1071520848</v>
      </c>
      <c r="G4" s="30">
        <f t="shared" ref="G4:G67" si="4">B4*$G$2</f>
        <v>6209793.8923684452</v>
      </c>
      <c r="H4" s="30">
        <f t="shared" ref="H4:H67" si="5">B4*$H$2</f>
        <v>3500230.8767904784</v>
      </c>
      <c r="I4" s="30">
        <f t="shared" ref="I4:I67" si="6">B4*$I$2</f>
        <v>4423398.2408481613</v>
      </c>
      <c r="J4" s="30">
        <f t="shared" ref="J4:J67" si="7">B4*$J$2</f>
        <v>5098776.0607662704</v>
      </c>
      <c r="K4" s="30">
        <f t="shared" ref="K4:K67" si="8">B4*$K$2</f>
        <v>5259580.2557845581</v>
      </c>
      <c r="L4" s="30">
        <f t="shared" ref="L4:L67" si="9">B4*$L$2</f>
        <v>5259580.2557845581</v>
      </c>
      <c r="M4" s="30">
        <f t="shared" ref="M4:M67" si="10">B4*$M$2</f>
        <v>4540670.2155516874</v>
      </c>
      <c r="N4" s="30">
        <f t="shared" ref="N4:N67" si="11">B4*$N$2</f>
        <v>3791216.6649622908</v>
      </c>
      <c r="O4" s="30">
        <f t="shared" ref="O4:O67" si="12">B4*$O$2</f>
        <v>3791216.6649622908</v>
      </c>
      <c r="P4" s="30">
        <f t="shared" ref="P4:P67" si="13">B4*$P$2</f>
        <v>3791216.6649622908</v>
      </c>
      <c r="Q4" s="30">
        <f t="shared" ref="Q4:Q67" si="14">B4*$Q$2</f>
        <v>3791216.6649622908</v>
      </c>
      <c r="R4" s="30">
        <f t="shared" ref="R4:R67" si="15">B4*$R$2</f>
        <v>3791216.6649622908</v>
      </c>
      <c r="S4" s="30">
        <f t="shared" ref="S4:S67" si="16">B4*$S$2</f>
        <v>3791216.6649622908</v>
      </c>
      <c r="T4" s="30">
        <f t="shared" ref="T4:T67" si="17">B4*$T$2</f>
        <v>3791216.6649622908</v>
      </c>
      <c r="U4" s="30">
        <f>SUM(Table6[[#This Row],[Payment 1 - 9/1/22]:[Payment 18 -2038]])</f>
        <v>79852082.636413246</v>
      </c>
    </row>
    <row r="5" spans="1:21" ht="16.2" thickBot="1" x14ac:dyDescent="0.35">
      <c r="A5" s="31" t="s">
        <v>5</v>
      </c>
      <c r="B5" s="4">
        <v>6.0222831445004236E-3</v>
      </c>
      <c r="C5" s="9">
        <f t="shared" si="0"/>
        <v>172452.22659362786</v>
      </c>
      <c r="D5" s="9">
        <f t="shared" si="1"/>
        <v>260193.67068974505</v>
      </c>
      <c r="E5" s="9">
        <f t="shared" si="2"/>
        <v>252045.24907794077</v>
      </c>
      <c r="F5" s="9">
        <f t="shared" si="3"/>
        <v>315573.61744267523</v>
      </c>
      <c r="G5" s="9">
        <f t="shared" si="4"/>
        <v>326547.65424871328</v>
      </c>
      <c r="H5" s="9">
        <f t="shared" si="5"/>
        <v>184062.82107841503</v>
      </c>
      <c r="I5" s="9">
        <f t="shared" si="6"/>
        <v>232608.41573695641</v>
      </c>
      <c r="J5" s="9">
        <f t="shared" si="7"/>
        <v>268123.77206736634</v>
      </c>
      <c r="K5" s="9">
        <f t="shared" si="8"/>
        <v>276579.8067742681</v>
      </c>
      <c r="L5" s="9">
        <f t="shared" si="9"/>
        <v>276579.8067742681</v>
      </c>
      <c r="M5" s="9">
        <f t="shared" si="10"/>
        <v>238775.2690838305</v>
      </c>
      <c r="N5" s="9">
        <f t="shared" si="11"/>
        <v>199364.57314847884</v>
      </c>
      <c r="O5" s="9">
        <f t="shared" si="12"/>
        <v>199364.57314847884</v>
      </c>
      <c r="P5" s="9">
        <f t="shared" si="13"/>
        <v>199364.57314847884</v>
      </c>
      <c r="Q5" s="9">
        <f t="shared" si="14"/>
        <v>199364.57314847884</v>
      </c>
      <c r="R5" s="9">
        <f t="shared" si="15"/>
        <v>199364.57314847884</v>
      </c>
      <c r="S5" s="9">
        <f t="shared" si="16"/>
        <v>199364.57314847884</v>
      </c>
      <c r="T5" s="9">
        <f t="shared" si="17"/>
        <v>199364.57314847884</v>
      </c>
      <c r="U5" s="9">
        <f>SUM(Table6[[#This Row],[Payment 1 - 9/1/22]:[Payment 18 -2038]])</f>
        <v>4199094.3216071585</v>
      </c>
    </row>
    <row r="6" spans="1:21" ht="16.2" thickBot="1" x14ac:dyDescent="0.35">
      <c r="A6" s="31" t="s">
        <v>6</v>
      </c>
      <c r="B6" s="4">
        <v>1.2660706775723332E-2</v>
      </c>
      <c r="C6" s="9">
        <f t="shared" si="0"/>
        <v>362548.0604837354</v>
      </c>
      <c r="D6" s="9">
        <f t="shared" si="1"/>
        <v>547007.78599397</v>
      </c>
      <c r="E6" s="9">
        <f t="shared" si="2"/>
        <v>529877.2768105499</v>
      </c>
      <c r="F6" s="9">
        <f t="shared" si="3"/>
        <v>663433.60827273701</v>
      </c>
      <c r="G6" s="9">
        <f t="shared" si="4"/>
        <v>686504.4368627416</v>
      </c>
      <c r="H6" s="9">
        <f t="shared" si="5"/>
        <v>386957.13072115195</v>
      </c>
      <c r="I6" s="9">
        <f t="shared" si="6"/>
        <v>489015.02545600652</v>
      </c>
      <c r="J6" s="9">
        <f t="shared" si="7"/>
        <v>563679.31834055332</v>
      </c>
      <c r="K6" s="9">
        <f t="shared" si="8"/>
        <v>581456.5256455919</v>
      </c>
      <c r="L6" s="9">
        <f t="shared" si="9"/>
        <v>581456.5256455919</v>
      </c>
      <c r="M6" s="9">
        <f t="shared" si="10"/>
        <v>501979.66363064316</v>
      </c>
      <c r="N6" s="9">
        <f t="shared" si="11"/>
        <v>419126.15888961515</v>
      </c>
      <c r="O6" s="9">
        <f t="shared" si="12"/>
        <v>419126.15888961515</v>
      </c>
      <c r="P6" s="9">
        <f t="shared" si="13"/>
        <v>419126.15888961515</v>
      </c>
      <c r="Q6" s="9">
        <f t="shared" si="14"/>
        <v>419126.15888961515</v>
      </c>
      <c r="R6" s="9">
        <f t="shared" si="15"/>
        <v>419126.15888961515</v>
      </c>
      <c r="S6" s="9">
        <f t="shared" si="16"/>
        <v>419126.15888961515</v>
      </c>
      <c r="T6" s="9">
        <f t="shared" si="17"/>
        <v>419126.15888961515</v>
      </c>
      <c r="U6" s="9">
        <f>SUM(Table6[[#This Row],[Payment 1 - 9/1/22]:[Payment 18 -2038]])</f>
        <v>8827798.4700905792</v>
      </c>
    </row>
    <row r="7" spans="1:21" ht="16.2" thickBot="1" x14ac:dyDescent="0.35">
      <c r="A7" s="31" t="s">
        <v>7</v>
      </c>
      <c r="B7" s="4">
        <v>1.9080507699772487E-3</v>
      </c>
      <c r="C7" s="9">
        <f t="shared" si="0"/>
        <v>54638.348254473953</v>
      </c>
      <c r="D7" s="9">
        <f t="shared" si="1"/>
        <v>82437.627356685611</v>
      </c>
      <c r="E7" s="9">
        <f t="shared" si="2"/>
        <v>79855.948322762968</v>
      </c>
      <c r="F7" s="9">
        <f t="shared" si="3"/>
        <v>99983.755213480865</v>
      </c>
      <c r="G7" s="9">
        <f t="shared" si="4"/>
        <v>103460.67897729314</v>
      </c>
      <c r="H7" s="9">
        <f t="shared" si="5"/>
        <v>58316.953729346475</v>
      </c>
      <c r="I7" s="9">
        <f t="shared" si="6"/>
        <v>73697.741554279797</v>
      </c>
      <c r="J7" s="9">
        <f t="shared" si="7"/>
        <v>84950.135599242363</v>
      </c>
      <c r="K7" s="9">
        <f t="shared" si="8"/>
        <v>87629.276241806205</v>
      </c>
      <c r="L7" s="9">
        <f t="shared" si="9"/>
        <v>87629.276241806205</v>
      </c>
      <c r="M7" s="9">
        <f t="shared" si="10"/>
        <v>75651.596760769928</v>
      </c>
      <c r="N7" s="9">
        <f t="shared" si="11"/>
        <v>63165.035282261924</v>
      </c>
      <c r="O7" s="9">
        <f t="shared" si="12"/>
        <v>63165.035282261924</v>
      </c>
      <c r="P7" s="9">
        <f t="shared" si="13"/>
        <v>63165.035282261924</v>
      </c>
      <c r="Q7" s="9">
        <f t="shared" si="14"/>
        <v>63165.035282261924</v>
      </c>
      <c r="R7" s="9">
        <f t="shared" si="15"/>
        <v>63165.035282261924</v>
      </c>
      <c r="S7" s="9">
        <f t="shared" si="16"/>
        <v>63165.035282261924</v>
      </c>
      <c r="T7" s="9">
        <f t="shared" si="17"/>
        <v>63165.035282261924</v>
      </c>
      <c r="U7" s="9">
        <f>SUM(Table6[[#This Row],[Payment 1 - 9/1/22]:[Payment 18 -2038]])</f>
        <v>1330406.585227781</v>
      </c>
    </row>
    <row r="8" spans="1:21" ht="16.2" thickBot="1" x14ac:dyDescent="0.35">
      <c r="A8" s="31" t="s">
        <v>8</v>
      </c>
      <c r="B8" s="4">
        <v>1.8792305559577987E-2</v>
      </c>
      <c r="C8" s="9">
        <f t="shared" si="0"/>
        <v>538130.61571781558</v>
      </c>
      <c r="D8" s="9">
        <f t="shared" si="1"/>
        <v>811924.45571662311</v>
      </c>
      <c r="E8" s="9">
        <f t="shared" si="2"/>
        <v>786497.61591465666</v>
      </c>
      <c r="F8" s="9">
        <f t="shared" si="3"/>
        <v>984735.47377787286</v>
      </c>
      <c r="G8" s="9">
        <f t="shared" si="4"/>
        <v>1018979.5383515304</v>
      </c>
      <c r="H8" s="9">
        <f t="shared" si="5"/>
        <v>574361.03432337777</v>
      </c>
      <c r="I8" s="9">
        <f t="shared" si="6"/>
        <v>725845.71654524037</v>
      </c>
      <c r="J8" s="9">
        <f t="shared" si="7"/>
        <v>836670.0355292859</v>
      </c>
      <c r="K8" s="9">
        <f t="shared" si="8"/>
        <v>863056.77029774513</v>
      </c>
      <c r="L8" s="9">
        <f t="shared" si="9"/>
        <v>863056.77029774513</v>
      </c>
      <c r="M8" s="9">
        <f t="shared" si="10"/>
        <v>745089.14792415104</v>
      </c>
      <c r="N8" s="9">
        <f t="shared" si="11"/>
        <v>622109.56982027495</v>
      </c>
      <c r="O8" s="9">
        <f t="shared" si="12"/>
        <v>622109.56982027495</v>
      </c>
      <c r="P8" s="9">
        <f t="shared" si="13"/>
        <v>622109.56982027495</v>
      </c>
      <c r="Q8" s="9">
        <f t="shared" si="14"/>
        <v>622109.56982027495</v>
      </c>
      <c r="R8" s="9">
        <f t="shared" si="15"/>
        <v>622109.56982027495</v>
      </c>
      <c r="S8" s="9">
        <f t="shared" si="16"/>
        <v>622109.56982027495</v>
      </c>
      <c r="T8" s="9">
        <f t="shared" si="17"/>
        <v>622109.56982027495</v>
      </c>
      <c r="U8" s="9">
        <f>SUM(Table6[[#This Row],[Payment 1 - 9/1/22]:[Payment 18 -2038]])</f>
        <v>13103114.163137972</v>
      </c>
    </row>
    <row r="9" spans="1:21" ht="16.2" thickBot="1" x14ac:dyDescent="0.35">
      <c r="A9" s="31" t="s">
        <v>9</v>
      </c>
      <c r="B9" s="4">
        <v>8.0197735934250114E-3</v>
      </c>
      <c r="C9" s="9">
        <f t="shared" si="0"/>
        <v>229651.74166975371</v>
      </c>
      <c r="D9" s="9">
        <f t="shared" si="1"/>
        <v>346495.55314906099</v>
      </c>
      <c r="E9" s="9">
        <f t="shared" si="2"/>
        <v>335644.43657043943</v>
      </c>
      <c r="F9" s="9">
        <f t="shared" si="3"/>
        <v>420244.10065467242</v>
      </c>
      <c r="G9" s="9">
        <f t="shared" si="4"/>
        <v>434858.04165987222</v>
      </c>
      <c r="H9" s="9">
        <f t="shared" si="5"/>
        <v>245113.37587373407</v>
      </c>
      <c r="I9" s="9">
        <f t="shared" si="6"/>
        <v>309760.73116708611</v>
      </c>
      <c r="J9" s="9">
        <f t="shared" si="7"/>
        <v>357055.93632857123</v>
      </c>
      <c r="K9" s="9">
        <f t="shared" si="8"/>
        <v>368316.69611357502</v>
      </c>
      <c r="L9" s="9">
        <f t="shared" si="9"/>
        <v>368316.69611357502</v>
      </c>
      <c r="M9" s="9">
        <f t="shared" si="10"/>
        <v>317973.02647753659</v>
      </c>
      <c r="N9" s="9">
        <f t="shared" si="11"/>
        <v>265490.46280906018</v>
      </c>
      <c r="O9" s="9">
        <f t="shared" si="12"/>
        <v>265490.46280906018</v>
      </c>
      <c r="P9" s="9">
        <f t="shared" si="13"/>
        <v>265490.46280906018</v>
      </c>
      <c r="Q9" s="9">
        <f t="shared" si="14"/>
        <v>265490.46280906018</v>
      </c>
      <c r="R9" s="9">
        <f t="shared" si="15"/>
        <v>265490.46280906018</v>
      </c>
      <c r="S9" s="9">
        <f t="shared" si="16"/>
        <v>265490.46280906018</v>
      </c>
      <c r="T9" s="9">
        <f t="shared" si="17"/>
        <v>265490.46280906018</v>
      </c>
      <c r="U9" s="9">
        <f>SUM(Table6[[#This Row],[Payment 1 - 9/1/22]:[Payment 18 -2038]])</f>
        <v>5591863.5754412962</v>
      </c>
    </row>
    <row r="10" spans="1:21" ht="16.2" thickBot="1" x14ac:dyDescent="0.35">
      <c r="A10" s="31" t="s">
        <v>10</v>
      </c>
      <c r="B10" s="4">
        <v>2.2359962594508242E-3</v>
      </c>
      <c r="C10" s="9">
        <f t="shared" si="0"/>
        <v>64029.293267197485</v>
      </c>
      <c r="D10" s="9">
        <f t="shared" si="1"/>
        <v>96606.562732996812</v>
      </c>
      <c r="E10" s="9">
        <f t="shared" si="2"/>
        <v>93581.158611793871</v>
      </c>
      <c r="F10" s="9">
        <f t="shared" si="3"/>
        <v>117168.42454137413</v>
      </c>
      <c r="G10" s="9">
        <f t="shared" si="4"/>
        <v>121242.94323480103</v>
      </c>
      <c r="H10" s="9">
        <f t="shared" si="5"/>
        <v>68340.157637912504</v>
      </c>
      <c r="I10" s="9">
        <f t="shared" si="6"/>
        <v>86364.512432396179</v>
      </c>
      <c r="J10" s="9">
        <f t="shared" si="7"/>
        <v>99550.907359771736</v>
      </c>
      <c r="K10" s="9">
        <f t="shared" si="8"/>
        <v>102690.52426597537</v>
      </c>
      <c r="L10" s="9">
        <f t="shared" si="9"/>
        <v>102690.52426597537</v>
      </c>
      <c r="M10" s="9">
        <f t="shared" si="10"/>
        <v>88654.185748202406</v>
      </c>
      <c r="N10" s="9">
        <f t="shared" si="11"/>
        <v>74021.501336099711</v>
      </c>
      <c r="O10" s="9">
        <f t="shared" si="12"/>
        <v>74021.501336099711</v>
      </c>
      <c r="P10" s="9">
        <f t="shared" si="13"/>
        <v>74021.501336099711</v>
      </c>
      <c r="Q10" s="9">
        <f t="shared" si="14"/>
        <v>74021.501336099711</v>
      </c>
      <c r="R10" s="9">
        <f t="shared" si="15"/>
        <v>74021.501336099711</v>
      </c>
      <c r="S10" s="9">
        <f t="shared" si="16"/>
        <v>74021.501336099711</v>
      </c>
      <c r="T10" s="9">
        <f t="shared" si="17"/>
        <v>74021.501336099711</v>
      </c>
      <c r="U10" s="9">
        <f>SUM(Table6[[#This Row],[Payment 1 - 9/1/22]:[Payment 18 -2038]])</f>
        <v>1559069.7034510956</v>
      </c>
    </row>
    <row r="11" spans="1:21" ht="16.2" thickBot="1" x14ac:dyDescent="0.35">
      <c r="A11" s="31" t="s">
        <v>11</v>
      </c>
      <c r="B11" s="4">
        <v>5.7668825533399602E-2</v>
      </c>
      <c r="C11" s="9">
        <f t="shared" si="0"/>
        <v>1651386.5472028074</v>
      </c>
      <c r="D11" s="9">
        <f t="shared" si="1"/>
        <v>2491590.4881696622</v>
      </c>
      <c r="E11" s="9">
        <f t="shared" si="2"/>
        <v>2413561.9576225975</v>
      </c>
      <c r="F11" s="9">
        <f t="shared" si="3"/>
        <v>3021903.7283002241</v>
      </c>
      <c r="G11" s="9">
        <f t="shared" si="4"/>
        <v>3126990.0882038507</v>
      </c>
      <c r="H11" s="9">
        <f t="shared" si="5"/>
        <v>1762568.5244722916</v>
      </c>
      <c r="I11" s="9">
        <f t="shared" si="6"/>
        <v>2227436.6420291909</v>
      </c>
      <c r="J11" s="9">
        <f t="shared" si="7"/>
        <v>2567528.4043777101</v>
      </c>
      <c r="K11" s="9">
        <f t="shared" si="8"/>
        <v>2648502.6094284998</v>
      </c>
      <c r="L11" s="9">
        <f t="shared" si="9"/>
        <v>2648502.6094284998</v>
      </c>
      <c r="M11" s="9">
        <f t="shared" si="10"/>
        <v>2286489.8584286412</v>
      </c>
      <c r="N11" s="9">
        <f t="shared" si="11"/>
        <v>1909096.684857724</v>
      </c>
      <c r="O11" s="9">
        <f t="shared" si="12"/>
        <v>1909096.684857724</v>
      </c>
      <c r="P11" s="9">
        <f t="shared" si="13"/>
        <v>1909096.684857724</v>
      </c>
      <c r="Q11" s="9">
        <f t="shared" si="14"/>
        <v>1909096.684857724</v>
      </c>
      <c r="R11" s="9">
        <f t="shared" si="15"/>
        <v>1909096.684857724</v>
      </c>
      <c r="S11" s="9">
        <f t="shared" si="16"/>
        <v>1909096.684857724</v>
      </c>
      <c r="T11" s="9">
        <f t="shared" si="17"/>
        <v>1909096.684857724</v>
      </c>
      <c r="U11" s="9">
        <f>SUM(Table6[[#This Row],[Payment 1 - 9/1/22]:[Payment 18 -2038]])</f>
        <v>40210138.251668043</v>
      </c>
    </row>
    <row r="12" spans="1:21" ht="16.2" thickBot="1" x14ac:dyDescent="0.35">
      <c r="A12" s="31" t="s">
        <v>12</v>
      </c>
      <c r="B12" s="4">
        <v>1.3604794180508509E-2</v>
      </c>
      <c r="C12" s="9">
        <f t="shared" si="0"/>
        <v>389582.6537015721</v>
      </c>
      <c r="D12" s="9">
        <f t="shared" si="1"/>
        <v>587797.22770717391</v>
      </c>
      <c r="E12" s="9">
        <f t="shared" si="2"/>
        <v>569389.3255437162</v>
      </c>
      <c r="F12" s="9">
        <f t="shared" si="3"/>
        <v>712904.72584750527</v>
      </c>
      <c r="G12" s="9">
        <f t="shared" si="4"/>
        <v>737695.9069482832</v>
      </c>
      <c r="H12" s="9">
        <f t="shared" si="5"/>
        <v>415811.8668569061</v>
      </c>
      <c r="I12" s="9">
        <f t="shared" si="6"/>
        <v>525480.04549493256</v>
      </c>
      <c r="J12" s="9">
        <f t="shared" si="7"/>
        <v>605711.92791047262</v>
      </c>
      <c r="K12" s="9">
        <f t="shared" si="8"/>
        <v>624814.7513763028</v>
      </c>
      <c r="L12" s="9">
        <f t="shared" si="9"/>
        <v>624814.7513763028</v>
      </c>
      <c r="M12" s="9">
        <f t="shared" si="10"/>
        <v>539411.43472265743</v>
      </c>
      <c r="N12" s="9">
        <f t="shared" si="11"/>
        <v>450379.68482881534</v>
      </c>
      <c r="O12" s="9">
        <f t="shared" si="12"/>
        <v>450379.68482881534</v>
      </c>
      <c r="P12" s="9">
        <f t="shared" si="13"/>
        <v>450379.68482881534</v>
      </c>
      <c r="Q12" s="9">
        <f t="shared" si="14"/>
        <v>450379.68482881534</v>
      </c>
      <c r="R12" s="9">
        <f t="shared" si="15"/>
        <v>450379.68482881534</v>
      </c>
      <c r="S12" s="9">
        <f t="shared" si="16"/>
        <v>450379.68482881534</v>
      </c>
      <c r="T12" s="9">
        <f t="shared" si="17"/>
        <v>450379.68482881534</v>
      </c>
      <c r="U12" s="9">
        <f>SUM(Table6[[#This Row],[Payment 1 - 9/1/22]:[Payment 18 -2038]])</f>
        <v>9486072.4112875331</v>
      </c>
    </row>
    <row r="13" spans="1:21" ht="16.2" thickBot="1" x14ac:dyDescent="0.35">
      <c r="A13" s="31" t="s">
        <v>13</v>
      </c>
      <c r="B13" s="4">
        <v>1.5771226721418889E-2</v>
      </c>
      <c r="C13" s="9">
        <f t="shared" si="0"/>
        <v>451619.94196591823</v>
      </c>
      <c r="D13" s="9">
        <f t="shared" si="1"/>
        <v>681398.2792678182</v>
      </c>
      <c r="E13" s="9">
        <f t="shared" si="2"/>
        <v>660059.09584220476</v>
      </c>
      <c r="F13" s="9">
        <f t="shared" si="3"/>
        <v>826427.94245430746</v>
      </c>
      <c r="G13" s="9">
        <f t="shared" si="4"/>
        <v>855166.88055542833</v>
      </c>
      <c r="H13" s="9">
        <f t="shared" si="5"/>
        <v>482025.90488668426</v>
      </c>
      <c r="I13" s="9">
        <f t="shared" si="6"/>
        <v>609157.68552790652</v>
      </c>
      <c r="J13" s="9">
        <f t="shared" si="7"/>
        <v>702165.72306768561</v>
      </c>
      <c r="K13" s="9">
        <f t="shared" si="8"/>
        <v>724310.48732516193</v>
      </c>
      <c r="L13" s="9">
        <f t="shared" si="9"/>
        <v>724310.48732516193</v>
      </c>
      <c r="M13" s="9">
        <f t="shared" si="10"/>
        <v>625307.51441466506</v>
      </c>
      <c r="N13" s="9">
        <f t="shared" si="11"/>
        <v>522098.31519045722</v>
      </c>
      <c r="O13" s="9">
        <f t="shared" si="12"/>
        <v>522098.31519045722</v>
      </c>
      <c r="P13" s="9">
        <f t="shared" si="13"/>
        <v>522098.31519045722</v>
      </c>
      <c r="Q13" s="9">
        <f t="shared" si="14"/>
        <v>522098.31519045722</v>
      </c>
      <c r="R13" s="9">
        <f t="shared" si="15"/>
        <v>522098.31519045722</v>
      </c>
      <c r="S13" s="9">
        <f t="shared" si="16"/>
        <v>522098.31519045722</v>
      </c>
      <c r="T13" s="9">
        <f t="shared" si="17"/>
        <v>522098.31519045722</v>
      </c>
      <c r="U13" s="9">
        <f>SUM(Table6[[#This Row],[Payment 1 - 9/1/22]:[Payment 18 -2038]])</f>
        <v>10996638.148966141</v>
      </c>
    </row>
    <row r="14" spans="1:21" ht="16.2" thickBot="1" x14ac:dyDescent="0.35">
      <c r="A14" s="31" t="s">
        <v>14</v>
      </c>
      <c r="B14" s="4">
        <v>1.4285891185864001E-3</v>
      </c>
      <c r="C14" s="9">
        <f t="shared" si="0"/>
        <v>40908.633565765362</v>
      </c>
      <c r="D14" s="9">
        <f t="shared" si="1"/>
        <v>61722.412871249682</v>
      </c>
      <c r="E14" s="9">
        <f t="shared" si="2"/>
        <v>59789.467148013762</v>
      </c>
      <c r="F14" s="9">
        <f t="shared" si="3"/>
        <v>74859.488531894865</v>
      </c>
      <c r="G14" s="9">
        <f t="shared" si="4"/>
        <v>77462.718767322978</v>
      </c>
      <c r="H14" s="9">
        <f t="shared" si="5"/>
        <v>43662.866228577521</v>
      </c>
      <c r="I14" s="9">
        <f t="shared" si="6"/>
        <v>55178.716051718198</v>
      </c>
      <c r="J14" s="9">
        <f t="shared" si="7"/>
        <v>63603.569280792181</v>
      </c>
      <c r="K14" s="9">
        <f t="shared" si="8"/>
        <v>65609.48611977385</v>
      </c>
      <c r="L14" s="9">
        <f t="shared" si="9"/>
        <v>65609.48611977385</v>
      </c>
      <c r="M14" s="9">
        <f t="shared" si="10"/>
        <v>56641.599708277536</v>
      </c>
      <c r="N14" s="9">
        <f t="shared" si="11"/>
        <v>47292.704942249205</v>
      </c>
      <c r="O14" s="9">
        <f t="shared" si="12"/>
        <v>47292.704942249205</v>
      </c>
      <c r="P14" s="9">
        <f t="shared" si="13"/>
        <v>47292.704942249205</v>
      </c>
      <c r="Q14" s="9">
        <f t="shared" si="14"/>
        <v>47292.704942249205</v>
      </c>
      <c r="R14" s="9">
        <f t="shared" si="15"/>
        <v>47292.704942249205</v>
      </c>
      <c r="S14" s="9">
        <f t="shared" si="16"/>
        <v>47292.704942249205</v>
      </c>
      <c r="T14" s="9">
        <f t="shared" si="17"/>
        <v>47292.704942249205</v>
      </c>
      <c r="U14" s="9">
        <f>SUM(Table6[[#This Row],[Payment 1 - 9/1/22]:[Payment 18 -2038]])</f>
        <v>996097.3789889043</v>
      </c>
    </row>
    <row r="15" spans="1:21" ht="16.2" thickBot="1" x14ac:dyDescent="0.35">
      <c r="A15" s="31" t="s">
        <v>15</v>
      </c>
      <c r="B15" s="4">
        <v>6.399917820696671E-3</v>
      </c>
      <c r="C15" s="9">
        <f t="shared" si="0"/>
        <v>183266.05569903585</v>
      </c>
      <c r="D15" s="9">
        <f t="shared" si="1"/>
        <v>276509.43503054406</v>
      </c>
      <c r="E15" s="9">
        <f t="shared" si="2"/>
        <v>267850.05661331385</v>
      </c>
      <c r="F15" s="9">
        <f t="shared" si="3"/>
        <v>335362.04950068484</v>
      </c>
      <c r="G15" s="9">
        <f t="shared" si="4"/>
        <v>347024.22679038619</v>
      </c>
      <c r="H15" s="9">
        <f t="shared" si="5"/>
        <v>195604.70680014344</v>
      </c>
      <c r="I15" s="9">
        <f t="shared" si="6"/>
        <v>247194.41271678364</v>
      </c>
      <c r="J15" s="9">
        <f t="shared" si="7"/>
        <v>284936.8031746202</v>
      </c>
      <c r="K15" s="9">
        <f t="shared" si="8"/>
        <v>293923.08394465526</v>
      </c>
      <c r="L15" s="9">
        <f t="shared" si="9"/>
        <v>293923.08394465526</v>
      </c>
      <c r="M15" s="9">
        <f t="shared" si="10"/>
        <v>253747.96619231629</v>
      </c>
      <c r="N15" s="9">
        <f t="shared" si="11"/>
        <v>211865.97406561792</v>
      </c>
      <c r="O15" s="9">
        <f t="shared" si="12"/>
        <v>211865.97406561792</v>
      </c>
      <c r="P15" s="9">
        <f t="shared" si="13"/>
        <v>211865.97406561792</v>
      </c>
      <c r="Q15" s="9">
        <f t="shared" si="14"/>
        <v>211865.97406561792</v>
      </c>
      <c r="R15" s="9">
        <f t="shared" si="15"/>
        <v>211865.97406561792</v>
      </c>
      <c r="S15" s="9">
        <f t="shared" si="16"/>
        <v>211865.97406561792</v>
      </c>
      <c r="T15" s="9">
        <f t="shared" si="17"/>
        <v>211865.97406561792</v>
      </c>
      <c r="U15" s="9">
        <f>SUM(Table6[[#This Row],[Payment 1 - 9/1/22]:[Payment 18 -2038]])</f>
        <v>4462403.6988664651</v>
      </c>
    </row>
    <row r="16" spans="1:21" ht="16.2" thickBot="1" x14ac:dyDescent="0.35">
      <c r="A16" s="31" t="s">
        <v>16</v>
      </c>
      <c r="B16" s="4">
        <v>2.4844407644750662E-3</v>
      </c>
      <c r="C16" s="9">
        <f t="shared" si="0"/>
        <v>71143.672821986169</v>
      </c>
      <c r="D16" s="9">
        <f t="shared" si="1"/>
        <v>107340.64583302297</v>
      </c>
      <c r="E16" s="9">
        <f t="shared" si="2"/>
        <v>103979.08505403779</v>
      </c>
      <c r="F16" s="9">
        <f t="shared" si="3"/>
        <v>130187.16333246742</v>
      </c>
      <c r="G16" s="9">
        <f t="shared" si="4"/>
        <v>134714.40719290738</v>
      </c>
      <c r="H16" s="9">
        <f t="shared" si="5"/>
        <v>75933.523040858185</v>
      </c>
      <c r="I16" s="9">
        <f t="shared" si="6"/>
        <v>95960.587762234427</v>
      </c>
      <c r="J16" s="9">
        <f t="shared" si="7"/>
        <v>110612.140489825</v>
      </c>
      <c r="K16" s="9">
        <f t="shared" si="8"/>
        <v>114100.60438757912</v>
      </c>
      <c r="L16" s="9">
        <f t="shared" si="9"/>
        <v>114100.60438757912</v>
      </c>
      <c r="M16" s="9">
        <f t="shared" si="10"/>
        <v>98504.669711869239</v>
      </c>
      <c r="N16" s="9">
        <f t="shared" si="11"/>
        <v>82246.128359901326</v>
      </c>
      <c r="O16" s="9">
        <f t="shared" si="12"/>
        <v>82246.128359901326</v>
      </c>
      <c r="P16" s="9">
        <f t="shared" si="13"/>
        <v>82246.128359901326</v>
      </c>
      <c r="Q16" s="9">
        <f t="shared" si="14"/>
        <v>82246.128359901326</v>
      </c>
      <c r="R16" s="9">
        <f t="shared" si="15"/>
        <v>82246.128359901326</v>
      </c>
      <c r="S16" s="9">
        <f t="shared" si="16"/>
        <v>82246.128359901326</v>
      </c>
      <c r="T16" s="9">
        <f t="shared" si="17"/>
        <v>82246.128359901326</v>
      </c>
      <c r="U16" s="9">
        <f>SUM(Table6[[#This Row],[Payment 1 - 9/1/22]:[Payment 18 -2038]])</f>
        <v>1732300.0025336756</v>
      </c>
    </row>
    <row r="17" spans="1:21" ht="16.2" thickBot="1" x14ac:dyDescent="0.35">
      <c r="A17" s="31" t="s">
        <v>17</v>
      </c>
      <c r="B17" s="4">
        <v>2.2161205847617552E-2</v>
      </c>
      <c r="C17" s="9">
        <f t="shared" si="0"/>
        <v>634601.39630123705</v>
      </c>
      <c r="D17" s="9">
        <f t="shared" si="1"/>
        <v>957478.31147201685</v>
      </c>
      <c r="E17" s="9">
        <f t="shared" si="2"/>
        <v>927493.19713256974</v>
      </c>
      <c r="F17" s="9">
        <f t="shared" si="3"/>
        <v>1161269.1944932756</v>
      </c>
      <c r="G17" s="9">
        <f t="shared" si="4"/>
        <v>1201652.1992113502</v>
      </c>
      <c r="H17" s="9">
        <f t="shared" si="5"/>
        <v>677326.8491264754</v>
      </c>
      <c r="I17" s="9">
        <f t="shared" si="6"/>
        <v>855968.2199171182</v>
      </c>
      <c r="J17" s="9">
        <f t="shared" si="7"/>
        <v>986660.03621081926</v>
      </c>
      <c r="K17" s="9">
        <f t="shared" si="8"/>
        <v>1017777.1260748819</v>
      </c>
      <c r="L17" s="9">
        <f t="shared" si="9"/>
        <v>1017777.1260748819</v>
      </c>
      <c r="M17" s="9">
        <f t="shared" si="10"/>
        <v>878661.42499781074</v>
      </c>
      <c r="N17" s="9">
        <f t="shared" si="11"/>
        <v>733635.27390779182</v>
      </c>
      <c r="O17" s="9">
        <f t="shared" si="12"/>
        <v>733635.27390779182</v>
      </c>
      <c r="P17" s="9">
        <f t="shared" si="13"/>
        <v>733635.27390779182</v>
      </c>
      <c r="Q17" s="9">
        <f t="shared" si="14"/>
        <v>733635.27390779182</v>
      </c>
      <c r="R17" s="9">
        <f t="shared" si="15"/>
        <v>733635.27390779182</v>
      </c>
      <c r="S17" s="9">
        <f t="shared" si="16"/>
        <v>733635.27390779182</v>
      </c>
      <c r="T17" s="9">
        <f t="shared" si="17"/>
        <v>733635.27390779182</v>
      </c>
      <c r="U17" s="9">
        <f>SUM(Table6[[#This Row],[Payment 1 - 9/1/22]:[Payment 18 -2038]])</f>
        <v>15452111.998366978</v>
      </c>
    </row>
    <row r="18" spans="1:21" ht="16.2" thickBot="1" x14ac:dyDescent="0.35">
      <c r="A18" s="31" t="s">
        <v>18</v>
      </c>
      <c r="B18" s="4">
        <v>1.4608509466514366E-3</v>
      </c>
      <c r="C18" s="9">
        <f t="shared" si="0"/>
        <v>41832.473237581034</v>
      </c>
      <c r="D18" s="9">
        <f t="shared" si="1"/>
        <v>63116.290121121099</v>
      </c>
      <c r="E18" s="9">
        <f t="shared" si="2"/>
        <v>61139.692684617345</v>
      </c>
      <c r="F18" s="9">
        <f t="shared" si="3"/>
        <v>76550.040361410633</v>
      </c>
      <c r="G18" s="9">
        <f t="shared" si="4"/>
        <v>79212.059345245434</v>
      </c>
      <c r="H18" s="9">
        <f t="shared" si="5"/>
        <v>44648.904736617485</v>
      </c>
      <c r="I18" s="9">
        <f t="shared" si="6"/>
        <v>56424.816996314141</v>
      </c>
      <c r="J18" s="9">
        <f t="shared" si="7"/>
        <v>65039.928685860301</v>
      </c>
      <c r="K18" s="9">
        <f t="shared" si="8"/>
        <v>67091.145144816692</v>
      </c>
      <c r="L18" s="9">
        <f t="shared" si="9"/>
        <v>67091.145144816692</v>
      </c>
      <c r="M18" s="9">
        <f t="shared" si="10"/>
        <v>57920.736954489563</v>
      </c>
      <c r="N18" s="9">
        <f t="shared" si="11"/>
        <v>48360.716097960008</v>
      </c>
      <c r="O18" s="9">
        <f t="shared" si="12"/>
        <v>48360.716097960008</v>
      </c>
      <c r="P18" s="9">
        <f t="shared" si="13"/>
        <v>48360.716097960008</v>
      </c>
      <c r="Q18" s="9">
        <f t="shared" si="14"/>
        <v>48360.716097960008</v>
      </c>
      <c r="R18" s="9">
        <f t="shared" si="15"/>
        <v>48360.716097960008</v>
      </c>
      <c r="S18" s="9">
        <f t="shared" si="16"/>
        <v>48360.716097960008</v>
      </c>
      <c r="T18" s="9">
        <f t="shared" si="17"/>
        <v>48360.716097960008</v>
      </c>
      <c r="U18" s="9">
        <f>SUM(Table6[[#This Row],[Payment 1 - 9/1/22]:[Payment 18 -2038]])</f>
        <v>1018592.2460986106</v>
      </c>
    </row>
    <row r="19" spans="1:21" ht="16.2" thickBot="1" x14ac:dyDescent="0.35">
      <c r="A19" s="31" t="s">
        <v>19</v>
      </c>
      <c r="B19" s="4">
        <v>2.9713910800255451E-3</v>
      </c>
      <c r="C19" s="9">
        <f t="shared" si="0"/>
        <v>85087.830567846511</v>
      </c>
      <c r="D19" s="9">
        <f t="shared" si="1"/>
        <v>128379.40920672999</v>
      </c>
      <c r="E19" s="9">
        <f t="shared" si="2"/>
        <v>124358.9826155769</v>
      </c>
      <c r="F19" s="9">
        <f t="shared" si="3"/>
        <v>155703.84345293764</v>
      </c>
      <c r="G19" s="9">
        <f t="shared" si="4"/>
        <v>161118.42697465586</v>
      </c>
      <c r="H19" s="9">
        <f t="shared" si="5"/>
        <v>90816.491286397344</v>
      </c>
      <c r="I19" s="9">
        <f t="shared" si="6"/>
        <v>114768.86009433914</v>
      </c>
      <c r="J19" s="9">
        <f t="shared" si="7"/>
        <v>132292.11671844512</v>
      </c>
      <c r="K19" s="9">
        <f t="shared" si="8"/>
        <v>136464.31943585136</v>
      </c>
      <c r="L19" s="9">
        <f t="shared" si="9"/>
        <v>136464.31943585136</v>
      </c>
      <c r="M19" s="9">
        <f t="shared" si="10"/>
        <v>117811.58203003243</v>
      </c>
      <c r="N19" s="9">
        <f t="shared" si="11"/>
        <v>98366.367059221331</v>
      </c>
      <c r="O19" s="9">
        <f t="shared" si="12"/>
        <v>98366.367059221331</v>
      </c>
      <c r="P19" s="9">
        <f t="shared" si="13"/>
        <v>98366.367059221331</v>
      </c>
      <c r="Q19" s="9">
        <f t="shared" si="14"/>
        <v>98366.367059221331</v>
      </c>
      <c r="R19" s="9">
        <f t="shared" si="15"/>
        <v>98366.367059221331</v>
      </c>
      <c r="S19" s="9">
        <f t="shared" si="16"/>
        <v>98366.367059221331</v>
      </c>
      <c r="T19" s="9">
        <f t="shared" si="17"/>
        <v>98366.367059221331</v>
      </c>
      <c r="U19" s="9">
        <f>SUM(Table6[[#This Row],[Payment 1 - 9/1/22]:[Payment 18 -2038]])</f>
        <v>2071830.7512332124</v>
      </c>
    </row>
    <row r="20" spans="1:21" ht="16.2" thickBot="1" x14ac:dyDescent="0.35">
      <c r="A20" s="31" t="s">
        <v>20</v>
      </c>
      <c r="B20" s="4">
        <v>1.4285891185863999E-3</v>
      </c>
      <c r="C20" s="9">
        <f t="shared" si="0"/>
        <v>40908.633565765354</v>
      </c>
      <c r="D20" s="9">
        <f t="shared" si="1"/>
        <v>61722.412871249668</v>
      </c>
      <c r="E20" s="9">
        <f t="shared" si="2"/>
        <v>59789.467148013755</v>
      </c>
      <c r="F20" s="9">
        <f t="shared" si="3"/>
        <v>74859.488531894851</v>
      </c>
      <c r="G20" s="9">
        <f t="shared" si="4"/>
        <v>77462.718767322978</v>
      </c>
      <c r="H20" s="9">
        <f t="shared" si="5"/>
        <v>43662.866228577514</v>
      </c>
      <c r="I20" s="9">
        <f t="shared" si="6"/>
        <v>55178.716051718191</v>
      </c>
      <c r="J20" s="9">
        <f t="shared" si="7"/>
        <v>63603.569280792173</v>
      </c>
      <c r="K20" s="9">
        <f t="shared" si="8"/>
        <v>65609.486119773836</v>
      </c>
      <c r="L20" s="9">
        <f t="shared" si="9"/>
        <v>65609.486119773836</v>
      </c>
      <c r="M20" s="9">
        <f t="shared" si="10"/>
        <v>56641.599708277528</v>
      </c>
      <c r="N20" s="9">
        <f t="shared" si="11"/>
        <v>47292.704942249198</v>
      </c>
      <c r="O20" s="9">
        <f t="shared" si="12"/>
        <v>47292.704942249198</v>
      </c>
      <c r="P20" s="9">
        <f t="shared" si="13"/>
        <v>47292.704942249198</v>
      </c>
      <c r="Q20" s="9">
        <f t="shared" si="14"/>
        <v>47292.704942249198</v>
      </c>
      <c r="R20" s="9">
        <f t="shared" si="15"/>
        <v>47292.704942249198</v>
      </c>
      <c r="S20" s="9">
        <f t="shared" si="16"/>
        <v>47292.704942249198</v>
      </c>
      <c r="T20" s="9">
        <f t="shared" si="17"/>
        <v>47292.704942249198</v>
      </c>
      <c r="U20" s="9">
        <f>SUM(Table6[[#This Row],[Payment 1 - 9/1/22]:[Payment 18 -2038]])</f>
        <v>996097.37898890418</v>
      </c>
    </row>
    <row r="21" spans="1:21" ht="16.2" thickBot="1" x14ac:dyDescent="0.35">
      <c r="A21" s="31" t="s">
        <v>21</v>
      </c>
      <c r="B21" s="4">
        <v>3.2595860772744538E-3</v>
      </c>
      <c r="C21" s="9">
        <f t="shared" si="0"/>
        <v>93340.492851602612</v>
      </c>
      <c r="D21" s="9">
        <f t="shared" si="1"/>
        <v>140830.91844489868</v>
      </c>
      <c r="E21" s="9">
        <f t="shared" si="2"/>
        <v>136420.5509812143</v>
      </c>
      <c r="F21" s="9">
        <f t="shared" si="3"/>
        <v>170805.5475124309</v>
      </c>
      <c r="G21" s="9">
        <f t="shared" si="4"/>
        <v>176745.29108246299</v>
      </c>
      <c r="H21" s="9">
        <f t="shared" si="5"/>
        <v>99624.775942153196</v>
      </c>
      <c r="I21" s="9">
        <f t="shared" si="6"/>
        <v>125900.28319831645</v>
      </c>
      <c r="J21" s="9">
        <f t="shared" si="7"/>
        <v>145123.11916373644</v>
      </c>
      <c r="K21" s="9">
        <f t="shared" si="8"/>
        <v>149699.98350873782</v>
      </c>
      <c r="L21" s="9">
        <f t="shared" si="9"/>
        <v>149699.98350873782</v>
      </c>
      <c r="M21" s="9">
        <f t="shared" si="10"/>
        <v>129238.11850558208</v>
      </c>
      <c r="N21" s="9">
        <f t="shared" si="11"/>
        <v>107906.91359804102</v>
      </c>
      <c r="O21" s="9">
        <f t="shared" si="12"/>
        <v>107906.91359804102</v>
      </c>
      <c r="P21" s="9">
        <f t="shared" si="13"/>
        <v>107906.91359804102</v>
      </c>
      <c r="Q21" s="9">
        <f t="shared" si="14"/>
        <v>107906.91359804102</v>
      </c>
      <c r="R21" s="9">
        <f t="shared" si="15"/>
        <v>107906.91359804102</v>
      </c>
      <c r="S21" s="9">
        <f t="shared" si="16"/>
        <v>107906.91359804102</v>
      </c>
      <c r="T21" s="9">
        <f t="shared" si="17"/>
        <v>107906.91359804102</v>
      </c>
      <c r="U21" s="9">
        <f>SUM(Table6[[#This Row],[Payment 1 - 9/1/22]:[Payment 18 -2038]])</f>
        <v>2272777.4598861602</v>
      </c>
    </row>
    <row r="22" spans="1:21" s="33" customFormat="1" ht="16.2" thickBot="1" x14ac:dyDescent="0.35">
      <c r="A22" s="32" t="s">
        <v>22</v>
      </c>
      <c r="B22" s="33">
        <v>6.6682368575386878E-3</v>
      </c>
      <c r="C22" s="34">
        <f t="shared" si="0"/>
        <v>190949.55616399148</v>
      </c>
      <c r="D22" s="34">
        <f t="shared" si="1"/>
        <v>288102.20033843507</v>
      </c>
      <c r="E22" s="34">
        <f t="shared" si="2"/>
        <v>279079.77412252099</v>
      </c>
      <c r="F22" s="34">
        <f t="shared" si="3"/>
        <v>349422.23349623388</v>
      </c>
      <c r="G22" s="34">
        <f t="shared" si="4"/>
        <v>361573.3520919836</v>
      </c>
      <c r="H22" s="34">
        <f t="shared" si="5"/>
        <v>203805.50999806111</v>
      </c>
      <c r="I22" s="34">
        <f t="shared" si="6"/>
        <v>257558.13434433343</v>
      </c>
      <c r="J22" s="34">
        <f t="shared" si="7"/>
        <v>296882.88916050788</v>
      </c>
      <c r="K22" s="34">
        <f t="shared" si="8"/>
        <v>306245.92323715735</v>
      </c>
      <c r="L22" s="34">
        <f t="shared" si="9"/>
        <v>306245.92323715735</v>
      </c>
      <c r="M22" s="34">
        <f t="shared" si="10"/>
        <v>264386.44809112471</v>
      </c>
      <c r="N22" s="34">
        <f t="shared" si="11"/>
        <v>220748.53720057613</v>
      </c>
      <c r="O22" s="34">
        <f t="shared" si="12"/>
        <v>220748.53720057613</v>
      </c>
      <c r="P22" s="34">
        <f t="shared" si="13"/>
        <v>220748.53720057613</v>
      </c>
      <c r="Q22" s="34">
        <f t="shared" si="14"/>
        <v>220748.53720057613</v>
      </c>
      <c r="R22" s="34">
        <f t="shared" si="15"/>
        <v>220748.53720057613</v>
      </c>
      <c r="S22" s="34">
        <f t="shared" si="16"/>
        <v>220748.53720057613</v>
      </c>
      <c r="T22" s="34">
        <f t="shared" si="17"/>
        <v>220748.53720057613</v>
      </c>
      <c r="U22" s="34">
        <f>SUM(Table6[[#This Row],[Payment 1 - 9/1/22]:[Payment 18 -2038]])</f>
        <v>4649491.704685539</v>
      </c>
    </row>
    <row r="23" spans="1:21" ht="16.2" thickBot="1" x14ac:dyDescent="0.35">
      <c r="A23" s="31" t="s">
        <v>23</v>
      </c>
      <c r="B23" s="4">
        <v>1.0414773250363621E-2</v>
      </c>
      <c r="C23" s="9">
        <f t="shared" si="0"/>
        <v>298234.20676145446</v>
      </c>
      <c r="D23" s="9">
        <f t="shared" si="1"/>
        <v>449971.88215704082</v>
      </c>
      <c r="E23" s="9">
        <f t="shared" si="2"/>
        <v>435880.2226652744</v>
      </c>
      <c r="F23" s="9">
        <f t="shared" si="3"/>
        <v>545744.46112913499</v>
      </c>
      <c r="G23" s="9">
        <f t="shared" si="4"/>
        <v>564722.66295619507</v>
      </c>
      <c r="H23" s="9">
        <f t="shared" si="5"/>
        <v>318313.25418575347</v>
      </c>
      <c r="I23" s="9">
        <f t="shared" si="6"/>
        <v>402266.68987475464</v>
      </c>
      <c r="J23" s="9">
        <f t="shared" si="7"/>
        <v>463685.98455286445</v>
      </c>
      <c r="K23" s="9">
        <f t="shared" si="8"/>
        <v>478309.62179416738</v>
      </c>
      <c r="L23" s="9">
        <f t="shared" si="9"/>
        <v>478309.62179416738</v>
      </c>
      <c r="M23" s="9">
        <f t="shared" si="10"/>
        <v>412931.47891487001</v>
      </c>
      <c r="N23" s="9">
        <f t="shared" si="11"/>
        <v>344775.68949793716</v>
      </c>
      <c r="O23" s="9">
        <f t="shared" si="12"/>
        <v>344775.68949793716</v>
      </c>
      <c r="P23" s="9">
        <f t="shared" si="13"/>
        <v>344775.68949793716</v>
      </c>
      <c r="Q23" s="9">
        <f t="shared" si="14"/>
        <v>344775.68949793716</v>
      </c>
      <c r="R23" s="9">
        <f t="shared" si="15"/>
        <v>344775.68949793716</v>
      </c>
      <c r="S23" s="9">
        <f t="shared" si="16"/>
        <v>344775.68949793716</v>
      </c>
      <c r="T23" s="9">
        <f t="shared" si="17"/>
        <v>344775.68949793716</v>
      </c>
      <c r="U23" s="9">
        <f>SUM(Table6[[#This Row],[Payment 1 - 9/1/22]:[Payment 18 -2038]])</f>
        <v>7261799.913271239</v>
      </c>
    </row>
    <row r="24" spans="1:21" ht="16.2" thickBot="1" x14ac:dyDescent="0.35">
      <c r="A24" s="31" t="s">
        <v>24</v>
      </c>
      <c r="B24" s="4">
        <v>1.6009732531945126E-2</v>
      </c>
      <c r="C24" s="9">
        <f t="shared" si="0"/>
        <v>458449.72015698988</v>
      </c>
      <c r="D24" s="9">
        <f t="shared" si="1"/>
        <v>691702.95954149903</v>
      </c>
      <c r="E24" s="9">
        <f t="shared" si="2"/>
        <v>670041.06696149986</v>
      </c>
      <c r="F24" s="9">
        <f t="shared" si="3"/>
        <v>838925.88378368434</v>
      </c>
      <c r="G24" s="9">
        <f t="shared" si="4"/>
        <v>868099.43637907051</v>
      </c>
      <c r="H24" s="9">
        <f t="shared" si="5"/>
        <v>489315.50772927777</v>
      </c>
      <c r="I24" s="9">
        <f t="shared" si="6"/>
        <v>618369.88253017294</v>
      </c>
      <c r="J24" s="9">
        <f t="shared" si="7"/>
        <v>712784.46616625239</v>
      </c>
      <c r="K24" s="9">
        <f t="shared" si="8"/>
        <v>735264.12225183041</v>
      </c>
      <c r="L24" s="9">
        <f t="shared" si="9"/>
        <v>735264.12225183041</v>
      </c>
      <c r="M24" s="9">
        <f t="shared" si="10"/>
        <v>634763.94276916143</v>
      </c>
      <c r="N24" s="9">
        <f t="shared" si="11"/>
        <v>529993.92686597561</v>
      </c>
      <c r="O24" s="9">
        <f t="shared" si="12"/>
        <v>529993.92686597561</v>
      </c>
      <c r="P24" s="9">
        <f t="shared" si="13"/>
        <v>529993.92686597561</v>
      </c>
      <c r="Q24" s="9">
        <f t="shared" si="14"/>
        <v>529993.92686597561</v>
      </c>
      <c r="R24" s="9">
        <f t="shared" si="15"/>
        <v>529993.92686597561</v>
      </c>
      <c r="S24" s="9">
        <f t="shared" si="16"/>
        <v>529993.92686597561</v>
      </c>
      <c r="T24" s="9">
        <f t="shared" si="17"/>
        <v>529993.92686597561</v>
      </c>
      <c r="U24" s="9">
        <f>SUM(Table6[[#This Row],[Payment 1 - 9/1/22]:[Payment 18 -2038]])</f>
        <v>11162938.5985831</v>
      </c>
    </row>
    <row r="25" spans="1:21" ht="16.2" thickBot="1" x14ac:dyDescent="0.35">
      <c r="A25" s="31" t="s">
        <v>25</v>
      </c>
      <c r="B25" s="4">
        <v>6.4277437366895854E-2</v>
      </c>
      <c r="C25" s="9">
        <f t="shared" si="0"/>
        <v>1840628.6997276647</v>
      </c>
      <c r="D25" s="9">
        <f t="shared" si="1"/>
        <v>2777116.5801620898</v>
      </c>
      <c r="E25" s="9">
        <f t="shared" si="2"/>
        <v>2690146.2987547619</v>
      </c>
      <c r="F25" s="9">
        <f t="shared" si="3"/>
        <v>3368201.5513236024</v>
      </c>
      <c r="G25" s="9">
        <f t="shared" si="4"/>
        <v>3485330.3788026427</v>
      </c>
      <c r="H25" s="9">
        <f t="shared" si="5"/>
        <v>1964551.6774225705</v>
      </c>
      <c r="I25" s="9">
        <f t="shared" si="6"/>
        <v>2482691.7823016741</v>
      </c>
      <c r="J25" s="9">
        <f t="shared" si="7"/>
        <v>2861756.6713671456</v>
      </c>
      <c r="K25" s="9">
        <f t="shared" si="8"/>
        <v>2952010.1895434763</v>
      </c>
      <c r="L25" s="9">
        <f t="shared" si="9"/>
        <v>2952010.1895434763</v>
      </c>
      <c r="M25" s="9">
        <f t="shared" si="10"/>
        <v>2548512.2560727415</v>
      </c>
      <c r="N25" s="9">
        <f t="shared" si="11"/>
        <v>2127871.3664321257</v>
      </c>
      <c r="O25" s="9">
        <f t="shared" si="12"/>
        <v>2127871.3664321257</v>
      </c>
      <c r="P25" s="9">
        <f t="shared" si="13"/>
        <v>2127871.3664321257</v>
      </c>
      <c r="Q25" s="9">
        <f t="shared" si="14"/>
        <v>2127871.3664321257</v>
      </c>
      <c r="R25" s="9">
        <f t="shared" si="15"/>
        <v>2127871.3664321257</v>
      </c>
      <c r="S25" s="9">
        <f t="shared" si="16"/>
        <v>2127871.3664321257</v>
      </c>
      <c r="T25" s="9">
        <f t="shared" si="17"/>
        <v>2127871.3664321257</v>
      </c>
      <c r="U25" s="9">
        <f>SUM(Table6[[#This Row],[Payment 1 - 9/1/22]:[Payment 18 -2038]])</f>
        <v>44818055.840046711</v>
      </c>
    </row>
    <row r="26" spans="1:21" ht="16.2" thickBot="1" x14ac:dyDescent="0.35">
      <c r="A26" s="31" t="s">
        <v>26</v>
      </c>
      <c r="B26" s="4">
        <v>1.6695435308618936E-3</v>
      </c>
      <c r="C26" s="9">
        <f t="shared" si="0"/>
        <v>47808.52915476873</v>
      </c>
      <c r="D26" s="9">
        <f t="shared" si="1"/>
        <v>72132.88536059187</v>
      </c>
      <c r="E26" s="9">
        <f t="shared" si="2"/>
        <v>69873.917414000636</v>
      </c>
      <c r="F26" s="9">
        <f t="shared" si="3"/>
        <v>87485.739024615439</v>
      </c>
      <c r="G26" s="9">
        <f t="shared" si="4"/>
        <v>90528.045690932267</v>
      </c>
      <c r="H26" s="9">
        <f t="shared" si="5"/>
        <v>51027.307223886775</v>
      </c>
      <c r="I26" s="9">
        <f t="shared" si="6"/>
        <v>64485.489373297292</v>
      </c>
      <c r="J26" s="9">
        <f t="shared" si="7"/>
        <v>74331.328897106272</v>
      </c>
      <c r="K26" s="9">
        <f t="shared" si="8"/>
        <v>76675.575705651616</v>
      </c>
      <c r="L26" s="9">
        <f t="shared" si="9"/>
        <v>76675.575705651616</v>
      </c>
      <c r="M26" s="9">
        <f t="shared" si="10"/>
        <v>66195.111764673871</v>
      </c>
      <c r="N26" s="9">
        <f t="shared" si="11"/>
        <v>55269.3763140386</v>
      </c>
      <c r="O26" s="9">
        <f t="shared" si="12"/>
        <v>55269.3763140386</v>
      </c>
      <c r="P26" s="9">
        <f t="shared" si="13"/>
        <v>55269.3763140386</v>
      </c>
      <c r="Q26" s="9">
        <f t="shared" si="14"/>
        <v>55269.3763140386</v>
      </c>
      <c r="R26" s="9">
        <f t="shared" si="15"/>
        <v>55269.3763140386</v>
      </c>
      <c r="S26" s="9">
        <f t="shared" si="16"/>
        <v>55269.3763140386</v>
      </c>
      <c r="T26" s="9">
        <f t="shared" si="17"/>
        <v>55269.3763140386</v>
      </c>
      <c r="U26" s="9">
        <f>SUM(Table6[[#This Row],[Payment 1 - 9/1/22]:[Payment 18 -2038]])</f>
        <v>1164105.1395134469</v>
      </c>
    </row>
    <row r="27" spans="1:21" ht="16.2" thickBot="1" x14ac:dyDescent="0.35">
      <c r="A27" s="31" t="s">
        <v>27</v>
      </c>
      <c r="B27" s="4">
        <v>2.0382346677401429E-2</v>
      </c>
      <c r="C27" s="9">
        <f t="shared" si="0"/>
        <v>583662.5385060159</v>
      </c>
      <c r="D27" s="9">
        <f t="shared" si="1"/>
        <v>880622.42707851704</v>
      </c>
      <c r="E27" s="9">
        <f t="shared" si="2"/>
        <v>853044.18969240319</v>
      </c>
      <c r="F27" s="9">
        <f t="shared" si="3"/>
        <v>1068055.2074061998</v>
      </c>
      <c r="G27" s="9">
        <f t="shared" si="4"/>
        <v>1105196.7062803425</v>
      </c>
      <c r="H27" s="9">
        <f t="shared" si="5"/>
        <v>622958.459378778</v>
      </c>
      <c r="I27" s="9">
        <f t="shared" si="6"/>
        <v>787260.45519154356</v>
      </c>
      <c r="J27" s="9">
        <f t="shared" si="7"/>
        <v>907461.76219234685</v>
      </c>
      <c r="K27" s="9">
        <f t="shared" si="8"/>
        <v>936081.11249134527</v>
      </c>
      <c r="L27" s="9">
        <f t="shared" si="9"/>
        <v>936081.11249134527</v>
      </c>
      <c r="M27" s="9">
        <f t="shared" si="10"/>
        <v>808132.09802345955</v>
      </c>
      <c r="N27" s="9">
        <f t="shared" si="11"/>
        <v>674747.05981157243</v>
      </c>
      <c r="O27" s="9">
        <f t="shared" si="12"/>
        <v>674747.05981157243</v>
      </c>
      <c r="P27" s="9">
        <f t="shared" si="13"/>
        <v>674747.05981157243</v>
      </c>
      <c r="Q27" s="9">
        <f t="shared" si="14"/>
        <v>674747.05981157243</v>
      </c>
      <c r="R27" s="9">
        <f t="shared" si="15"/>
        <v>674747.05981157243</v>
      </c>
      <c r="S27" s="9">
        <f t="shared" si="16"/>
        <v>674747.05981157243</v>
      </c>
      <c r="T27" s="9">
        <f t="shared" si="17"/>
        <v>674747.05981157243</v>
      </c>
      <c r="U27" s="9">
        <f>SUM(Table6[[#This Row],[Payment 1 - 9/1/22]:[Payment 18 -2038]])</f>
        <v>14211785.487413298</v>
      </c>
    </row>
    <row r="28" spans="1:21" ht="16.2" thickBot="1" x14ac:dyDescent="0.35">
      <c r="A28" s="31" t="s">
        <v>28</v>
      </c>
      <c r="B28" s="4">
        <v>1.3396101596298053E-2</v>
      </c>
      <c r="C28" s="9">
        <f t="shared" si="0"/>
        <v>383606.59778438444</v>
      </c>
      <c r="D28" s="9">
        <f t="shared" si="1"/>
        <v>578780.6324677032</v>
      </c>
      <c r="E28" s="9">
        <f t="shared" si="2"/>
        <v>560655.10081433295</v>
      </c>
      <c r="F28" s="9">
        <f t="shared" si="3"/>
        <v>701969.02718430047</v>
      </c>
      <c r="G28" s="9">
        <f t="shared" si="4"/>
        <v>726379.92060259648</v>
      </c>
      <c r="H28" s="9">
        <f t="shared" si="5"/>
        <v>409433.46436963684</v>
      </c>
      <c r="I28" s="9">
        <f t="shared" si="6"/>
        <v>517419.37311794952</v>
      </c>
      <c r="J28" s="9">
        <f t="shared" si="7"/>
        <v>596420.52769922675</v>
      </c>
      <c r="K28" s="9">
        <f t="shared" si="8"/>
        <v>615230.32081546786</v>
      </c>
      <c r="L28" s="9">
        <f t="shared" si="9"/>
        <v>615230.32081546786</v>
      </c>
      <c r="M28" s="9">
        <f t="shared" si="10"/>
        <v>531137.0599124732</v>
      </c>
      <c r="N28" s="9">
        <f t="shared" si="11"/>
        <v>443471.02461273677</v>
      </c>
      <c r="O28" s="9">
        <f t="shared" si="12"/>
        <v>443471.02461273677</v>
      </c>
      <c r="P28" s="9">
        <f t="shared" si="13"/>
        <v>443471.02461273677</v>
      </c>
      <c r="Q28" s="9">
        <f t="shared" si="14"/>
        <v>443471.02461273677</v>
      </c>
      <c r="R28" s="9">
        <f t="shared" si="15"/>
        <v>443471.02461273677</v>
      </c>
      <c r="S28" s="9">
        <f t="shared" si="16"/>
        <v>443471.02461273677</v>
      </c>
      <c r="T28" s="9">
        <f t="shared" si="17"/>
        <v>443471.02461273677</v>
      </c>
      <c r="U28" s="9">
        <f>SUM(Table6[[#This Row],[Payment 1 - 9/1/22]:[Payment 18 -2038]])</f>
        <v>9340559.5178726949</v>
      </c>
    </row>
    <row r="29" spans="1:21" ht="16.2" thickBot="1" x14ac:dyDescent="0.35">
      <c r="A29" s="31" t="s">
        <v>29</v>
      </c>
      <c r="B29" s="4">
        <v>1.4285891185863999E-3</v>
      </c>
      <c r="C29" s="9">
        <f t="shared" si="0"/>
        <v>40908.633565765354</v>
      </c>
      <c r="D29" s="9">
        <f t="shared" si="1"/>
        <v>61722.412871249668</v>
      </c>
      <c r="E29" s="9">
        <f t="shared" si="2"/>
        <v>59789.467148013755</v>
      </c>
      <c r="F29" s="9">
        <f t="shared" si="3"/>
        <v>74859.488531894851</v>
      </c>
      <c r="G29" s="9">
        <f t="shared" si="4"/>
        <v>77462.718767322978</v>
      </c>
      <c r="H29" s="9">
        <f t="shared" si="5"/>
        <v>43662.866228577514</v>
      </c>
      <c r="I29" s="9">
        <f t="shared" si="6"/>
        <v>55178.716051718191</v>
      </c>
      <c r="J29" s="9">
        <f t="shared" si="7"/>
        <v>63603.569280792173</v>
      </c>
      <c r="K29" s="9">
        <f t="shared" si="8"/>
        <v>65609.486119773836</v>
      </c>
      <c r="L29" s="9">
        <f t="shared" si="9"/>
        <v>65609.486119773836</v>
      </c>
      <c r="M29" s="9">
        <f t="shared" si="10"/>
        <v>56641.599708277528</v>
      </c>
      <c r="N29" s="9">
        <f t="shared" si="11"/>
        <v>47292.704942249198</v>
      </c>
      <c r="O29" s="9">
        <f t="shared" si="12"/>
        <v>47292.704942249198</v>
      </c>
      <c r="P29" s="9">
        <f t="shared" si="13"/>
        <v>47292.704942249198</v>
      </c>
      <c r="Q29" s="9">
        <f t="shared" si="14"/>
        <v>47292.704942249198</v>
      </c>
      <c r="R29" s="9">
        <f t="shared" si="15"/>
        <v>47292.704942249198</v>
      </c>
      <c r="S29" s="9">
        <f t="shared" si="16"/>
        <v>47292.704942249198</v>
      </c>
      <c r="T29" s="9">
        <f t="shared" si="17"/>
        <v>47292.704942249198</v>
      </c>
      <c r="U29" s="9">
        <f>SUM(Table6[[#This Row],[Payment 1 - 9/1/22]:[Payment 18 -2038]])</f>
        <v>996097.37898890418</v>
      </c>
    </row>
    <row r="30" spans="1:21" ht="16.2" thickBot="1" x14ac:dyDescent="0.35">
      <c r="A30" s="31" t="s">
        <v>30</v>
      </c>
      <c r="B30" s="4">
        <v>5.108008966031025E-3</v>
      </c>
      <c r="C30" s="9">
        <f t="shared" si="0"/>
        <v>146271.3556496751</v>
      </c>
      <c r="D30" s="9">
        <f t="shared" si="1"/>
        <v>220692.3140107512</v>
      </c>
      <c r="E30" s="9">
        <f t="shared" si="2"/>
        <v>213780.94673468632</v>
      </c>
      <c r="F30" s="9">
        <f t="shared" si="3"/>
        <v>267664.74253407901</v>
      </c>
      <c r="G30" s="9">
        <f t="shared" si="4"/>
        <v>276972.75364112685</v>
      </c>
      <c r="H30" s="9">
        <f t="shared" si="5"/>
        <v>156119.28529798507</v>
      </c>
      <c r="I30" s="9">
        <f t="shared" si="6"/>
        <v>197294.92032331359</v>
      </c>
      <c r="J30" s="9">
        <f t="shared" si="7"/>
        <v>227418.50538476781</v>
      </c>
      <c r="K30" s="9">
        <f t="shared" si="8"/>
        <v>234590.78540939078</v>
      </c>
      <c r="L30" s="9">
        <f t="shared" si="9"/>
        <v>234590.78540939078</v>
      </c>
      <c r="M30" s="9">
        <f t="shared" si="10"/>
        <v>202525.55153612822</v>
      </c>
      <c r="N30" s="9">
        <f t="shared" si="11"/>
        <v>169097.99866871841</v>
      </c>
      <c r="O30" s="9">
        <f t="shared" si="12"/>
        <v>169097.99866871841</v>
      </c>
      <c r="P30" s="9">
        <f t="shared" si="13"/>
        <v>169097.99866871841</v>
      </c>
      <c r="Q30" s="9">
        <f t="shared" si="14"/>
        <v>169097.99866871841</v>
      </c>
      <c r="R30" s="9">
        <f t="shared" si="15"/>
        <v>169097.99866871841</v>
      </c>
      <c r="S30" s="9">
        <f t="shared" si="16"/>
        <v>169097.99866871841</v>
      </c>
      <c r="T30" s="9">
        <f t="shared" si="17"/>
        <v>169097.99866871841</v>
      </c>
      <c r="U30" s="9">
        <f>SUM(Table6[[#This Row],[Payment 1 - 9/1/22]:[Payment 18 -2038]])</f>
        <v>3561607.9366123253</v>
      </c>
    </row>
    <row r="31" spans="1:21" ht="16.2" thickBot="1" x14ac:dyDescent="0.35">
      <c r="A31" s="31" t="s">
        <v>31</v>
      </c>
      <c r="B31" s="4">
        <v>1.4285891185863999E-3</v>
      </c>
      <c r="C31" s="9">
        <f t="shared" si="0"/>
        <v>40908.633565765354</v>
      </c>
      <c r="D31" s="9">
        <f t="shared" si="1"/>
        <v>61722.412871249668</v>
      </c>
      <c r="E31" s="9">
        <f t="shared" si="2"/>
        <v>59789.467148013755</v>
      </c>
      <c r="F31" s="9">
        <f t="shared" si="3"/>
        <v>74859.488531894851</v>
      </c>
      <c r="G31" s="9">
        <f t="shared" si="4"/>
        <v>77462.718767322978</v>
      </c>
      <c r="H31" s="9">
        <f t="shared" si="5"/>
        <v>43662.866228577514</v>
      </c>
      <c r="I31" s="9">
        <f t="shared" si="6"/>
        <v>55178.716051718191</v>
      </c>
      <c r="J31" s="9">
        <f t="shared" si="7"/>
        <v>63603.569280792173</v>
      </c>
      <c r="K31" s="9">
        <f t="shared" si="8"/>
        <v>65609.486119773836</v>
      </c>
      <c r="L31" s="9">
        <f t="shared" si="9"/>
        <v>65609.486119773836</v>
      </c>
      <c r="M31" s="9">
        <f t="shared" si="10"/>
        <v>56641.599708277528</v>
      </c>
      <c r="N31" s="9">
        <f t="shared" si="11"/>
        <v>47292.704942249198</v>
      </c>
      <c r="O31" s="9">
        <f t="shared" si="12"/>
        <v>47292.704942249198</v>
      </c>
      <c r="P31" s="9">
        <f t="shared" si="13"/>
        <v>47292.704942249198</v>
      </c>
      <c r="Q31" s="9">
        <f t="shared" si="14"/>
        <v>47292.704942249198</v>
      </c>
      <c r="R31" s="9">
        <f t="shared" si="15"/>
        <v>47292.704942249198</v>
      </c>
      <c r="S31" s="9">
        <f t="shared" si="16"/>
        <v>47292.704942249198</v>
      </c>
      <c r="T31" s="9">
        <f t="shared" si="17"/>
        <v>47292.704942249198</v>
      </c>
      <c r="U31" s="9">
        <f>SUM(Table6[[#This Row],[Payment 1 - 9/1/22]:[Payment 18 -2038]])</f>
        <v>996097.37898890418</v>
      </c>
    </row>
    <row r="32" spans="1:21" ht="16.2" thickBot="1" x14ac:dyDescent="0.35">
      <c r="A32" s="31" t="s">
        <v>32</v>
      </c>
      <c r="B32" s="4">
        <v>2.0372409411492541E-3</v>
      </c>
      <c r="C32" s="9">
        <f t="shared" si="0"/>
        <v>58337.797805093243</v>
      </c>
      <c r="D32" s="9">
        <f t="shared" si="1"/>
        <v>88019.308597458454</v>
      </c>
      <c r="E32" s="9">
        <f t="shared" si="2"/>
        <v>85262.829415892149</v>
      </c>
      <c r="F32" s="9">
        <f t="shared" si="3"/>
        <v>106753.44848039719</v>
      </c>
      <c r="G32" s="9">
        <f t="shared" si="4"/>
        <v>110465.78756085968</v>
      </c>
      <c r="H32" s="9">
        <f t="shared" si="5"/>
        <v>62265.474048129196</v>
      </c>
      <c r="I32" s="9">
        <f t="shared" si="6"/>
        <v>78687.663204268771</v>
      </c>
      <c r="J32" s="9">
        <f t="shared" si="7"/>
        <v>90701.933576442956</v>
      </c>
      <c r="K32" s="9">
        <f t="shared" si="8"/>
        <v>93562.473290589594</v>
      </c>
      <c r="L32" s="9">
        <f t="shared" si="9"/>
        <v>93562.473290589594</v>
      </c>
      <c r="M32" s="9">
        <f t="shared" si="10"/>
        <v>80773.809905588874</v>
      </c>
      <c r="N32" s="9">
        <f t="shared" si="11"/>
        <v>67441.80917559941</v>
      </c>
      <c r="O32" s="9">
        <f t="shared" si="12"/>
        <v>67441.80917559941</v>
      </c>
      <c r="P32" s="9">
        <f t="shared" si="13"/>
        <v>67441.80917559941</v>
      </c>
      <c r="Q32" s="9">
        <f t="shared" si="14"/>
        <v>67441.80917559941</v>
      </c>
      <c r="R32" s="9">
        <f t="shared" si="15"/>
        <v>67441.80917559941</v>
      </c>
      <c r="S32" s="9">
        <f t="shared" si="16"/>
        <v>67441.80917559941</v>
      </c>
      <c r="T32" s="9">
        <f t="shared" si="17"/>
        <v>67441.80917559941</v>
      </c>
      <c r="U32" s="9">
        <f>SUM(Table6[[#This Row],[Payment 1 - 9/1/22]:[Payment 18 -2038]])</f>
        <v>1420485.6634045055</v>
      </c>
    </row>
    <row r="33" spans="1:21" ht="16.2" thickBot="1" x14ac:dyDescent="0.35">
      <c r="A33" s="31" t="s">
        <v>33</v>
      </c>
      <c r="B33" s="4">
        <v>1.7788591702161249E-3</v>
      </c>
      <c r="C33" s="9">
        <f t="shared" si="0"/>
        <v>50938.857795221098</v>
      </c>
      <c r="D33" s="9">
        <f t="shared" si="1"/>
        <v>76855.884393499888</v>
      </c>
      <c r="E33" s="9">
        <f t="shared" si="2"/>
        <v>74449.00744016665</v>
      </c>
      <c r="F33" s="9">
        <f t="shared" si="3"/>
        <v>93213.987087076021</v>
      </c>
      <c r="G33" s="9">
        <f t="shared" si="4"/>
        <v>96455.492931007815</v>
      </c>
      <c r="H33" s="9">
        <f t="shared" si="5"/>
        <v>54368.389747697525</v>
      </c>
      <c r="I33" s="9">
        <f t="shared" si="6"/>
        <v>68707.764725574758</v>
      </c>
      <c r="J33" s="9">
        <f t="shared" si="7"/>
        <v>79198.274018472483</v>
      </c>
      <c r="K33" s="9">
        <f t="shared" si="8"/>
        <v>81696.013583536711</v>
      </c>
      <c r="L33" s="9">
        <f t="shared" si="9"/>
        <v>81696.013583536711</v>
      </c>
      <c r="M33" s="9">
        <f t="shared" si="10"/>
        <v>70529.326974351265</v>
      </c>
      <c r="N33" s="9">
        <f t="shared" si="11"/>
        <v>58888.214096219504</v>
      </c>
      <c r="O33" s="9">
        <f t="shared" si="12"/>
        <v>58888.214096219504</v>
      </c>
      <c r="P33" s="9">
        <f t="shared" si="13"/>
        <v>58888.214096219504</v>
      </c>
      <c r="Q33" s="9">
        <f t="shared" si="14"/>
        <v>58888.214096219504</v>
      </c>
      <c r="R33" s="9">
        <f t="shared" si="15"/>
        <v>58888.214096219504</v>
      </c>
      <c r="S33" s="9">
        <f t="shared" si="16"/>
        <v>58888.214096219504</v>
      </c>
      <c r="T33" s="9">
        <f t="shared" si="17"/>
        <v>58888.214096219504</v>
      </c>
      <c r="U33" s="9">
        <f>SUM(Table6[[#This Row],[Payment 1 - 9/1/22]:[Payment 18 -2038]])</f>
        <v>1240326.5109536776</v>
      </c>
    </row>
    <row r="34" spans="1:21" ht="16.2" thickBot="1" x14ac:dyDescent="0.35">
      <c r="A34" s="31" t="s">
        <v>34</v>
      </c>
      <c r="B34" s="4">
        <v>6.7874911913909245E-3</v>
      </c>
      <c r="C34" s="9">
        <f t="shared" si="0"/>
        <v>194364.48616816086</v>
      </c>
      <c r="D34" s="9">
        <f t="shared" si="1"/>
        <v>293254.60219768836</v>
      </c>
      <c r="E34" s="9">
        <f t="shared" si="2"/>
        <v>284070.81947163574</v>
      </c>
      <c r="F34" s="9">
        <f t="shared" si="3"/>
        <v>355671.27902041085</v>
      </c>
      <c r="G34" s="9">
        <f t="shared" si="4"/>
        <v>368039.7074665234</v>
      </c>
      <c r="H34" s="9">
        <f t="shared" si="5"/>
        <v>207450.35508222406</v>
      </c>
      <c r="I34" s="9">
        <f t="shared" si="6"/>
        <v>262164.28802418272</v>
      </c>
      <c r="J34" s="9">
        <f t="shared" si="7"/>
        <v>302192.32431336056</v>
      </c>
      <c r="K34" s="9">
        <f t="shared" si="8"/>
        <v>311722.80630997766</v>
      </c>
      <c r="L34" s="9">
        <f t="shared" si="9"/>
        <v>311722.80630997766</v>
      </c>
      <c r="M34" s="9">
        <f t="shared" si="10"/>
        <v>269114.71890997258</v>
      </c>
      <c r="N34" s="9">
        <f t="shared" si="11"/>
        <v>224696.39033104025</v>
      </c>
      <c r="O34" s="9">
        <f t="shared" si="12"/>
        <v>224696.39033104025</v>
      </c>
      <c r="P34" s="9">
        <f t="shared" si="13"/>
        <v>224696.39033104025</v>
      </c>
      <c r="Q34" s="9">
        <f t="shared" si="14"/>
        <v>224696.39033104025</v>
      </c>
      <c r="R34" s="9">
        <f t="shared" si="15"/>
        <v>224696.39033104025</v>
      </c>
      <c r="S34" s="9">
        <f t="shared" si="16"/>
        <v>224696.39033104025</v>
      </c>
      <c r="T34" s="9">
        <f t="shared" si="17"/>
        <v>224696.39033104025</v>
      </c>
      <c r="U34" s="9">
        <f>SUM(Table6[[#This Row],[Payment 1 - 9/1/22]:[Payment 18 -2038]])</f>
        <v>4732642.9255913952</v>
      </c>
    </row>
    <row r="35" spans="1:21" ht="16.2" thickBot="1" x14ac:dyDescent="0.35">
      <c r="A35" s="31" t="s">
        <v>35</v>
      </c>
      <c r="B35" s="4">
        <v>1.8782361150723507E-3</v>
      </c>
      <c r="C35" s="9">
        <f t="shared" si="0"/>
        <v>53784.585071956433</v>
      </c>
      <c r="D35" s="9">
        <f t="shared" si="1"/>
        <v>81149.480600062627</v>
      </c>
      <c r="E35" s="9">
        <f t="shared" si="2"/>
        <v>78608.142143383928</v>
      </c>
      <c r="F35" s="9">
        <f t="shared" si="3"/>
        <v>98421.437687820231</v>
      </c>
      <c r="G35" s="9">
        <f t="shared" si="4"/>
        <v>101844.03203661912</v>
      </c>
      <c r="H35" s="9">
        <f t="shared" si="5"/>
        <v>57405.709711156065</v>
      </c>
      <c r="I35" s="9">
        <f t="shared" si="6"/>
        <v>72546.161750280444</v>
      </c>
      <c r="J35" s="9">
        <f t="shared" si="7"/>
        <v>83622.729108352229</v>
      </c>
      <c r="K35" s="9">
        <f t="shared" si="8"/>
        <v>86260.00626648654</v>
      </c>
      <c r="L35" s="9">
        <f t="shared" si="9"/>
        <v>86260.00626648654</v>
      </c>
      <c r="M35" s="9">
        <f t="shared" si="10"/>
        <v>74469.48657485818</v>
      </c>
      <c r="N35" s="9">
        <f t="shared" si="11"/>
        <v>62178.036530117191</v>
      </c>
      <c r="O35" s="9">
        <f t="shared" si="12"/>
        <v>62178.036530117191</v>
      </c>
      <c r="P35" s="9">
        <f t="shared" si="13"/>
        <v>62178.036530117191</v>
      </c>
      <c r="Q35" s="9">
        <f t="shared" si="14"/>
        <v>62178.036530117191</v>
      </c>
      <c r="R35" s="9">
        <f t="shared" si="15"/>
        <v>62178.036530117191</v>
      </c>
      <c r="S35" s="9">
        <f t="shared" si="16"/>
        <v>62178.036530117191</v>
      </c>
      <c r="T35" s="9">
        <f t="shared" si="17"/>
        <v>62178.036530117191</v>
      </c>
      <c r="U35" s="9">
        <f>SUM(Table6[[#This Row],[Payment 1 - 9/1/22]:[Payment 18 -2038]])</f>
        <v>1309618.0329282831</v>
      </c>
    </row>
    <row r="36" spans="1:21" ht="16.2" thickBot="1" x14ac:dyDescent="0.35">
      <c r="A36" s="31" t="s">
        <v>36</v>
      </c>
      <c r="B36" s="4">
        <v>1.4285891185863999E-3</v>
      </c>
      <c r="C36" s="9">
        <f t="shared" si="0"/>
        <v>40908.633565765354</v>
      </c>
      <c r="D36" s="9">
        <f t="shared" si="1"/>
        <v>61722.412871249668</v>
      </c>
      <c r="E36" s="9">
        <f t="shared" si="2"/>
        <v>59789.467148013755</v>
      </c>
      <c r="F36" s="9">
        <f t="shared" si="3"/>
        <v>74859.488531894851</v>
      </c>
      <c r="G36" s="9">
        <f t="shared" si="4"/>
        <v>77462.718767322978</v>
      </c>
      <c r="H36" s="9">
        <f t="shared" si="5"/>
        <v>43662.866228577514</v>
      </c>
      <c r="I36" s="9">
        <f t="shared" si="6"/>
        <v>55178.716051718191</v>
      </c>
      <c r="J36" s="9">
        <f t="shared" si="7"/>
        <v>63603.569280792173</v>
      </c>
      <c r="K36" s="9">
        <f t="shared" si="8"/>
        <v>65609.486119773836</v>
      </c>
      <c r="L36" s="9">
        <f t="shared" si="9"/>
        <v>65609.486119773836</v>
      </c>
      <c r="M36" s="9">
        <f t="shared" si="10"/>
        <v>56641.599708277528</v>
      </c>
      <c r="N36" s="9">
        <f t="shared" si="11"/>
        <v>47292.704942249198</v>
      </c>
      <c r="O36" s="9">
        <f t="shared" si="12"/>
        <v>47292.704942249198</v>
      </c>
      <c r="P36" s="9">
        <f t="shared" si="13"/>
        <v>47292.704942249198</v>
      </c>
      <c r="Q36" s="9">
        <f t="shared" si="14"/>
        <v>47292.704942249198</v>
      </c>
      <c r="R36" s="9">
        <f t="shared" si="15"/>
        <v>47292.704942249198</v>
      </c>
      <c r="S36" s="9">
        <f t="shared" si="16"/>
        <v>47292.704942249198</v>
      </c>
      <c r="T36" s="9">
        <f t="shared" si="17"/>
        <v>47292.704942249198</v>
      </c>
      <c r="U36" s="9">
        <f>SUM(Table6[[#This Row],[Payment 1 - 9/1/22]:[Payment 18 -2038]])</f>
        <v>996097.37898890418</v>
      </c>
    </row>
    <row r="37" spans="1:21" ht="16.2" thickBot="1" x14ac:dyDescent="0.35">
      <c r="A37" s="31" t="s">
        <v>37</v>
      </c>
      <c r="B37" s="4">
        <v>1.3843301419623864E-2</v>
      </c>
      <c r="C37" s="9">
        <f t="shared" si="0"/>
        <v>396412.4728012773</v>
      </c>
      <c r="D37" s="9">
        <f t="shared" si="1"/>
        <v>598101.96970326768</v>
      </c>
      <c r="E37" s="9">
        <f t="shared" si="2"/>
        <v>579371.35645247845</v>
      </c>
      <c r="F37" s="9">
        <f t="shared" si="3"/>
        <v>725402.74203637068</v>
      </c>
      <c r="G37" s="9">
        <f t="shared" si="4"/>
        <v>750628.54023464408</v>
      </c>
      <c r="H37" s="9">
        <f t="shared" si="5"/>
        <v>423101.51336236577</v>
      </c>
      <c r="I37" s="9">
        <f t="shared" si="6"/>
        <v>534692.29767591506</v>
      </c>
      <c r="J37" s="9">
        <f t="shared" si="7"/>
        <v>616330.73461260879</v>
      </c>
      <c r="K37" s="9">
        <f t="shared" si="8"/>
        <v>635768.45191245736</v>
      </c>
      <c r="L37" s="9">
        <f t="shared" si="9"/>
        <v>635768.45191245736</v>
      </c>
      <c r="M37" s="9">
        <f t="shared" si="10"/>
        <v>548867.91971875355</v>
      </c>
      <c r="N37" s="9">
        <f t="shared" si="11"/>
        <v>458275.34379703866</v>
      </c>
      <c r="O37" s="9">
        <f t="shared" si="12"/>
        <v>458275.34379703866</v>
      </c>
      <c r="P37" s="9">
        <f t="shared" si="13"/>
        <v>458275.34379703866</v>
      </c>
      <c r="Q37" s="9">
        <f t="shared" si="14"/>
        <v>458275.34379703866</v>
      </c>
      <c r="R37" s="9">
        <f t="shared" si="15"/>
        <v>458275.34379703866</v>
      </c>
      <c r="S37" s="9">
        <f t="shared" si="16"/>
        <v>458275.34379703866</v>
      </c>
      <c r="T37" s="9">
        <f t="shared" si="17"/>
        <v>458275.34379703866</v>
      </c>
      <c r="U37" s="9">
        <f>SUM(Table6[[#This Row],[Payment 1 - 9/1/22]:[Payment 18 -2038]])</f>
        <v>9652373.8570018653</v>
      </c>
    </row>
    <row r="38" spans="1:21" ht="16.2" thickBot="1" x14ac:dyDescent="0.35">
      <c r="A38" s="31" t="s">
        <v>38</v>
      </c>
      <c r="B38" s="4">
        <v>2.2518965991996025E-2</v>
      </c>
      <c r="C38" s="9">
        <f t="shared" si="0"/>
        <v>644846.10449647799</v>
      </c>
      <c r="D38" s="9">
        <f t="shared" si="1"/>
        <v>972935.3936049511</v>
      </c>
      <c r="E38" s="9">
        <f t="shared" si="2"/>
        <v>942466.21360097965</v>
      </c>
      <c r="F38" s="9">
        <f t="shared" si="3"/>
        <v>1180016.1813468295</v>
      </c>
      <c r="G38" s="9">
        <f t="shared" si="4"/>
        <v>1221051.110409532</v>
      </c>
      <c r="H38" s="9">
        <f t="shared" si="5"/>
        <v>688261.29705323186</v>
      </c>
      <c r="I38" s="9">
        <f t="shared" si="6"/>
        <v>869786.57059923396</v>
      </c>
      <c r="J38" s="9">
        <f t="shared" si="7"/>
        <v>1002588.2144622387</v>
      </c>
      <c r="K38" s="9">
        <f t="shared" si="8"/>
        <v>1034207.6440743706</v>
      </c>
      <c r="L38" s="9">
        <f t="shared" si="9"/>
        <v>1034207.6440743706</v>
      </c>
      <c r="M38" s="9">
        <f t="shared" si="10"/>
        <v>892846.12417115504</v>
      </c>
      <c r="N38" s="9">
        <f t="shared" si="11"/>
        <v>745478.73871377436</v>
      </c>
      <c r="O38" s="9">
        <f t="shared" si="12"/>
        <v>745478.73871377436</v>
      </c>
      <c r="P38" s="9">
        <f t="shared" si="13"/>
        <v>745478.73871377436</v>
      </c>
      <c r="Q38" s="9">
        <f t="shared" si="14"/>
        <v>745478.73871377436</v>
      </c>
      <c r="R38" s="9">
        <f t="shared" si="15"/>
        <v>745478.73871377436</v>
      </c>
      <c r="S38" s="9">
        <f t="shared" si="16"/>
        <v>745478.73871377436</v>
      </c>
      <c r="T38" s="9">
        <f t="shared" si="17"/>
        <v>745478.73871377436</v>
      </c>
      <c r="U38" s="9">
        <f>SUM(Table6[[#This Row],[Payment 1 - 9/1/22]:[Payment 18 -2038]])</f>
        <v>15701563.668889794</v>
      </c>
    </row>
    <row r="39" spans="1:21" ht="16.2" thickBot="1" x14ac:dyDescent="0.35">
      <c r="A39" s="31" t="s">
        <v>39</v>
      </c>
      <c r="B39" s="4">
        <v>9.8284459899569149E-3</v>
      </c>
      <c r="C39" s="9">
        <f t="shared" si="0"/>
        <v>281444.32173885871</v>
      </c>
      <c r="D39" s="9">
        <f t="shared" si="1"/>
        <v>424639.52257677098</v>
      </c>
      <c r="E39" s="9">
        <f t="shared" si="2"/>
        <v>411341.19040051795</v>
      </c>
      <c r="F39" s="9">
        <f t="shared" si="3"/>
        <v>515020.33040792053</v>
      </c>
      <c r="G39" s="9">
        <f t="shared" si="4"/>
        <v>532930.10406883527</v>
      </c>
      <c r="H39" s="9">
        <f t="shared" si="5"/>
        <v>300392.96597675578</v>
      </c>
      <c r="I39" s="9">
        <f t="shared" si="6"/>
        <v>379620.02051794418</v>
      </c>
      <c r="J39" s="9">
        <f t="shared" si="7"/>
        <v>437581.55323436455</v>
      </c>
      <c r="K39" s="9">
        <f t="shared" si="8"/>
        <v>451381.91406294523</v>
      </c>
      <c r="L39" s="9">
        <f t="shared" si="9"/>
        <v>451381.91406294523</v>
      </c>
      <c r="M39" s="9">
        <f t="shared" si="10"/>
        <v>389684.40699619986</v>
      </c>
      <c r="N39" s="9">
        <f t="shared" si="11"/>
        <v>325365.62836471945</v>
      </c>
      <c r="O39" s="9">
        <f t="shared" si="12"/>
        <v>325365.62836471945</v>
      </c>
      <c r="P39" s="9">
        <f t="shared" si="13"/>
        <v>325365.62836471945</v>
      </c>
      <c r="Q39" s="9">
        <f t="shared" si="14"/>
        <v>325365.62836471945</v>
      </c>
      <c r="R39" s="9">
        <f t="shared" si="15"/>
        <v>325365.62836471945</v>
      </c>
      <c r="S39" s="9">
        <f t="shared" si="16"/>
        <v>325365.62836471945</v>
      </c>
      <c r="T39" s="9">
        <f t="shared" si="17"/>
        <v>325365.62836471945</v>
      </c>
      <c r="U39" s="9">
        <f>SUM(Table6[[#This Row],[Payment 1 - 9/1/22]:[Payment 18 -2038]])</f>
        <v>6852977.6425970942</v>
      </c>
    </row>
    <row r="40" spans="1:21" ht="16.2" thickBot="1" x14ac:dyDescent="0.35">
      <c r="A40" s="31" t="s">
        <v>40</v>
      </c>
      <c r="B40" s="4">
        <v>5.992469918184644E-3</v>
      </c>
      <c r="C40" s="9">
        <f t="shared" si="0"/>
        <v>171598.50431974392</v>
      </c>
      <c r="D40" s="9">
        <f t="shared" si="1"/>
        <v>258905.58565553496</v>
      </c>
      <c r="E40" s="9">
        <f t="shared" si="2"/>
        <v>250797.50268802888</v>
      </c>
      <c r="F40" s="9">
        <f t="shared" si="3"/>
        <v>314011.37477650313</v>
      </c>
      <c r="G40" s="9">
        <f t="shared" si="4"/>
        <v>324931.084770758</v>
      </c>
      <c r="H40" s="9">
        <f t="shared" si="5"/>
        <v>183151.62072309086</v>
      </c>
      <c r="I40" s="9">
        <f t="shared" si="6"/>
        <v>231456.89111167309</v>
      </c>
      <c r="J40" s="9">
        <f t="shared" si="7"/>
        <v>266796.4291800455</v>
      </c>
      <c r="K40" s="9">
        <f t="shared" si="8"/>
        <v>275210.60240843456</v>
      </c>
      <c r="L40" s="9">
        <f t="shared" si="9"/>
        <v>275210.60240843456</v>
      </c>
      <c r="M40" s="9">
        <f t="shared" si="10"/>
        <v>237593.21553951845</v>
      </c>
      <c r="N40" s="9">
        <f t="shared" si="11"/>
        <v>198377.62168903902</v>
      </c>
      <c r="O40" s="9">
        <f t="shared" si="12"/>
        <v>198377.62168903902</v>
      </c>
      <c r="P40" s="9">
        <f t="shared" si="13"/>
        <v>198377.62168903902</v>
      </c>
      <c r="Q40" s="9">
        <f t="shared" si="14"/>
        <v>198377.62168903902</v>
      </c>
      <c r="R40" s="9">
        <f t="shared" si="15"/>
        <v>198377.62168903902</v>
      </c>
      <c r="S40" s="9">
        <f t="shared" si="16"/>
        <v>198377.62168903902</v>
      </c>
      <c r="T40" s="9">
        <f t="shared" si="17"/>
        <v>198377.62168903902</v>
      </c>
      <c r="U40" s="9">
        <f>SUM(Table6[[#This Row],[Payment 1 - 9/1/22]:[Payment 18 -2038]])</f>
        <v>4178306.7654050379</v>
      </c>
    </row>
    <row r="41" spans="1:21" ht="16.2" thickBot="1" x14ac:dyDescent="0.35">
      <c r="A41" s="31" t="s">
        <v>41</v>
      </c>
      <c r="B41" s="4">
        <v>2.0938862140081473E-2</v>
      </c>
      <c r="C41" s="9">
        <f t="shared" si="0"/>
        <v>599598.74216336128</v>
      </c>
      <c r="D41" s="9">
        <f t="shared" si="1"/>
        <v>904666.76334698964</v>
      </c>
      <c r="E41" s="9">
        <f t="shared" si="2"/>
        <v>876335.53535671486</v>
      </c>
      <c r="F41" s="9">
        <f t="shared" si="3"/>
        <v>1097217.1703207307</v>
      </c>
      <c r="G41" s="9">
        <f t="shared" si="4"/>
        <v>1135372.7731524657</v>
      </c>
      <c r="H41" s="9">
        <f t="shared" si="5"/>
        <v>639967.59089531773</v>
      </c>
      <c r="I41" s="9">
        <f t="shared" si="6"/>
        <v>808755.65510178672</v>
      </c>
      <c r="J41" s="9">
        <f t="shared" si="7"/>
        <v>932238.91422709508</v>
      </c>
      <c r="K41" s="9">
        <f t="shared" si="8"/>
        <v>961639.68146621983</v>
      </c>
      <c r="L41" s="9">
        <f t="shared" si="9"/>
        <v>961639.68146621983</v>
      </c>
      <c r="M41" s="9">
        <f t="shared" si="10"/>
        <v>830197.17303941736</v>
      </c>
      <c r="N41" s="9">
        <f t="shared" si="11"/>
        <v>693170.2167780553</v>
      </c>
      <c r="O41" s="9">
        <f t="shared" si="12"/>
        <v>693170.2167780553</v>
      </c>
      <c r="P41" s="9">
        <f t="shared" si="13"/>
        <v>693170.2167780553</v>
      </c>
      <c r="Q41" s="9">
        <f t="shared" si="14"/>
        <v>693170.2167780553</v>
      </c>
      <c r="R41" s="9">
        <f t="shared" si="15"/>
        <v>693170.2167780553</v>
      </c>
      <c r="S41" s="9">
        <f t="shared" si="16"/>
        <v>693170.2167780553</v>
      </c>
      <c r="T41" s="9">
        <f t="shared" si="17"/>
        <v>693170.2167780553</v>
      </c>
      <c r="U41" s="9">
        <f>SUM(Table6[[#This Row],[Payment 1 - 9/1/22]:[Payment 18 -2038]])</f>
        <v>14599821.197982702</v>
      </c>
    </row>
    <row r="42" spans="1:21" ht="16.2" thickBot="1" x14ac:dyDescent="0.35">
      <c r="A42" s="31" t="s">
        <v>42</v>
      </c>
      <c r="B42" s="4">
        <v>3.2615731018794961E-2</v>
      </c>
      <c r="C42" s="9">
        <f t="shared" si="0"/>
        <v>933973.9267002925</v>
      </c>
      <c r="D42" s="9">
        <f t="shared" si="1"/>
        <v>1409167.6814896131</v>
      </c>
      <c r="E42" s="9">
        <f t="shared" si="2"/>
        <v>1365037.121510705</v>
      </c>
      <c r="F42" s="9">
        <f t="shared" si="3"/>
        <v>1709096.6957502994</v>
      </c>
      <c r="G42" s="9">
        <f t="shared" si="4"/>
        <v>1768530.3397799649</v>
      </c>
      <c r="H42" s="9">
        <f t="shared" si="5"/>
        <v>996855.06622790545</v>
      </c>
      <c r="I42" s="9">
        <f t="shared" si="6"/>
        <v>1259770.3127447281</v>
      </c>
      <c r="J42" s="9">
        <f t="shared" si="7"/>
        <v>1452115.853682491</v>
      </c>
      <c r="K42" s="9">
        <f t="shared" si="8"/>
        <v>1497912.3974298181</v>
      </c>
      <c r="L42" s="9">
        <f t="shared" si="9"/>
        <v>1497912.3974298181</v>
      </c>
      <c r="M42" s="9">
        <f t="shared" si="10"/>
        <v>1293169.0130661633</v>
      </c>
      <c r="N42" s="9">
        <f t="shared" si="11"/>
        <v>1079726.9302134521</v>
      </c>
      <c r="O42" s="9">
        <f t="shared" si="12"/>
        <v>1079726.9302134521</v>
      </c>
      <c r="P42" s="9">
        <f t="shared" si="13"/>
        <v>1079726.9302134521</v>
      </c>
      <c r="Q42" s="9">
        <f t="shared" si="14"/>
        <v>1079726.9302134521</v>
      </c>
      <c r="R42" s="9">
        <f t="shared" si="15"/>
        <v>1079726.9302134521</v>
      </c>
      <c r="S42" s="9">
        <f t="shared" si="16"/>
        <v>1079726.9302134521</v>
      </c>
      <c r="T42" s="9">
        <f t="shared" si="17"/>
        <v>1079726.9302134521</v>
      </c>
      <c r="U42" s="9">
        <f>SUM(Table6[[#This Row],[Payment 1 - 9/1/22]:[Payment 18 -2038]])</f>
        <v>22741629.31730596</v>
      </c>
    </row>
    <row r="43" spans="1:21" ht="16.2" thickBot="1" x14ac:dyDescent="0.35">
      <c r="A43" s="31" t="s">
        <v>43</v>
      </c>
      <c r="B43" s="4">
        <v>6.3800418602897781E-3</v>
      </c>
      <c r="C43" s="9">
        <f t="shared" si="0"/>
        <v>182696.89388023535</v>
      </c>
      <c r="D43" s="9">
        <f t="shared" si="1"/>
        <v>275650.69110026635</v>
      </c>
      <c r="E43" s="9">
        <f t="shared" si="2"/>
        <v>267018.20575688354</v>
      </c>
      <c r="F43" s="9">
        <f t="shared" si="3"/>
        <v>334320.52943674056</v>
      </c>
      <c r="G43" s="9">
        <f t="shared" si="4"/>
        <v>345946.48798417643</v>
      </c>
      <c r="H43" s="9">
        <f t="shared" si="5"/>
        <v>194997.22534230523</v>
      </c>
      <c r="I43" s="9">
        <f t="shared" si="6"/>
        <v>246426.71124035609</v>
      </c>
      <c r="J43" s="9">
        <f t="shared" si="7"/>
        <v>284051.8867152165</v>
      </c>
      <c r="K43" s="9">
        <f t="shared" si="8"/>
        <v>293010.25916427083</v>
      </c>
      <c r="L43" s="9">
        <f t="shared" si="9"/>
        <v>293010.25916427083</v>
      </c>
      <c r="M43" s="9">
        <f t="shared" si="10"/>
        <v>252959.91161557502</v>
      </c>
      <c r="N43" s="9">
        <f t="shared" si="11"/>
        <v>211207.9906617564</v>
      </c>
      <c r="O43" s="9">
        <f t="shared" si="12"/>
        <v>211207.9906617564</v>
      </c>
      <c r="P43" s="9">
        <f t="shared" si="13"/>
        <v>211207.9906617564</v>
      </c>
      <c r="Q43" s="9">
        <f t="shared" si="14"/>
        <v>211207.9906617564</v>
      </c>
      <c r="R43" s="9">
        <f t="shared" si="15"/>
        <v>211207.9906617564</v>
      </c>
      <c r="S43" s="9">
        <f t="shared" si="16"/>
        <v>211207.9906617564</v>
      </c>
      <c r="T43" s="9">
        <f t="shared" si="17"/>
        <v>211207.9906617564</v>
      </c>
      <c r="U43" s="9">
        <f>SUM(Table6[[#This Row],[Payment 1 - 9/1/22]:[Payment 18 -2038]])</f>
        <v>4448544.9960325928</v>
      </c>
    </row>
    <row r="44" spans="1:21" ht="16.2" thickBot="1" x14ac:dyDescent="0.35">
      <c r="A44" s="31" t="s">
        <v>44</v>
      </c>
      <c r="B44" s="4">
        <v>1.7887964361250118E-3</v>
      </c>
      <c r="C44" s="9">
        <f t="shared" si="0"/>
        <v>51223.418250304559</v>
      </c>
      <c r="D44" s="9">
        <f t="shared" si="1"/>
        <v>77285.2254974323</v>
      </c>
      <c r="E44" s="9">
        <f t="shared" si="2"/>
        <v>74864.902973648233</v>
      </c>
      <c r="F44" s="9">
        <f t="shared" si="3"/>
        <v>93734.709689303883</v>
      </c>
      <c r="G44" s="9">
        <f t="shared" si="4"/>
        <v>96994.323602753313</v>
      </c>
      <c r="H44" s="9">
        <f t="shared" si="5"/>
        <v>54672.108645183507</v>
      </c>
      <c r="I44" s="9">
        <f t="shared" si="6"/>
        <v>69091.587874430508</v>
      </c>
      <c r="J44" s="9">
        <f t="shared" si="7"/>
        <v>79640.700446389674</v>
      </c>
      <c r="K44" s="9">
        <f t="shared" si="8"/>
        <v>82152.393168985844</v>
      </c>
      <c r="L44" s="9">
        <f t="shared" si="9"/>
        <v>82152.393168985844</v>
      </c>
      <c r="M44" s="9">
        <f t="shared" si="10"/>
        <v>70923.325941922041</v>
      </c>
      <c r="N44" s="9">
        <f t="shared" si="11"/>
        <v>59217.182151797788</v>
      </c>
      <c r="O44" s="9">
        <f t="shared" si="12"/>
        <v>59217.182151797788</v>
      </c>
      <c r="P44" s="9">
        <f t="shared" si="13"/>
        <v>59217.182151797788</v>
      </c>
      <c r="Q44" s="9">
        <f t="shared" si="14"/>
        <v>59217.182151797788</v>
      </c>
      <c r="R44" s="9">
        <f t="shared" si="15"/>
        <v>59217.182151797788</v>
      </c>
      <c r="S44" s="9">
        <f t="shared" si="16"/>
        <v>59217.182151797788</v>
      </c>
      <c r="T44" s="9">
        <f t="shared" si="17"/>
        <v>59217.182151797788</v>
      </c>
      <c r="U44" s="9">
        <f>SUM(Table6[[#This Row],[Payment 1 - 9/1/22]:[Payment 18 -2038]])</f>
        <v>1247255.364321924</v>
      </c>
    </row>
    <row r="45" spans="1:21" ht="16.2" thickBot="1" x14ac:dyDescent="0.35">
      <c r="A45" s="31" t="s">
        <v>45</v>
      </c>
      <c r="B45" s="4">
        <v>9.2520559954590974E-3</v>
      </c>
      <c r="C45" s="9">
        <f t="shared" si="0"/>
        <v>264938.99717134651</v>
      </c>
      <c r="D45" s="9">
        <f t="shared" si="1"/>
        <v>399736.50410043361</v>
      </c>
      <c r="E45" s="9">
        <f t="shared" si="2"/>
        <v>387218.05366924318</v>
      </c>
      <c r="F45" s="9">
        <f t="shared" si="3"/>
        <v>484816.922288934</v>
      </c>
      <c r="G45" s="9">
        <f t="shared" si="4"/>
        <v>501676.37585322099</v>
      </c>
      <c r="H45" s="9">
        <f t="shared" si="5"/>
        <v>282776.39666524401</v>
      </c>
      <c r="I45" s="9">
        <f t="shared" si="6"/>
        <v>357357.17430998955</v>
      </c>
      <c r="J45" s="9">
        <f t="shared" si="7"/>
        <v>411919.54834378191</v>
      </c>
      <c r="K45" s="9">
        <f t="shared" si="8"/>
        <v>424910.58591717237</v>
      </c>
      <c r="L45" s="9">
        <f t="shared" si="9"/>
        <v>424910.58591717237</v>
      </c>
      <c r="M45" s="9">
        <f t="shared" si="10"/>
        <v>366831.33404510055</v>
      </c>
      <c r="N45" s="9">
        <f t="shared" si="11"/>
        <v>306284.53528708004</v>
      </c>
      <c r="O45" s="9">
        <f t="shared" si="12"/>
        <v>306284.53528708004</v>
      </c>
      <c r="P45" s="9">
        <f t="shared" si="13"/>
        <v>306284.53528708004</v>
      </c>
      <c r="Q45" s="9">
        <f t="shared" si="14"/>
        <v>306284.53528708004</v>
      </c>
      <c r="R45" s="9">
        <f t="shared" si="15"/>
        <v>306284.53528708004</v>
      </c>
      <c r="S45" s="9">
        <f t="shared" si="16"/>
        <v>306284.53528708004</v>
      </c>
      <c r="T45" s="9">
        <f t="shared" si="17"/>
        <v>306284.53528708004</v>
      </c>
      <c r="U45" s="9">
        <f>SUM(Table6[[#This Row],[Payment 1 - 9/1/22]:[Payment 18 -2038]])</f>
        <v>6451084.2252912018</v>
      </c>
    </row>
    <row r="46" spans="1:21" ht="16.2" thickBot="1" x14ac:dyDescent="0.35">
      <c r="A46" s="31" t="s">
        <v>46</v>
      </c>
      <c r="B46" s="4">
        <v>1.7192327175845658E-3</v>
      </c>
      <c r="C46" s="9">
        <f t="shared" si="0"/>
        <v>49231.41324745318</v>
      </c>
      <c r="D46" s="9">
        <f t="shared" si="1"/>
        <v>74279.714325079665</v>
      </c>
      <c r="E46" s="9">
        <f t="shared" si="2"/>
        <v>71953.514660342858</v>
      </c>
      <c r="F46" s="9">
        <f t="shared" si="3"/>
        <v>90089.501754731798</v>
      </c>
      <c r="G46" s="9">
        <f t="shared" si="4"/>
        <v>93222.3539750973</v>
      </c>
      <c r="H46" s="9">
        <f t="shared" si="5"/>
        <v>52545.989037049156</v>
      </c>
      <c r="I46" s="9">
        <f t="shared" si="6"/>
        <v>66404.715475008154</v>
      </c>
      <c r="J46" s="9">
        <f t="shared" si="7"/>
        <v>76543.588243830774</v>
      </c>
      <c r="K46" s="9">
        <f t="shared" si="8"/>
        <v>78957.60485186959</v>
      </c>
      <c r="L46" s="9">
        <f t="shared" si="9"/>
        <v>78957.60485186959</v>
      </c>
      <c r="M46" s="9">
        <f t="shared" si="10"/>
        <v>68165.219885727172</v>
      </c>
      <c r="N46" s="9">
        <f t="shared" si="11"/>
        <v>56914.311177339914</v>
      </c>
      <c r="O46" s="9">
        <f t="shared" si="12"/>
        <v>56914.311177339914</v>
      </c>
      <c r="P46" s="9">
        <f t="shared" si="13"/>
        <v>56914.311177339914</v>
      </c>
      <c r="Q46" s="9">
        <f t="shared" si="14"/>
        <v>56914.311177339914</v>
      </c>
      <c r="R46" s="9">
        <f t="shared" si="15"/>
        <v>56914.311177339914</v>
      </c>
      <c r="S46" s="9">
        <f t="shared" si="16"/>
        <v>56914.311177339914</v>
      </c>
      <c r="T46" s="9">
        <f t="shared" si="17"/>
        <v>56914.311177339914</v>
      </c>
      <c r="U46" s="9">
        <f>SUM(Table6[[#This Row],[Payment 1 - 9/1/22]:[Payment 18 -2038]])</f>
        <v>1198751.3985494385</v>
      </c>
    </row>
    <row r="47" spans="1:21" ht="16.2" thickBot="1" x14ac:dyDescent="0.35">
      <c r="A47" s="31" t="s">
        <v>47</v>
      </c>
      <c r="B47" s="4">
        <v>8.2185274831374621E-3</v>
      </c>
      <c r="C47" s="9">
        <f t="shared" si="0"/>
        <v>235343.19622322434</v>
      </c>
      <c r="D47" s="9">
        <f t="shared" si="1"/>
        <v>355082.74556218646</v>
      </c>
      <c r="E47" s="9">
        <f t="shared" si="2"/>
        <v>343962.70597687399</v>
      </c>
      <c r="F47" s="9">
        <f t="shared" si="3"/>
        <v>430659.00185616082</v>
      </c>
      <c r="G47" s="9">
        <f t="shared" si="4"/>
        <v>445635.11987109476</v>
      </c>
      <c r="H47" s="9">
        <f t="shared" si="5"/>
        <v>251188.01580065113</v>
      </c>
      <c r="I47" s="9">
        <f t="shared" si="6"/>
        <v>317437.52521649742</v>
      </c>
      <c r="J47" s="9">
        <f t="shared" si="7"/>
        <v>365904.84650833072</v>
      </c>
      <c r="K47" s="9">
        <f t="shared" si="8"/>
        <v>377444.68147947465</v>
      </c>
      <c r="L47" s="9">
        <f t="shared" si="9"/>
        <v>377444.68147947465</v>
      </c>
      <c r="M47" s="9">
        <f t="shared" si="10"/>
        <v>325853.34567855037</v>
      </c>
      <c r="N47" s="9">
        <f t="shared" si="11"/>
        <v>272070.10767685552</v>
      </c>
      <c r="O47" s="9">
        <f t="shared" si="12"/>
        <v>272070.10767685552</v>
      </c>
      <c r="P47" s="9">
        <f t="shared" si="13"/>
        <v>272070.10767685552</v>
      </c>
      <c r="Q47" s="9">
        <f t="shared" si="14"/>
        <v>272070.10767685552</v>
      </c>
      <c r="R47" s="9">
        <f t="shared" si="15"/>
        <v>272070.10767685552</v>
      </c>
      <c r="S47" s="9">
        <f t="shared" si="16"/>
        <v>272070.10767685552</v>
      </c>
      <c r="T47" s="9">
        <f t="shared" si="17"/>
        <v>272070.10767685552</v>
      </c>
      <c r="U47" s="9">
        <f>SUM(Table6[[#This Row],[Payment 1 - 9/1/22]:[Payment 18 -2038]])</f>
        <v>5730446.6193905063</v>
      </c>
    </row>
    <row r="48" spans="1:21" ht="16.2" thickBot="1" x14ac:dyDescent="0.35">
      <c r="A48" s="31" t="s">
        <v>48</v>
      </c>
      <c r="B48" s="4">
        <v>5.0155878215931968E-2</v>
      </c>
      <c r="C48" s="9">
        <f t="shared" si="0"/>
        <v>1436248.1250977148</v>
      </c>
      <c r="D48" s="9">
        <f t="shared" si="1"/>
        <v>2166992.4423245857</v>
      </c>
      <c r="E48" s="9">
        <f t="shared" si="2"/>
        <v>2099129.2694701273</v>
      </c>
      <c r="F48" s="9">
        <f t="shared" si="3"/>
        <v>2628217.8278299663</v>
      </c>
      <c r="G48" s="9">
        <f t="shared" si="4"/>
        <v>2719613.8051319369</v>
      </c>
      <c r="H48" s="9">
        <f t="shared" si="5"/>
        <v>1532945.598301935</v>
      </c>
      <c r="I48" s="9">
        <f t="shared" si="6"/>
        <v>1937251.8846706375</v>
      </c>
      <c r="J48" s="9">
        <f t="shared" si="7"/>
        <v>2233037.3607371626</v>
      </c>
      <c r="K48" s="9">
        <f t="shared" si="8"/>
        <v>2303462.4531435813</v>
      </c>
      <c r="L48" s="9">
        <f t="shared" si="9"/>
        <v>2303462.4531435813</v>
      </c>
      <c r="M48" s="9">
        <f t="shared" si="10"/>
        <v>1988611.7988460092</v>
      </c>
      <c r="N48" s="9">
        <f t="shared" si="11"/>
        <v>1660384.4441518455</v>
      </c>
      <c r="O48" s="9">
        <f t="shared" si="12"/>
        <v>1660384.4441518455</v>
      </c>
      <c r="P48" s="9">
        <f t="shared" si="13"/>
        <v>1660384.4441518455</v>
      </c>
      <c r="Q48" s="9">
        <f t="shared" si="14"/>
        <v>1660384.4441518455</v>
      </c>
      <c r="R48" s="9">
        <f t="shared" si="15"/>
        <v>1660384.4441518455</v>
      </c>
      <c r="S48" s="9">
        <f t="shared" si="16"/>
        <v>1660384.4441518455</v>
      </c>
      <c r="T48" s="9">
        <f t="shared" si="17"/>
        <v>1660384.4441518455</v>
      </c>
      <c r="U48" s="9">
        <f>SUM(Table6[[#This Row],[Payment 1 - 9/1/22]:[Payment 18 -2038]])</f>
        <v>34971664.127760157</v>
      </c>
    </row>
    <row r="49" spans="1:21" ht="16.2" thickBot="1" x14ac:dyDescent="0.35">
      <c r="A49" s="31" t="s">
        <v>49</v>
      </c>
      <c r="B49" s="4">
        <v>1.4285891185863999E-3</v>
      </c>
      <c r="C49" s="9">
        <f t="shared" si="0"/>
        <v>40908.633565765354</v>
      </c>
      <c r="D49" s="9">
        <f t="shared" si="1"/>
        <v>61722.412871249668</v>
      </c>
      <c r="E49" s="9">
        <f t="shared" si="2"/>
        <v>59789.467148013755</v>
      </c>
      <c r="F49" s="9">
        <f t="shared" si="3"/>
        <v>74859.488531894851</v>
      </c>
      <c r="G49" s="9">
        <f t="shared" si="4"/>
        <v>77462.718767322978</v>
      </c>
      <c r="H49" s="9">
        <f t="shared" si="5"/>
        <v>43662.866228577514</v>
      </c>
      <c r="I49" s="9">
        <f t="shared" si="6"/>
        <v>55178.716051718191</v>
      </c>
      <c r="J49" s="9">
        <f t="shared" si="7"/>
        <v>63603.569280792173</v>
      </c>
      <c r="K49" s="9">
        <f t="shared" si="8"/>
        <v>65609.486119773836</v>
      </c>
      <c r="L49" s="9">
        <f t="shared" si="9"/>
        <v>65609.486119773836</v>
      </c>
      <c r="M49" s="9">
        <f t="shared" si="10"/>
        <v>56641.599708277528</v>
      </c>
      <c r="N49" s="9">
        <f t="shared" si="11"/>
        <v>47292.704942249198</v>
      </c>
      <c r="O49" s="9">
        <f t="shared" si="12"/>
        <v>47292.704942249198</v>
      </c>
      <c r="P49" s="9">
        <f t="shared" si="13"/>
        <v>47292.704942249198</v>
      </c>
      <c r="Q49" s="9">
        <f t="shared" si="14"/>
        <v>47292.704942249198</v>
      </c>
      <c r="R49" s="9">
        <f t="shared" si="15"/>
        <v>47292.704942249198</v>
      </c>
      <c r="S49" s="9">
        <f t="shared" si="16"/>
        <v>47292.704942249198</v>
      </c>
      <c r="T49" s="9">
        <f t="shared" si="17"/>
        <v>47292.704942249198</v>
      </c>
      <c r="U49" s="9">
        <f>SUM(Table6[[#This Row],[Payment 1 - 9/1/22]:[Payment 18 -2038]])</f>
        <v>996097.37898890418</v>
      </c>
    </row>
    <row r="50" spans="1:21" ht="16.2" thickBot="1" x14ac:dyDescent="0.35">
      <c r="A50" s="31" t="s">
        <v>50</v>
      </c>
      <c r="B50" s="4">
        <v>1.6755064618428732E-2</v>
      </c>
      <c r="C50" s="9">
        <f t="shared" si="0"/>
        <v>479792.81791272236</v>
      </c>
      <c r="D50" s="9">
        <f t="shared" si="1"/>
        <v>723905.14711916458</v>
      </c>
      <c r="E50" s="9">
        <f t="shared" si="2"/>
        <v>701234.78649876441</v>
      </c>
      <c r="F50" s="9">
        <f t="shared" si="3"/>
        <v>877982.02529747563</v>
      </c>
      <c r="G50" s="9">
        <f t="shared" si="4"/>
        <v>908513.75079067075</v>
      </c>
      <c r="H50" s="9">
        <f t="shared" si="5"/>
        <v>512095.56027524854</v>
      </c>
      <c r="I50" s="9">
        <f t="shared" si="6"/>
        <v>647158.05334097159</v>
      </c>
      <c r="J50" s="9">
        <f t="shared" si="7"/>
        <v>745968.1019528429</v>
      </c>
      <c r="K50" s="9">
        <f t="shared" si="8"/>
        <v>769494.29700715549</v>
      </c>
      <c r="L50" s="9">
        <f t="shared" si="9"/>
        <v>769494.29700715549</v>
      </c>
      <c r="M50" s="9">
        <f t="shared" si="10"/>
        <v>664315.33801856218</v>
      </c>
      <c r="N50" s="9">
        <f t="shared" si="11"/>
        <v>554667.76064467547</v>
      </c>
      <c r="O50" s="9">
        <f t="shared" si="12"/>
        <v>554667.76064467547</v>
      </c>
      <c r="P50" s="9">
        <f t="shared" si="13"/>
        <v>554667.76064467547</v>
      </c>
      <c r="Q50" s="9">
        <f t="shared" si="14"/>
        <v>554667.76064467547</v>
      </c>
      <c r="R50" s="9">
        <f t="shared" si="15"/>
        <v>554667.76064467547</v>
      </c>
      <c r="S50" s="9">
        <f t="shared" si="16"/>
        <v>554667.76064467547</v>
      </c>
      <c r="T50" s="9">
        <f t="shared" si="17"/>
        <v>554667.76064467547</v>
      </c>
      <c r="U50" s="9">
        <f>SUM(Table6[[#This Row],[Payment 1 - 9/1/22]:[Payment 18 -2038]])</f>
        <v>11682628.499733465</v>
      </c>
    </row>
    <row r="51" spans="1:21" ht="16.2" thickBot="1" x14ac:dyDescent="0.35">
      <c r="A51" s="31" t="s">
        <v>51</v>
      </c>
      <c r="B51" s="4">
        <v>5.7440254131604015E-3</v>
      </c>
      <c r="C51" s="9">
        <f t="shared" si="0"/>
        <v>164484.12476495522</v>
      </c>
      <c r="D51" s="9">
        <f t="shared" si="1"/>
        <v>248171.50255550878</v>
      </c>
      <c r="E51" s="9">
        <f t="shared" si="2"/>
        <v>240399.57624578493</v>
      </c>
      <c r="F51" s="9">
        <f t="shared" si="3"/>
        <v>300992.63598540978</v>
      </c>
      <c r="G51" s="9">
        <f t="shared" si="4"/>
        <v>311459.62081265164</v>
      </c>
      <c r="H51" s="9">
        <f t="shared" si="5"/>
        <v>175558.25532014517</v>
      </c>
      <c r="I51" s="9">
        <f t="shared" si="6"/>
        <v>221860.81578183483</v>
      </c>
      <c r="J51" s="9">
        <f t="shared" si="7"/>
        <v>255735.19604999217</v>
      </c>
      <c r="K51" s="9">
        <f t="shared" si="8"/>
        <v>263800.52228683082</v>
      </c>
      <c r="L51" s="9">
        <f t="shared" si="9"/>
        <v>263800.52228683082</v>
      </c>
      <c r="M51" s="9">
        <f t="shared" si="10"/>
        <v>227742.73157585162</v>
      </c>
      <c r="N51" s="9">
        <f t="shared" si="11"/>
        <v>190152.99466523741</v>
      </c>
      <c r="O51" s="9">
        <f t="shared" si="12"/>
        <v>190152.99466523741</v>
      </c>
      <c r="P51" s="9">
        <f t="shared" si="13"/>
        <v>190152.99466523741</v>
      </c>
      <c r="Q51" s="9">
        <f t="shared" si="14"/>
        <v>190152.99466523741</v>
      </c>
      <c r="R51" s="9">
        <f t="shared" si="15"/>
        <v>190152.99466523741</v>
      </c>
      <c r="S51" s="9">
        <f t="shared" si="16"/>
        <v>190152.99466523741</v>
      </c>
      <c r="T51" s="9">
        <f t="shared" si="17"/>
        <v>190152.99466523741</v>
      </c>
      <c r="U51" s="9">
        <f>SUM(Table6[[#This Row],[Payment 1 - 9/1/22]:[Payment 18 -2038]])</f>
        <v>4005076.4663224597</v>
      </c>
    </row>
    <row r="52" spans="1:21" ht="16.2" thickBot="1" x14ac:dyDescent="0.35">
      <c r="A52" s="31" t="s">
        <v>52</v>
      </c>
      <c r="B52" s="4">
        <v>2.2956227120823833E-3</v>
      </c>
      <c r="C52" s="9">
        <f t="shared" si="0"/>
        <v>65736.737814965396</v>
      </c>
      <c r="D52" s="9">
        <f t="shared" si="1"/>
        <v>99182.732801417034</v>
      </c>
      <c r="E52" s="9">
        <f t="shared" si="2"/>
        <v>96076.651391617663</v>
      </c>
      <c r="F52" s="9">
        <f t="shared" si="3"/>
        <v>120292.90987371835</v>
      </c>
      <c r="G52" s="9">
        <f t="shared" si="4"/>
        <v>124476.08219071156</v>
      </c>
      <c r="H52" s="9">
        <f t="shared" si="5"/>
        <v>70162.558348560866</v>
      </c>
      <c r="I52" s="9">
        <f t="shared" si="6"/>
        <v>88667.561682962783</v>
      </c>
      <c r="J52" s="9">
        <f t="shared" si="7"/>
        <v>102205.59313441343</v>
      </c>
      <c r="K52" s="9">
        <f t="shared" si="8"/>
        <v>105428.93299764249</v>
      </c>
      <c r="L52" s="9">
        <f t="shared" si="9"/>
        <v>105428.93299764249</v>
      </c>
      <c r="M52" s="9">
        <f t="shared" si="10"/>
        <v>91018.292836826498</v>
      </c>
      <c r="N52" s="9">
        <f t="shared" si="11"/>
        <v>75995.404254979308</v>
      </c>
      <c r="O52" s="9">
        <f t="shared" si="12"/>
        <v>75995.404254979308</v>
      </c>
      <c r="P52" s="9">
        <f t="shared" si="13"/>
        <v>75995.404254979308</v>
      </c>
      <c r="Q52" s="9">
        <f t="shared" si="14"/>
        <v>75995.404254979308</v>
      </c>
      <c r="R52" s="9">
        <f t="shared" si="15"/>
        <v>75995.404254979308</v>
      </c>
      <c r="S52" s="9">
        <f t="shared" si="16"/>
        <v>75995.404254979308</v>
      </c>
      <c r="T52" s="9">
        <f t="shared" si="17"/>
        <v>75995.404254979308</v>
      </c>
      <c r="U52" s="9">
        <f>SUM(Table6[[#This Row],[Payment 1 - 9/1/22]:[Payment 18 -2038]])</f>
        <v>1600644.8158553333</v>
      </c>
    </row>
    <row r="53" spans="1:21" ht="16.2" thickBot="1" x14ac:dyDescent="0.35">
      <c r="A53" s="31" t="s">
        <v>53</v>
      </c>
      <c r="B53" s="4">
        <v>0.23001941115465127</v>
      </c>
      <c r="C53" s="9">
        <f t="shared" si="0"/>
        <v>6586764.2987857834</v>
      </c>
      <c r="D53" s="9">
        <f t="shared" si="1"/>
        <v>9938024.0819260255</v>
      </c>
      <c r="E53" s="9">
        <f t="shared" si="2"/>
        <v>9626797.4099123273</v>
      </c>
      <c r="F53" s="9">
        <f t="shared" si="3"/>
        <v>12053245.57454511</v>
      </c>
      <c r="G53" s="9">
        <f t="shared" si="4"/>
        <v>12472395.824300386</v>
      </c>
      <c r="H53" s="9">
        <f t="shared" si="5"/>
        <v>7030227.6900720345</v>
      </c>
      <c r="I53" s="9">
        <f t="shared" si="6"/>
        <v>8884413.0263605323</v>
      </c>
      <c r="J53" s="9">
        <f t="shared" si="7"/>
        <v>10240912.073989781</v>
      </c>
      <c r="K53" s="9">
        <f t="shared" si="8"/>
        <v>10563887.941665661</v>
      </c>
      <c r="L53" s="9">
        <f t="shared" si="9"/>
        <v>10563887.941665661</v>
      </c>
      <c r="M53" s="9">
        <f t="shared" si="10"/>
        <v>9119954.2557397</v>
      </c>
      <c r="N53" s="9">
        <f t="shared" si="11"/>
        <v>7614673.8073232211</v>
      </c>
      <c r="O53" s="9">
        <f t="shared" si="12"/>
        <v>7614673.8073232211</v>
      </c>
      <c r="P53" s="9">
        <f t="shared" si="13"/>
        <v>7614673.8073232211</v>
      </c>
      <c r="Q53" s="9">
        <f t="shared" si="14"/>
        <v>7614673.8073232211</v>
      </c>
      <c r="R53" s="9">
        <f t="shared" si="15"/>
        <v>7614673.8073232211</v>
      </c>
      <c r="S53" s="9">
        <f t="shared" si="16"/>
        <v>7614673.8073232211</v>
      </c>
      <c r="T53" s="9">
        <f t="shared" si="17"/>
        <v>7614673.8073232211</v>
      </c>
      <c r="U53" s="9">
        <f>SUM(Table6[[#This Row],[Payment 1 - 9/1/22]:[Payment 18 -2038]])</f>
        <v>160383226.77022555</v>
      </c>
    </row>
    <row r="54" spans="1:21" ht="16.2" thickBot="1" x14ac:dyDescent="0.35">
      <c r="A54" s="31" t="s">
        <v>54</v>
      </c>
      <c r="B54" s="4">
        <v>2.8123862539486417E-3</v>
      </c>
      <c r="C54" s="9">
        <f t="shared" si="0"/>
        <v>80534.617834709701</v>
      </c>
      <c r="D54" s="9">
        <f t="shared" si="1"/>
        <v>121509.58120933417</v>
      </c>
      <c r="E54" s="9">
        <f t="shared" si="2"/>
        <v>117704.29534306868</v>
      </c>
      <c r="F54" s="9">
        <f t="shared" si="3"/>
        <v>147371.83266036067</v>
      </c>
      <c r="G54" s="9">
        <f t="shared" si="4"/>
        <v>152496.67145041531</v>
      </c>
      <c r="H54" s="9">
        <f t="shared" si="5"/>
        <v>85956.726949424206</v>
      </c>
      <c r="I54" s="9">
        <f t="shared" si="6"/>
        <v>108627.35864035081</v>
      </c>
      <c r="J54" s="9">
        <f t="shared" si="7"/>
        <v>125212.91225035438</v>
      </c>
      <c r="K54" s="9">
        <f t="shared" si="8"/>
        <v>129161.85241174829</v>
      </c>
      <c r="L54" s="9">
        <f t="shared" si="9"/>
        <v>129161.85241174829</v>
      </c>
      <c r="M54" s="9">
        <f t="shared" si="10"/>
        <v>111507.25869930172</v>
      </c>
      <c r="N54" s="9">
        <f t="shared" si="11"/>
        <v>93102.594413739105</v>
      </c>
      <c r="O54" s="9">
        <f t="shared" si="12"/>
        <v>93102.594413739105</v>
      </c>
      <c r="P54" s="9">
        <f t="shared" si="13"/>
        <v>93102.594413739105</v>
      </c>
      <c r="Q54" s="9">
        <f t="shared" si="14"/>
        <v>93102.594413739105</v>
      </c>
      <c r="R54" s="9">
        <f t="shared" si="15"/>
        <v>93102.594413739105</v>
      </c>
      <c r="S54" s="9">
        <f t="shared" si="16"/>
        <v>93102.594413739105</v>
      </c>
      <c r="T54" s="9">
        <f t="shared" si="17"/>
        <v>93102.594413739105</v>
      </c>
      <c r="U54" s="9">
        <f>SUM(Table6[[#This Row],[Payment 1 - 9/1/22]:[Payment 18 -2038]])</f>
        <v>1960963.1207569905</v>
      </c>
    </row>
    <row r="55" spans="1:21" ht="16.2" thickBot="1" x14ac:dyDescent="0.35">
      <c r="A55" s="31" t="s">
        <v>55</v>
      </c>
      <c r="B55" s="4">
        <v>1.4285891185863999E-3</v>
      </c>
      <c r="C55" s="9">
        <f t="shared" si="0"/>
        <v>40908.633565765354</v>
      </c>
      <c r="D55" s="9">
        <f t="shared" si="1"/>
        <v>61722.412871249668</v>
      </c>
      <c r="E55" s="9">
        <f t="shared" si="2"/>
        <v>59789.467148013755</v>
      </c>
      <c r="F55" s="9">
        <f t="shared" si="3"/>
        <v>74859.488531894851</v>
      </c>
      <c r="G55" s="9">
        <f t="shared" si="4"/>
        <v>77462.718767322978</v>
      </c>
      <c r="H55" s="9">
        <f t="shared" si="5"/>
        <v>43662.866228577514</v>
      </c>
      <c r="I55" s="9">
        <f t="shared" si="6"/>
        <v>55178.716051718191</v>
      </c>
      <c r="J55" s="9">
        <f t="shared" si="7"/>
        <v>63603.569280792173</v>
      </c>
      <c r="K55" s="9">
        <f t="shared" si="8"/>
        <v>65609.486119773836</v>
      </c>
      <c r="L55" s="9">
        <f t="shared" si="9"/>
        <v>65609.486119773836</v>
      </c>
      <c r="M55" s="9">
        <f t="shared" si="10"/>
        <v>56641.599708277528</v>
      </c>
      <c r="N55" s="9">
        <f t="shared" si="11"/>
        <v>47292.704942249198</v>
      </c>
      <c r="O55" s="9">
        <f t="shared" si="12"/>
        <v>47292.704942249198</v>
      </c>
      <c r="P55" s="9">
        <f t="shared" si="13"/>
        <v>47292.704942249198</v>
      </c>
      <c r="Q55" s="9">
        <f t="shared" si="14"/>
        <v>47292.704942249198</v>
      </c>
      <c r="R55" s="9">
        <f t="shared" si="15"/>
        <v>47292.704942249198</v>
      </c>
      <c r="S55" s="9">
        <f t="shared" si="16"/>
        <v>47292.704942249198</v>
      </c>
      <c r="T55" s="9">
        <f t="shared" si="17"/>
        <v>47292.704942249198</v>
      </c>
      <c r="U55" s="9">
        <f>SUM(Table6[[#This Row],[Payment 1 - 9/1/22]:[Payment 18 -2038]])</f>
        <v>996097.37898890418</v>
      </c>
    </row>
    <row r="56" spans="1:21" ht="16.2" thickBot="1" x14ac:dyDescent="0.35">
      <c r="A56" s="31" t="s">
        <v>56</v>
      </c>
      <c r="B56" s="4">
        <v>9.7986327636411363E-3</v>
      </c>
      <c r="C56" s="9">
        <f t="shared" si="0"/>
        <v>280590.59946497477</v>
      </c>
      <c r="D56" s="9">
        <f t="shared" si="1"/>
        <v>423351.43754256092</v>
      </c>
      <c r="E56" s="9">
        <f t="shared" si="2"/>
        <v>410093.44401060609</v>
      </c>
      <c r="F56" s="9">
        <f t="shared" si="3"/>
        <v>513458.08774174849</v>
      </c>
      <c r="G56" s="9">
        <f t="shared" si="4"/>
        <v>531313.53459088004</v>
      </c>
      <c r="H56" s="9">
        <f t="shared" si="5"/>
        <v>299481.76562143158</v>
      </c>
      <c r="I56" s="9">
        <f t="shared" si="6"/>
        <v>378468.49589266093</v>
      </c>
      <c r="J56" s="9">
        <f t="shared" si="7"/>
        <v>436254.2103470437</v>
      </c>
      <c r="K56" s="9">
        <f t="shared" si="8"/>
        <v>450012.70969711174</v>
      </c>
      <c r="L56" s="9">
        <f t="shared" si="9"/>
        <v>450012.70969711174</v>
      </c>
      <c r="M56" s="9">
        <f t="shared" si="10"/>
        <v>388502.35345188784</v>
      </c>
      <c r="N56" s="9">
        <f t="shared" si="11"/>
        <v>324378.67690527969</v>
      </c>
      <c r="O56" s="9">
        <f t="shared" si="12"/>
        <v>324378.67690527969</v>
      </c>
      <c r="P56" s="9">
        <f t="shared" si="13"/>
        <v>324378.67690527969</v>
      </c>
      <c r="Q56" s="9">
        <f t="shared" si="14"/>
        <v>324378.67690527969</v>
      </c>
      <c r="R56" s="9">
        <f t="shared" si="15"/>
        <v>324378.67690527969</v>
      </c>
      <c r="S56" s="9">
        <f t="shared" si="16"/>
        <v>324378.67690527969</v>
      </c>
      <c r="T56" s="9">
        <f t="shared" si="17"/>
        <v>324378.67690527969</v>
      </c>
      <c r="U56" s="9">
        <f>SUM(Table6[[#This Row],[Payment 1 - 9/1/22]:[Payment 18 -2038]])</f>
        <v>6832190.0863949778</v>
      </c>
    </row>
    <row r="57" spans="1:21" ht="16.2" thickBot="1" x14ac:dyDescent="0.35">
      <c r="A57" s="31" t="s">
        <v>57</v>
      </c>
      <c r="B57" s="4">
        <v>1.4285891185863999E-3</v>
      </c>
      <c r="C57" s="9">
        <f t="shared" si="0"/>
        <v>40908.633565765354</v>
      </c>
      <c r="D57" s="9">
        <f t="shared" si="1"/>
        <v>61722.412871249668</v>
      </c>
      <c r="E57" s="9">
        <f t="shared" si="2"/>
        <v>59789.467148013755</v>
      </c>
      <c r="F57" s="9">
        <f t="shared" si="3"/>
        <v>74859.488531894851</v>
      </c>
      <c r="G57" s="9">
        <f t="shared" si="4"/>
        <v>77462.718767322978</v>
      </c>
      <c r="H57" s="9">
        <f t="shared" si="5"/>
        <v>43662.866228577514</v>
      </c>
      <c r="I57" s="9">
        <f t="shared" si="6"/>
        <v>55178.716051718191</v>
      </c>
      <c r="J57" s="9">
        <f t="shared" si="7"/>
        <v>63603.569280792173</v>
      </c>
      <c r="K57" s="9">
        <f t="shared" si="8"/>
        <v>65609.486119773836</v>
      </c>
      <c r="L57" s="9">
        <f t="shared" si="9"/>
        <v>65609.486119773836</v>
      </c>
      <c r="M57" s="9">
        <f t="shared" si="10"/>
        <v>56641.599708277528</v>
      </c>
      <c r="N57" s="9">
        <f t="shared" si="11"/>
        <v>47292.704942249198</v>
      </c>
      <c r="O57" s="9">
        <f t="shared" si="12"/>
        <v>47292.704942249198</v>
      </c>
      <c r="P57" s="9">
        <f t="shared" si="13"/>
        <v>47292.704942249198</v>
      </c>
      <c r="Q57" s="9">
        <f t="shared" si="14"/>
        <v>47292.704942249198</v>
      </c>
      <c r="R57" s="9">
        <f t="shared" si="15"/>
        <v>47292.704942249198</v>
      </c>
      <c r="S57" s="9">
        <f t="shared" si="16"/>
        <v>47292.704942249198</v>
      </c>
      <c r="T57" s="9">
        <f t="shared" si="17"/>
        <v>47292.704942249198</v>
      </c>
      <c r="U57" s="9">
        <f>SUM(Table6[[#This Row],[Payment 1 - 9/1/22]:[Payment 18 -2038]])</f>
        <v>996097.37898890418</v>
      </c>
    </row>
    <row r="58" spans="1:21" ht="16.2" thickBot="1" x14ac:dyDescent="0.35">
      <c r="A58" s="31" t="s">
        <v>58</v>
      </c>
      <c r="B58" s="4">
        <v>4.2235480138774059E-3</v>
      </c>
      <c r="C58" s="9">
        <f t="shared" si="0"/>
        <v>120944.20697960627</v>
      </c>
      <c r="D58" s="9">
        <f t="shared" si="1"/>
        <v>182479.04236596747</v>
      </c>
      <c r="E58" s="9">
        <f t="shared" si="2"/>
        <v>176764.3907813438</v>
      </c>
      <c r="F58" s="9">
        <f t="shared" si="3"/>
        <v>221318.11029165494</v>
      </c>
      <c r="G58" s="9">
        <f t="shared" si="4"/>
        <v>229014.42251149568</v>
      </c>
      <c r="H58" s="9">
        <f t="shared" si="5"/>
        <v>129086.94987287931</v>
      </c>
      <c r="I58" s="9">
        <f t="shared" si="6"/>
        <v>163132.94953495407</v>
      </c>
      <c r="J58" s="9">
        <f t="shared" si="7"/>
        <v>188040.58158949018</v>
      </c>
      <c r="K58" s="9">
        <f t="shared" si="8"/>
        <v>193970.96841034701</v>
      </c>
      <c r="L58" s="9">
        <f t="shared" si="9"/>
        <v>193970.96841034701</v>
      </c>
      <c r="M58" s="9">
        <f t="shared" si="10"/>
        <v>167457.88753273798</v>
      </c>
      <c r="N58" s="9">
        <f t="shared" si="11"/>
        <v>139818.37564839781</v>
      </c>
      <c r="O58" s="9">
        <f t="shared" si="12"/>
        <v>139818.37564839781</v>
      </c>
      <c r="P58" s="9">
        <f t="shared" si="13"/>
        <v>139818.37564839781</v>
      </c>
      <c r="Q58" s="9">
        <f t="shared" si="14"/>
        <v>139818.37564839781</v>
      </c>
      <c r="R58" s="9">
        <f t="shared" si="15"/>
        <v>139818.37564839781</v>
      </c>
      <c r="S58" s="9">
        <f t="shared" si="16"/>
        <v>139818.37564839781</v>
      </c>
      <c r="T58" s="9">
        <f t="shared" si="17"/>
        <v>139818.37564839781</v>
      </c>
      <c r="U58" s="9">
        <f>SUM(Table6[[#This Row],[Payment 1 - 9/1/22]:[Payment 18 -2038]])</f>
        <v>2944909.1078196093</v>
      </c>
    </row>
    <row r="59" spans="1:21" ht="16.2" thickBot="1" x14ac:dyDescent="0.35">
      <c r="A59" s="31" t="s">
        <v>59</v>
      </c>
      <c r="B59" s="4">
        <v>1.4285891185863999E-3</v>
      </c>
      <c r="C59" s="9">
        <f t="shared" si="0"/>
        <v>40908.633565765354</v>
      </c>
      <c r="D59" s="9">
        <f t="shared" si="1"/>
        <v>61722.412871249668</v>
      </c>
      <c r="E59" s="9">
        <f t="shared" si="2"/>
        <v>59789.467148013755</v>
      </c>
      <c r="F59" s="9">
        <f t="shared" si="3"/>
        <v>74859.488531894851</v>
      </c>
      <c r="G59" s="9">
        <f t="shared" si="4"/>
        <v>77462.718767322978</v>
      </c>
      <c r="H59" s="9">
        <f t="shared" si="5"/>
        <v>43662.866228577514</v>
      </c>
      <c r="I59" s="9">
        <f t="shared" si="6"/>
        <v>55178.716051718191</v>
      </c>
      <c r="J59" s="9">
        <f t="shared" si="7"/>
        <v>63603.569280792173</v>
      </c>
      <c r="K59" s="9">
        <f t="shared" si="8"/>
        <v>65609.486119773836</v>
      </c>
      <c r="L59" s="9">
        <f t="shared" si="9"/>
        <v>65609.486119773836</v>
      </c>
      <c r="M59" s="9">
        <f t="shared" si="10"/>
        <v>56641.599708277528</v>
      </c>
      <c r="N59" s="9">
        <f t="shared" si="11"/>
        <v>47292.704942249198</v>
      </c>
      <c r="O59" s="9">
        <f t="shared" si="12"/>
        <v>47292.704942249198</v>
      </c>
      <c r="P59" s="9">
        <f t="shared" si="13"/>
        <v>47292.704942249198</v>
      </c>
      <c r="Q59" s="9">
        <f t="shared" si="14"/>
        <v>47292.704942249198</v>
      </c>
      <c r="R59" s="9">
        <f t="shared" si="15"/>
        <v>47292.704942249198</v>
      </c>
      <c r="S59" s="9">
        <f t="shared" si="16"/>
        <v>47292.704942249198</v>
      </c>
      <c r="T59" s="9">
        <f t="shared" si="17"/>
        <v>47292.704942249198</v>
      </c>
      <c r="U59" s="9">
        <f>SUM(Table6[[#This Row],[Payment 1 - 9/1/22]:[Payment 18 -2038]])</f>
        <v>996097.37898890418</v>
      </c>
    </row>
    <row r="60" spans="1:21" ht="16.2" thickBot="1" x14ac:dyDescent="0.35">
      <c r="A60" s="31" t="s">
        <v>60</v>
      </c>
      <c r="B60" s="4">
        <v>1.6496689990441195E-3</v>
      </c>
      <c r="C60" s="9">
        <f t="shared" si="0"/>
        <v>47239.4082446018</v>
      </c>
      <c r="D60" s="9">
        <f t="shared" si="1"/>
        <v>71274.20315272703</v>
      </c>
      <c r="E60" s="9">
        <f t="shared" si="2"/>
        <v>69042.126347037469</v>
      </c>
      <c r="F60" s="9">
        <f t="shared" si="3"/>
        <v>86444.293820159699</v>
      </c>
      <c r="G60" s="9">
        <f t="shared" si="4"/>
        <v>89450.384347441272</v>
      </c>
      <c r="H60" s="9">
        <f t="shared" si="5"/>
        <v>50419.869428914797</v>
      </c>
      <c r="I60" s="9">
        <f t="shared" si="6"/>
        <v>63717.843075585784</v>
      </c>
      <c r="J60" s="9">
        <f t="shared" si="7"/>
        <v>73446.476041271875</v>
      </c>
      <c r="K60" s="9">
        <f t="shared" si="8"/>
        <v>75762.816534753321</v>
      </c>
      <c r="L60" s="9">
        <f t="shared" si="9"/>
        <v>75762.816534753321</v>
      </c>
      <c r="M60" s="9">
        <f t="shared" si="10"/>
        <v>65407.113829532311</v>
      </c>
      <c r="N60" s="9">
        <f t="shared" si="11"/>
        <v>54611.440202882026</v>
      </c>
      <c r="O60" s="9">
        <f t="shared" si="12"/>
        <v>54611.440202882026</v>
      </c>
      <c r="P60" s="9">
        <f t="shared" si="13"/>
        <v>54611.440202882026</v>
      </c>
      <c r="Q60" s="9">
        <f t="shared" si="14"/>
        <v>54611.440202882026</v>
      </c>
      <c r="R60" s="9">
        <f t="shared" si="15"/>
        <v>54611.440202882026</v>
      </c>
      <c r="S60" s="9">
        <f t="shared" si="16"/>
        <v>54611.440202882026</v>
      </c>
      <c r="T60" s="9">
        <f t="shared" si="17"/>
        <v>54611.440202882026</v>
      </c>
      <c r="U60" s="9">
        <f>SUM(Table6[[#This Row],[Payment 1 - 9/1/22]:[Payment 18 -2038]])</f>
        <v>1150247.4327769529</v>
      </c>
    </row>
    <row r="61" spans="1:21" ht="16.2" thickBot="1" x14ac:dyDescent="0.35">
      <c r="A61" s="31" t="s">
        <v>61</v>
      </c>
      <c r="B61" s="4">
        <v>1.4807269070583292E-3</v>
      </c>
      <c r="C61" s="9">
        <f t="shared" si="0"/>
        <v>42401.635056381529</v>
      </c>
      <c r="D61" s="9">
        <f t="shared" si="1"/>
        <v>63975.034051398798</v>
      </c>
      <c r="E61" s="9">
        <f t="shared" si="2"/>
        <v>61971.543541047664</v>
      </c>
      <c r="F61" s="9">
        <f t="shared" si="3"/>
        <v>77591.560425354895</v>
      </c>
      <c r="G61" s="9">
        <f t="shared" si="4"/>
        <v>80289.798151455194</v>
      </c>
      <c r="H61" s="9">
        <f t="shared" si="5"/>
        <v>45256.386194455685</v>
      </c>
      <c r="I61" s="9">
        <f t="shared" si="6"/>
        <v>57192.5184727417</v>
      </c>
      <c r="J61" s="9">
        <f t="shared" si="7"/>
        <v>65924.845145263971</v>
      </c>
      <c r="K61" s="9">
        <f t="shared" si="8"/>
        <v>68003.969925201105</v>
      </c>
      <c r="L61" s="9">
        <f t="shared" si="9"/>
        <v>68003.969925201105</v>
      </c>
      <c r="M61" s="9">
        <f t="shared" si="10"/>
        <v>58708.791531230825</v>
      </c>
      <c r="N61" s="9">
        <f t="shared" si="11"/>
        <v>49018.699501821524</v>
      </c>
      <c r="O61" s="9">
        <f t="shared" si="12"/>
        <v>49018.699501821524</v>
      </c>
      <c r="P61" s="9">
        <f t="shared" si="13"/>
        <v>49018.699501821524</v>
      </c>
      <c r="Q61" s="9">
        <f t="shared" si="14"/>
        <v>49018.699501821524</v>
      </c>
      <c r="R61" s="9">
        <f t="shared" si="15"/>
        <v>49018.699501821524</v>
      </c>
      <c r="S61" s="9">
        <f t="shared" si="16"/>
        <v>49018.699501821524</v>
      </c>
      <c r="T61" s="9">
        <f t="shared" si="17"/>
        <v>49018.699501821524</v>
      </c>
      <c r="U61" s="9">
        <f>SUM(Table6[[#This Row],[Payment 1 - 9/1/22]:[Payment 18 -2038]])</f>
        <v>1032450.9489324833</v>
      </c>
    </row>
    <row r="62" spans="1:21" ht="16.2" thickBot="1" x14ac:dyDescent="0.35">
      <c r="A62" s="31" t="s">
        <v>62</v>
      </c>
      <c r="B62" s="4">
        <v>1.4285891185863999E-3</v>
      </c>
      <c r="C62" s="9">
        <f t="shared" si="0"/>
        <v>40908.633565765354</v>
      </c>
      <c r="D62" s="9">
        <f t="shared" si="1"/>
        <v>61722.412871249668</v>
      </c>
      <c r="E62" s="9">
        <f t="shared" si="2"/>
        <v>59789.467148013755</v>
      </c>
      <c r="F62" s="9">
        <f t="shared" si="3"/>
        <v>74859.488531894851</v>
      </c>
      <c r="G62" s="9">
        <f t="shared" si="4"/>
        <v>77462.718767322978</v>
      </c>
      <c r="H62" s="9">
        <f t="shared" si="5"/>
        <v>43662.866228577514</v>
      </c>
      <c r="I62" s="9">
        <f t="shared" si="6"/>
        <v>55178.716051718191</v>
      </c>
      <c r="J62" s="9">
        <f t="shared" si="7"/>
        <v>63603.569280792173</v>
      </c>
      <c r="K62" s="9">
        <f t="shared" si="8"/>
        <v>65609.486119773836</v>
      </c>
      <c r="L62" s="9">
        <f t="shared" si="9"/>
        <v>65609.486119773836</v>
      </c>
      <c r="M62" s="9">
        <f t="shared" si="10"/>
        <v>56641.599708277528</v>
      </c>
      <c r="N62" s="9">
        <f t="shared" si="11"/>
        <v>47292.704942249198</v>
      </c>
      <c r="O62" s="9">
        <f t="shared" si="12"/>
        <v>47292.704942249198</v>
      </c>
      <c r="P62" s="9">
        <f t="shared" si="13"/>
        <v>47292.704942249198</v>
      </c>
      <c r="Q62" s="9">
        <f t="shared" si="14"/>
        <v>47292.704942249198</v>
      </c>
      <c r="R62" s="9">
        <f t="shared" si="15"/>
        <v>47292.704942249198</v>
      </c>
      <c r="S62" s="9">
        <f t="shared" si="16"/>
        <v>47292.704942249198</v>
      </c>
      <c r="T62" s="9">
        <f t="shared" si="17"/>
        <v>47292.704942249198</v>
      </c>
      <c r="U62" s="9">
        <f>SUM(Table6[[#This Row],[Payment 1 - 9/1/22]:[Payment 18 -2038]])</f>
        <v>996097.37898890418</v>
      </c>
    </row>
    <row r="63" spans="1:21" ht="16.2" thickBot="1" x14ac:dyDescent="0.35">
      <c r="A63" s="31" t="s">
        <v>63</v>
      </c>
      <c r="B63" s="4">
        <v>3.3390870617237872E-3</v>
      </c>
      <c r="C63" s="9">
        <f t="shared" si="0"/>
        <v>95617.05830953746</v>
      </c>
      <c r="D63" s="9">
        <f t="shared" si="1"/>
        <v>144265.77072118374</v>
      </c>
      <c r="E63" s="9">
        <f t="shared" si="2"/>
        <v>139747.83482800127</v>
      </c>
      <c r="F63" s="9">
        <f t="shared" si="3"/>
        <v>174971.47804923088</v>
      </c>
      <c r="G63" s="9">
        <f t="shared" si="4"/>
        <v>181056.09138186453</v>
      </c>
      <c r="H63" s="9">
        <f t="shared" si="5"/>
        <v>102054.61444777355</v>
      </c>
      <c r="I63" s="9">
        <f t="shared" si="6"/>
        <v>128970.97874659458</v>
      </c>
      <c r="J63" s="9">
        <f t="shared" si="7"/>
        <v>148662.65779421254</v>
      </c>
      <c r="K63" s="9">
        <f t="shared" si="8"/>
        <v>153351.15141130323</v>
      </c>
      <c r="L63" s="9">
        <f t="shared" si="9"/>
        <v>153351.15141130323</v>
      </c>
      <c r="M63" s="9">
        <f t="shared" si="10"/>
        <v>132390.22352934774</v>
      </c>
      <c r="N63" s="9">
        <f t="shared" si="11"/>
        <v>110538.7526280772</v>
      </c>
      <c r="O63" s="9">
        <f t="shared" si="12"/>
        <v>110538.7526280772</v>
      </c>
      <c r="P63" s="9">
        <f t="shared" si="13"/>
        <v>110538.7526280772</v>
      </c>
      <c r="Q63" s="9">
        <f t="shared" si="14"/>
        <v>110538.7526280772</v>
      </c>
      <c r="R63" s="9">
        <f t="shared" si="15"/>
        <v>110538.7526280772</v>
      </c>
      <c r="S63" s="9">
        <f t="shared" si="16"/>
        <v>110538.7526280772</v>
      </c>
      <c r="T63" s="9">
        <f t="shared" si="17"/>
        <v>110538.7526280772</v>
      </c>
      <c r="U63" s="9">
        <f>SUM(Table6[[#This Row],[Payment 1 - 9/1/22]:[Payment 18 -2038]])</f>
        <v>2328210.2790268939</v>
      </c>
    </row>
    <row r="64" spans="1:21" ht="16.2" thickBot="1" x14ac:dyDescent="0.35">
      <c r="A64" s="31" t="s">
        <v>64</v>
      </c>
      <c r="B64" s="4">
        <v>1.4285891185863999E-3</v>
      </c>
      <c r="C64" s="9">
        <f t="shared" si="0"/>
        <v>40908.633565765354</v>
      </c>
      <c r="D64" s="9">
        <f t="shared" si="1"/>
        <v>61722.412871249668</v>
      </c>
      <c r="E64" s="9">
        <f t="shared" si="2"/>
        <v>59789.467148013755</v>
      </c>
      <c r="F64" s="9">
        <f t="shared" si="3"/>
        <v>74859.488531894851</v>
      </c>
      <c r="G64" s="9">
        <f t="shared" si="4"/>
        <v>77462.718767322978</v>
      </c>
      <c r="H64" s="9">
        <f t="shared" si="5"/>
        <v>43662.866228577514</v>
      </c>
      <c r="I64" s="9">
        <f t="shared" si="6"/>
        <v>55178.716051718191</v>
      </c>
      <c r="J64" s="9">
        <f t="shared" si="7"/>
        <v>63603.569280792173</v>
      </c>
      <c r="K64" s="9">
        <f t="shared" si="8"/>
        <v>65609.486119773836</v>
      </c>
      <c r="L64" s="9">
        <f t="shared" si="9"/>
        <v>65609.486119773836</v>
      </c>
      <c r="M64" s="9">
        <f t="shared" si="10"/>
        <v>56641.599708277528</v>
      </c>
      <c r="N64" s="9">
        <f t="shared" si="11"/>
        <v>47292.704942249198</v>
      </c>
      <c r="O64" s="9">
        <f t="shared" si="12"/>
        <v>47292.704942249198</v>
      </c>
      <c r="P64" s="9">
        <f t="shared" si="13"/>
        <v>47292.704942249198</v>
      </c>
      <c r="Q64" s="9">
        <f t="shared" si="14"/>
        <v>47292.704942249198</v>
      </c>
      <c r="R64" s="9">
        <f t="shared" si="15"/>
        <v>47292.704942249198</v>
      </c>
      <c r="S64" s="9">
        <f t="shared" si="16"/>
        <v>47292.704942249198</v>
      </c>
      <c r="T64" s="9">
        <f t="shared" si="17"/>
        <v>47292.704942249198</v>
      </c>
      <c r="U64" s="9">
        <f>SUM(Table6[[#This Row],[Payment 1 - 9/1/22]:[Payment 18 -2038]])</f>
        <v>996097.37898890418</v>
      </c>
    </row>
    <row r="65" spans="1:21" ht="16.2" thickBot="1" x14ac:dyDescent="0.35">
      <c r="A65" s="31" t="s">
        <v>65</v>
      </c>
      <c r="B65" s="4">
        <v>1.6367492676323599E-2</v>
      </c>
      <c r="C65" s="9">
        <f t="shared" si="0"/>
        <v>468694.42835223093</v>
      </c>
      <c r="D65" s="9">
        <f t="shared" si="1"/>
        <v>707160.04167443328</v>
      </c>
      <c r="E65" s="9">
        <f t="shared" si="2"/>
        <v>685014.08342990978</v>
      </c>
      <c r="F65" s="9">
        <f t="shared" si="3"/>
        <v>857672.87063723814</v>
      </c>
      <c r="G65" s="9">
        <f t="shared" si="4"/>
        <v>887498.34757725231</v>
      </c>
      <c r="H65" s="9">
        <f t="shared" si="5"/>
        <v>500249.95565603417</v>
      </c>
      <c r="I65" s="9">
        <f t="shared" si="6"/>
        <v>632188.2332122887</v>
      </c>
      <c r="J65" s="9">
        <f t="shared" si="7"/>
        <v>728712.64441767184</v>
      </c>
      <c r="K65" s="9">
        <f t="shared" si="8"/>
        <v>751694.64025131927</v>
      </c>
      <c r="L65" s="9">
        <f t="shared" si="9"/>
        <v>751694.64025131927</v>
      </c>
      <c r="M65" s="9">
        <f t="shared" si="10"/>
        <v>648948.64194250561</v>
      </c>
      <c r="N65" s="9">
        <f t="shared" si="11"/>
        <v>541837.39167195815</v>
      </c>
      <c r="O65" s="9">
        <f t="shared" si="12"/>
        <v>541837.39167195815</v>
      </c>
      <c r="P65" s="9">
        <f t="shared" si="13"/>
        <v>541837.39167195815</v>
      </c>
      <c r="Q65" s="9">
        <f t="shared" si="14"/>
        <v>541837.39167195815</v>
      </c>
      <c r="R65" s="9">
        <f t="shared" si="15"/>
        <v>541837.39167195815</v>
      </c>
      <c r="S65" s="9">
        <f t="shared" si="16"/>
        <v>541837.39167195815</v>
      </c>
      <c r="T65" s="9">
        <f t="shared" si="17"/>
        <v>541837.39167195815</v>
      </c>
      <c r="U65" s="9">
        <f>SUM(Table6[[#This Row],[Payment 1 - 9/1/22]:[Payment 18 -2038]])</f>
        <v>11412390.269105906</v>
      </c>
    </row>
    <row r="66" spans="1:21" ht="16.2" thickBot="1" x14ac:dyDescent="0.35">
      <c r="A66" s="31" t="s">
        <v>66</v>
      </c>
      <c r="B66" s="4">
        <v>3.13039447751333E-3</v>
      </c>
      <c r="C66" s="9">
        <f t="shared" si="0"/>
        <v>89641.002392349765</v>
      </c>
      <c r="D66" s="9">
        <f t="shared" si="1"/>
        <v>135249.17548171297</v>
      </c>
      <c r="E66" s="9">
        <f t="shared" si="2"/>
        <v>131013.61009861798</v>
      </c>
      <c r="F66" s="9">
        <f t="shared" si="3"/>
        <v>164035.77938602606</v>
      </c>
      <c r="G66" s="9">
        <f t="shared" si="4"/>
        <v>169740.10503617767</v>
      </c>
      <c r="H66" s="9">
        <f t="shared" si="5"/>
        <v>95676.211960504254</v>
      </c>
      <c r="I66" s="9">
        <f t="shared" si="6"/>
        <v>120910.30636961143</v>
      </c>
      <c r="J66" s="9">
        <f t="shared" si="7"/>
        <v>139371.25758296656</v>
      </c>
      <c r="K66" s="9">
        <f t="shared" si="8"/>
        <v>143766.72085046829</v>
      </c>
      <c r="L66" s="9">
        <f t="shared" si="9"/>
        <v>143766.72085046829</v>
      </c>
      <c r="M66" s="9">
        <f t="shared" si="10"/>
        <v>124115.84871916342</v>
      </c>
      <c r="N66" s="9">
        <f t="shared" si="11"/>
        <v>103630.0924119986</v>
      </c>
      <c r="O66" s="9">
        <f t="shared" si="12"/>
        <v>103630.0924119986</v>
      </c>
      <c r="P66" s="9">
        <f t="shared" si="13"/>
        <v>103630.0924119986</v>
      </c>
      <c r="Q66" s="9">
        <f t="shared" si="14"/>
        <v>103630.0924119986</v>
      </c>
      <c r="R66" s="9">
        <f t="shared" si="15"/>
        <v>103630.0924119986</v>
      </c>
      <c r="S66" s="9">
        <f t="shared" si="16"/>
        <v>103630.0924119986</v>
      </c>
      <c r="T66" s="9">
        <f t="shared" si="17"/>
        <v>103630.0924119986</v>
      </c>
      <c r="U66" s="9">
        <f>SUM(Table6[[#This Row],[Payment 1 - 9/1/22]:[Payment 18 -2038]])</f>
        <v>2182697.3856120571</v>
      </c>
    </row>
    <row r="67" spans="1:21" ht="16.2" thickBot="1" x14ac:dyDescent="0.35">
      <c r="A67" s="31" t="s">
        <v>67</v>
      </c>
      <c r="B67" s="4">
        <v>3.2069154250612922E-2</v>
      </c>
      <c r="C67" s="9">
        <f t="shared" si="0"/>
        <v>918322.32440666424</v>
      </c>
      <c r="D67" s="9">
        <f t="shared" si="1"/>
        <v>1385552.7480474859</v>
      </c>
      <c r="E67" s="9">
        <f t="shared" si="2"/>
        <v>1342161.7311693421</v>
      </c>
      <c r="F67" s="9">
        <f t="shared" si="3"/>
        <v>1680455.5302974849</v>
      </c>
      <c r="G67" s="9">
        <f t="shared" si="4"/>
        <v>1738893.1810423059</v>
      </c>
      <c r="H67" s="9">
        <f t="shared" si="5"/>
        <v>980149.69727171783</v>
      </c>
      <c r="I67" s="9">
        <f t="shared" si="6"/>
        <v>1238658.9911620568</v>
      </c>
      <c r="J67" s="9">
        <f t="shared" si="7"/>
        <v>1427781.1916792293</v>
      </c>
      <c r="K67" s="9">
        <f t="shared" si="8"/>
        <v>1472810.2736498788</v>
      </c>
      <c r="L67" s="9">
        <f t="shared" si="9"/>
        <v>1472810.2736498788</v>
      </c>
      <c r="M67" s="9">
        <f t="shared" si="10"/>
        <v>1271497.9936593762</v>
      </c>
      <c r="N67" s="9">
        <f t="shared" si="11"/>
        <v>1061632.7885952524</v>
      </c>
      <c r="O67" s="9">
        <f t="shared" si="12"/>
        <v>1061632.7885952524</v>
      </c>
      <c r="P67" s="9">
        <f t="shared" si="13"/>
        <v>1061632.7885952524</v>
      </c>
      <c r="Q67" s="9">
        <f t="shared" si="14"/>
        <v>1061632.7885952524</v>
      </c>
      <c r="R67" s="9">
        <f t="shared" si="15"/>
        <v>1061632.7885952524</v>
      </c>
      <c r="S67" s="9">
        <f t="shared" si="16"/>
        <v>1061632.7885952524</v>
      </c>
      <c r="T67" s="9">
        <f t="shared" si="17"/>
        <v>1061632.7885952524</v>
      </c>
      <c r="U67" s="9">
        <f>SUM(Table6[[#This Row],[Payment 1 - 9/1/22]:[Payment 18 -2038]])</f>
        <v>22360523.456202183</v>
      </c>
    </row>
    <row r="68" spans="1:21" ht="16.2" thickBot="1" x14ac:dyDescent="0.35">
      <c r="A68" s="31" t="s">
        <v>68</v>
      </c>
      <c r="B68" s="4">
        <v>2.0273036752403669E-3</v>
      </c>
      <c r="C68" s="9">
        <f t="shared" ref="C68:C69" si="18">B68*$C$2</f>
        <v>58053.237350009775</v>
      </c>
      <c r="D68" s="9">
        <f t="shared" ref="D68:D69" si="19">B68*$D$2</f>
        <v>87589.967493526041</v>
      </c>
      <c r="E68" s="9">
        <f t="shared" ref="E68:E69" si="20">B68*$E$2</f>
        <v>84846.933882410565</v>
      </c>
      <c r="F68" s="9">
        <f t="shared" ref="F68:F69" si="21">B68*$F$2</f>
        <v>106232.72587816931</v>
      </c>
      <c r="G68" s="9">
        <f t="shared" ref="G68:G69" si="22">B68*$G$2</f>
        <v>109926.95688911418</v>
      </c>
      <c r="H68" s="9">
        <f t="shared" ref="H68:H69" si="23">B68*$H$2</f>
        <v>61961.755150643206</v>
      </c>
      <c r="I68" s="9">
        <f t="shared" ref="I68:I69" si="24">B68*$I$2</f>
        <v>78303.84005541302</v>
      </c>
      <c r="J68" s="9">
        <f t="shared" ref="J68:J69" si="25">B68*$J$2</f>
        <v>90259.507148525765</v>
      </c>
      <c r="K68" s="9">
        <f t="shared" ref="K68:K69" si="26">B68*$K$2</f>
        <v>93106.093705140447</v>
      </c>
      <c r="L68" s="9">
        <f t="shared" ref="L68:L69" si="27">B68*$L$2</f>
        <v>93106.093705140447</v>
      </c>
      <c r="M68" s="9">
        <f t="shared" ref="M68:M69" si="28">B68*$M$2</f>
        <v>80379.810938018098</v>
      </c>
      <c r="N68" s="9">
        <f t="shared" ref="N68:N69" si="29">B68*$N$2</f>
        <v>67112.841120021112</v>
      </c>
      <c r="O68" s="9">
        <f t="shared" ref="O68:O69" si="30">B68*$O$2</f>
        <v>67112.841120021112</v>
      </c>
      <c r="P68" s="9">
        <f t="shared" ref="P68:P69" si="31">B68*$P$2</f>
        <v>67112.841120021112</v>
      </c>
      <c r="Q68" s="9">
        <f t="shared" ref="Q68:Q69" si="32">B68*$Q$2</f>
        <v>67112.841120021112</v>
      </c>
      <c r="R68" s="9">
        <f t="shared" ref="R68:R69" si="33">B68*$R$2</f>
        <v>67112.841120021112</v>
      </c>
      <c r="S68" s="9">
        <f t="shared" ref="S68:S69" si="34">B68*$S$2</f>
        <v>67112.841120021112</v>
      </c>
      <c r="T68" s="9">
        <f t="shared" ref="T68:T69" si="35">B68*$T$2</f>
        <v>67112.841120021112</v>
      </c>
      <c r="U68" s="9">
        <f>SUM(Table6[[#This Row],[Payment 1 - 9/1/22]:[Payment 18 -2038]])</f>
        <v>1413556.810036259</v>
      </c>
    </row>
    <row r="69" spans="1:21" ht="16.2" thickBot="1" x14ac:dyDescent="0.35">
      <c r="A69" s="31" t="s">
        <v>69</v>
      </c>
      <c r="B69" s="4">
        <v>2.5549983524653132E-2</v>
      </c>
      <c r="C69" s="9">
        <f t="shared" si="18"/>
        <v>731641.37961209251</v>
      </c>
      <c r="D69" s="9">
        <f t="shared" si="19"/>
        <v>1103890.9728801013</v>
      </c>
      <c r="E69" s="9">
        <f t="shared" si="20"/>
        <v>1069320.6889963804</v>
      </c>
      <c r="F69" s="9">
        <f t="shared" si="21"/>
        <v>1338844.5101321116</v>
      </c>
      <c r="G69" s="9">
        <f t="shared" si="22"/>
        <v>1385402.6763400985</v>
      </c>
      <c r="H69" s="9">
        <f t="shared" si="23"/>
        <v>780900.1890502777</v>
      </c>
      <c r="I69" s="9">
        <f t="shared" si="24"/>
        <v>986858.47994413984</v>
      </c>
      <c r="J69" s="9">
        <f t="shared" si="25"/>
        <v>1137535.0169553256</v>
      </c>
      <c r="K69" s="9">
        <f t="shared" si="26"/>
        <v>1173410.3722418891</v>
      </c>
      <c r="L69" s="9">
        <f t="shared" si="27"/>
        <v>1173410.3722418891</v>
      </c>
      <c r="M69" s="9">
        <f t="shared" si="28"/>
        <v>1013021.8132898116</v>
      </c>
      <c r="N69" s="9">
        <f t="shared" si="29"/>
        <v>845819.00869187538</v>
      </c>
      <c r="O69" s="9">
        <f t="shared" si="30"/>
        <v>845819.00869187538</v>
      </c>
      <c r="P69" s="9">
        <f t="shared" si="31"/>
        <v>845819.00869187538</v>
      </c>
      <c r="Q69" s="9">
        <f t="shared" si="32"/>
        <v>845819.00869187538</v>
      </c>
      <c r="R69" s="9">
        <f t="shared" si="33"/>
        <v>845819.00869187538</v>
      </c>
      <c r="S69" s="9">
        <f t="shared" si="34"/>
        <v>845819.00869187538</v>
      </c>
      <c r="T69" s="9">
        <f t="shared" si="35"/>
        <v>845819.00869187538</v>
      </c>
      <c r="U69" s="9">
        <f>SUM(Table6[[#This Row],[Payment 1 - 9/1/22]:[Payment 18 -2038]])</f>
        <v>17814969.532527246</v>
      </c>
    </row>
    <row r="70" spans="1:21" x14ac:dyDescent="0.3">
      <c r="A70" s="35"/>
      <c r="C70" s="9"/>
    </row>
  </sheetData>
  <sheetProtection algorithmName="SHA-512" hashValue="PQ06WLnOGzkn4R1Cdy8fnNE+yz2D0+YngkA1nOkWH0clh5QoK0Kfqr6ENGjFItoWkS8etgsOez0FPLtauq6f9A==" saltValue="s+uC0YdcxKVQjwaPx2n8BQ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0"/>
  <sheetViews>
    <sheetView topLeftCell="E1" workbookViewId="0">
      <selection activeCell="F1" sqref="F1"/>
    </sheetView>
  </sheetViews>
  <sheetFormatPr defaultColWidth="10.109375" defaultRowHeight="15.6" x14ac:dyDescent="0.3"/>
  <cols>
    <col min="1" max="1" width="23.5546875" style="4" customWidth="1"/>
    <col min="2" max="2" width="16.6640625" style="4" customWidth="1"/>
    <col min="3" max="3" width="24.6640625" style="4" bestFit="1" customWidth="1"/>
    <col min="4" max="4" width="21.5546875" style="4" bestFit="1" customWidth="1"/>
    <col min="5" max="5" width="22.6640625" style="4" bestFit="1" customWidth="1"/>
    <col min="6" max="11" width="19.5546875" style="4" bestFit="1" customWidth="1"/>
    <col min="12" max="12" width="18.88671875" style="4" bestFit="1" customWidth="1"/>
    <col min="13" max="13" width="20.109375" style="4" bestFit="1" customWidth="1"/>
    <col min="14" max="20" width="20.6640625" style="4" bestFit="1" customWidth="1"/>
    <col min="21" max="21" width="20.109375" style="4" bestFit="1" customWidth="1"/>
    <col min="22" max="22" width="14.88671875" style="4" bestFit="1" customWidth="1"/>
    <col min="23" max="16384" width="10.109375" style="4"/>
  </cols>
  <sheetData>
    <row r="1" spans="1:22" x14ac:dyDescent="0.3">
      <c r="A1" s="19" t="s">
        <v>190</v>
      </c>
      <c r="C1" s="19" t="s">
        <v>170</v>
      </c>
      <c r="D1" s="19" t="s">
        <v>171</v>
      </c>
      <c r="E1" s="19" t="s">
        <v>172</v>
      </c>
      <c r="F1" s="19" t="s">
        <v>173</v>
      </c>
      <c r="G1" s="19" t="s">
        <v>174</v>
      </c>
      <c r="H1" s="19" t="s">
        <v>175</v>
      </c>
      <c r="I1" s="26" t="s">
        <v>176</v>
      </c>
      <c r="J1" s="26" t="s">
        <v>177</v>
      </c>
      <c r="K1" s="26" t="s">
        <v>178</v>
      </c>
      <c r="L1" s="26" t="s">
        <v>179</v>
      </c>
      <c r="M1" s="26" t="s">
        <v>180</v>
      </c>
      <c r="N1" s="26" t="s">
        <v>181</v>
      </c>
      <c r="O1" s="26" t="s">
        <v>182</v>
      </c>
      <c r="P1" s="26" t="s">
        <v>183</v>
      </c>
      <c r="Q1" s="26" t="s">
        <v>184</v>
      </c>
      <c r="R1" s="26" t="s">
        <v>185</v>
      </c>
      <c r="S1" s="26" t="s">
        <v>186</v>
      </c>
      <c r="T1" s="26" t="s">
        <v>187</v>
      </c>
      <c r="U1" s="26" t="s">
        <v>188</v>
      </c>
    </row>
    <row r="2" spans="1:22" x14ac:dyDescent="0.3">
      <c r="D2" s="10">
        <v>6136219</v>
      </c>
      <c r="E2" s="10">
        <v>3078636.6570368893</v>
      </c>
      <c r="F2" s="10">
        <v>6610037.3394107344</v>
      </c>
      <c r="G2" s="10">
        <v>5871877</v>
      </c>
      <c r="H2" s="10">
        <v>5871877</v>
      </c>
      <c r="I2" s="10">
        <v>5871877</v>
      </c>
      <c r="J2" s="10">
        <v>7175271.8672339991</v>
      </c>
      <c r="K2" s="10">
        <v>8438984.2030319981</v>
      </c>
      <c r="L2" s="10">
        <v>8438984.203032</v>
      </c>
      <c r="M2" s="10">
        <v>8438984.203032</v>
      </c>
      <c r="N2" s="10">
        <v>7093817.8985159993</v>
      </c>
      <c r="O2" s="10">
        <v>7093817.8985160002</v>
      </c>
      <c r="P2" s="10">
        <v>7093817.8985160002</v>
      </c>
      <c r="Q2" s="10">
        <v>7093817.8985160002</v>
      </c>
      <c r="R2" s="10">
        <v>7093817.8985160002</v>
      </c>
      <c r="S2" s="10">
        <v>7093817.8985160002</v>
      </c>
      <c r="T2" s="10">
        <v>7093817.8985160002</v>
      </c>
      <c r="U2" s="10">
        <v>7093817.8985160002</v>
      </c>
    </row>
    <row r="3" spans="1:22" x14ac:dyDescent="0.3"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2" x14ac:dyDescent="0.3">
      <c r="A4" s="36">
        <v>0.25</v>
      </c>
      <c r="D4" s="10">
        <f>D2*0.25</f>
        <v>1534054.75</v>
      </c>
      <c r="E4" s="10">
        <f t="shared" ref="E4:U4" si="0">E2*0.25</f>
        <v>769659.16425922234</v>
      </c>
      <c r="F4" s="10">
        <f>F2*0.25</f>
        <v>1652509.3348526836</v>
      </c>
      <c r="G4" s="10">
        <f t="shared" si="0"/>
        <v>1467969.25</v>
      </c>
      <c r="H4" s="10">
        <f t="shared" si="0"/>
        <v>1467969.25</v>
      </c>
      <c r="I4" s="10">
        <f t="shared" si="0"/>
        <v>1467969.25</v>
      </c>
      <c r="J4" s="10">
        <f t="shared" si="0"/>
        <v>1793817.9668084998</v>
      </c>
      <c r="K4" s="10">
        <f t="shared" si="0"/>
        <v>2109746.0507579995</v>
      </c>
      <c r="L4" s="10">
        <f t="shared" si="0"/>
        <v>2109746.050758</v>
      </c>
      <c r="M4" s="10">
        <f t="shared" si="0"/>
        <v>2109746.050758</v>
      </c>
      <c r="N4" s="10">
        <f t="shared" si="0"/>
        <v>1773454.4746289998</v>
      </c>
      <c r="O4" s="10">
        <f t="shared" si="0"/>
        <v>1773454.4746290001</v>
      </c>
      <c r="P4" s="10">
        <f t="shared" si="0"/>
        <v>1773454.4746290001</v>
      </c>
      <c r="Q4" s="10">
        <f t="shared" si="0"/>
        <v>1773454.4746290001</v>
      </c>
      <c r="R4" s="10">
        <f t="shared" si="0"/>
        <v>1773454.4746290001</v>
      </c>
      <c r="S4" s="10">
        <f t="shared" si="0"/>
        <v>1773454.4746290001</v>
      </c>
      <c r="T4" s="10">
        <f t="shared" si="0"/>
        <v>1773454.4746290001</v>
      </c>
      <c r="U4" s="10">
        <f t="shared" si="0"/>
        <v>1773454.4746290001</v>
      </c>
    </row>
    <row r="5" spans="1:22" x14ac:dyDescent="0.3">
      <c r="A5" s="4" t="s">
        <v>190</v>
      </c>
      <c r="B5" s="4" t="s">
        <v>191</v>
      </c>
      <c r="C5" s="4" t="s">
        <v>192</v>
      </c>
      <c r="D5" s="13" t="s">
        <v>171</v>
      </c>
      <c r="E5" s="13" t="s">
        <v>172</v>
      </c>
      <c r="F5" s="13" t="s">
        <v>173</v>
      </c>
      <c r="G5" s="13" t="s">
        <v>174</v>
      </c>
      <c r="H5" s="13" t="s">
        <v>175</v>
      </c>
      <c r="I5" s="13" t="s">
        <v>176</v>
      </c>
      <c r="J5" s="13" t="s">
        <v>177</v>
      </c>
      <c r="K5" s="13" t="s">
        <v>178</v>
      </c>
      <c r="L5" s="13" t="s">
        <v>179</v>
      </c>
      <c r="M5" s="13" t="s">
        <v>180</v>
      </c>
      <c r="N5" s="13" t="s">
        <v>181</v>
      </c>
      <c r="O5" s="13" t="s">
        <v>182</v>
      </c>
      <c r="P5" s="13" t="s">
        <v>183</v>
      </c>
      <c r="Q5" s="13" t="s">
        <v>184</v>
      </c>
      <c r="R5" s="13" t="s">
        <v>185</v>
      </c>
      <c r="S5" s="13" t="s">
        <v>186</v>
      </c>
      <c r="T5" s="13" t="s">
        <v>187</v>
      </c>
      <c r="U5" s="13" t="s">
        <v>188</v>
      </c>
      <c r="V5" s="13" t="s">
        <v>193</v>
      </c>
    </row>
    <row r="6" spans="1:22" x14ac:dyDescent="0.3">
      <c r="A6" s="4" t="s">
        <v>53</v>
      </c>
      <c r="B6" s="4">
        <v>51</v>
      </c>
      <c r="C6" s="4">
        <v>0.7</v>
      </c>
      <c r="D6" s="10">
        <f t="shared" ref="D6:U6" si="1">$C$6*D4</f>
        <v>1073838.325</v>
      </c>
      <c r="E6" s="10">
        <f t="shared" si="1"/>
        <v>538761.41498145566</v>
      </c>
      <c r="F6" s="10">
        <f t="shared" si="1"/>
        <v>1156756.5343968784</v>
      </c>
      <c r="G6" s="10">
        <f t="shared" si="1"/>
        <v>1027578.475</v>
      </c>
      <c r="H6" s="10">
        <f t="shared" si="1"/>
        <v>1027578.475</v>
      </c>
      <c r="I6" s="10">
        <f t="shared" si="1"/>
        <v>1027578.475</v>
      </c>
      <c r="J6" s="10">
        <f t="shared" si="1"/>
        <v>1255672.5767659498</v>
      </c>
      <c r="K6" s="10">
        <f t="shared" si="1"/>
        <v>1476822.2355305995</v>
      </c>
      <c r="L6" s="10">
        <f t="shared" si="1"/>
        <v>1476822.2355306</v>
      </c>
      <c r="M6" s="10">
        <f t="shared" si="1"/>
        <v>1476822.2355306</v>
      </c>
      <c r="N6" s="10">
        <f t="shared" si="1"/>
        <v>1241418.1322402998</v>
      </c>
      <c r="O6" s="10">
        <f t="shared" si="1"/>
        <v>1241418.1322403001</v>
      </c>
      <c r="P6" s="10">
        <f t="shared" si="1"/>
        <v>1241418.1322403001</v>
      </c>
      <c r="Q6" s="10">
        <f t="shared" si="1"/>
        <v>1241418.1322403001</v>
      </c>
      <c r="R6" s="10">
        <f t="shared" si="1"/>
        <v>1241418.1322403001</v>
      </c>
      <c r="S6" s="10">
        <f t="shared" si="1"/>
        <v>1241418.1322403001</v>
      </c>
      <c r="T6" s="10">
        <f t="shared" si="1"/>
        <v>1241418.1322403001</v>
      </c>
      <c r="U6" s="10">
        <f t="shared" si="1"/>
        <v>1241418.1322403001</v>
      </c>
      <c r="V6" s="10">
        <f>SUM(Table5[[#This Row],[Payment 1 - 9/1/22]:[Payment 18 -2038]])</f>
        <v>21469576.040658478</v>
      </c>
    </row>
    <row r="7" spans="1:22" x14ac:dyDescent="0.3">
      <c r="A7" s="4" t="s">
        <v>25</v>
      </c>
      <c r="B7" s="4">
        <v>23</v>
      </c>
      <c r="C7" s="4">
        <v>0.25</v>
      </c>
      <c r="D7" s="10">
        <f t="shared" ref="D7:U7" si="2">$C$7*D4</f>
        <v>383513.6875</v>
      </c>
      <c r="E7" s="10">
        <f t="shared" si="2"/>
        <v>192414.79106480558</v>
      </c>
      <c r="F7" s="10">
        <f t="shared" si="2"/>
        <v>413127.3337131709</v>
      </c>
      <c r="G7" s="10">
        <f t="shared" si="2"/>
        <v>366992.3125</v>
      </c>
      <c r="H7" s="10">
        <f t="shared" si="2"/>
        <v>366992.3125</v>
      </c>
      <c r="I7" s="10">
        <f t="shared" si="2"/>
        <v>366992.3125</v>
      </c>
      <c r="J7" s="10">
        <f t="shared" si="2"/>
        <v>448454.49170212494</v>
      </c>
      <c r="K7" s="10">
        <f t="shared" si="2"/>
        <v>527436.51268949988</v>
      </c>
      <c r="L7" s="10">
        <f t="shared" si="2"/>
        <v>527436.5126895</v>
      </c>
      <c r="M7" s="10">
        <f t="shared" si="2"/>
        <v>527436.5126895</v>
      </c>
      <c r="N7" s="10">
        <f t="shared" si="2"/>
        <v>443363.61865724996</v>
      </c>
      <c r="O7" s="10">
        <f t="shared" si="2"/>
        <v>443363.61865725002</v>
      </c>
      <c r="P7" s="10">
        <f t="shared" si="2"/>
        <v>443363.61865725002</v>
      </c>
      <c r="Q7" s="10">
        <f t="shared" si="2"/>
        <v>443363.61865725002</v>
      </c>
      <c r="R7" s="10">
        <f t="shared" si="2"/>
        <v>443363.61865725002</v>
      </c>
      <c r="S7" s="10">
        <f t="shared" si="2"/>
        <v>443363.61865725002</v>
      </c>
      <c r="T7" s="10">
        <f t="shared" si="2"/>
        <v>443363.61865725002</v>
      </c>
      <c r="U7" s="10">
        <f t="shared" si="2"/>
        <v>443363.61865725002</v>
      </c>
      <c r="V7" s="10">
        <f>SUM(Table5[[#This Row],[Payment 1 - 9/1/22]:[Payment 18 -2038]])</f>
        <v>7667705.7288066009</v>
      </c>
    </row>
    <row r="8" spans="1:22" x14ac:dyDescent="0.3">
      <c r="A8" s="4" t="s">
        <v>15</v>
      </c>
      <c r="B8" s="4">
        <v>13</v>
      </c>
      <c r="C8" s="4">
        <v>0.05</v>
      </c>
      <c r="D8" s="10">
        <f t="shared" ref="D8:U8" si="3">$C$8*D4</f>
        <v>76702.737500000003</v>
      </c>
      <c r="E8" s="10">
        <f t="shared" si="3"/>
        <v>38482.958212961115</v>
      </c>
      <c r="F8" s="10">
        <f t="shared" si="3"/>
        <v>82625.466742634191</v>
      </c>
      <c r="G8" s="10">
        <f t="shared" si="3"/>
        <v>73398.462500000009</v>
      </c>
      <c r="H8" s="10">
        <f t="shared" si="3"/>
        <v>73398.462500000009</v>
      </c>
      <c r="I8" s="10">
        <f t="shared" si="3"/>
        <v>73398.462500000009</v>
      </c>
      <c r="J8" s="10">
        <f t="shared" si="3"/>
        <v>89690.898340424988</v>
      </c>
      <c r="K8" s="10">
        <f t="shared" si="3"/>
        <v>105487.30253789999</v>
      </c>
      <c r="L8" s="10">
        <f t="shared" si="3"/>
        <v>105487.3025379</v>
      </c>
      <c r="M8" s="10">
        <f t="shared" si="3"/>
        <v>105487.3025379</v>
      </c>
      <c r="N8" s="10">
        <f t="shared" si="3"/>
        <v>88672.723731449994</v>
      </c>
      <c r="O8" s="10">
        <f t="shared" si="3"/>
        <v>88672.723731450009</v>
      </c>
      <c r="P8" s="10">
        <f t="shared" si="3"/>
        <v>88672.723731450009</v>
      </c>
      <c r="Q8" s="10">
        <f t="shared" si="3"/>
        <v>88672.723731450009</v>
      </c>
      <c r="R8" s="10">
        <f t="shared" si="3"/>
        <v>88672.723731450009</v>
      </c>
      <c r="S8" s="10">
        <f t="shared" si="3"/>
        <v>88672.723731450009</v>
      </c>
      <c r="T8" s="10">
        <f t="shared" si="3"/>
        <v>88672.723731450009</v>
      </c>
      <c r="U8" s="10">
        <f t="shared" si="3"/>
        <v>88672.723731450009</v>
      </c>
      <c r="V8" s="10">
        <f>SUM(Table5[[#This Row],[Payment 1 - 9/1/22]:[Payment 18 -2038]])</f>
        <v>1533541.1457613206</v>
      </c>
    </row>
    <row r="9" spans="1:22" x14ac:dyDescent="0.3">
      <c r="A9" s="36">
        <v>0.75</v>
      </c>
      <c r="D9" s="10">
        <f t="shared" ref="D9:U9" si="4">D2*0.75</f>
        <v>4602164.25</v>
      </c>
      <c r="E9" s="10">
        <f t="shared" si="4"/>
        <v>2308977.492777667</v>
      </c>
      <c r="F9" s="10">
        <f t="shared" si="4"/>
        <v>4957528.004558051</v>
      </c>
      <c r="G9" s="10">
        <f t="shared" si="4"/>
        <v>4403907.75</v>
      </c>
      <c r="H9" s="10">
        <f t="shared" si="4"/>
        <v>4403907.75</v>
      </c>
      <c r="I9" s="10">
        <f t="shared" si="4"/>
        <v>4403907.75</v>
      </c>
      <c r="J9" s="10">
        <f t="shared" si="4"/>
        <v>5381453.9004254993</v>
      </c>
      <c r="K9" s="10">
        <f t="shared" si="4"/>
        <v>6329238.1522739986</v>
      </c>
      <c r="L9" s="10">
        <f t="shared" si="4"/>
        <v>6329238.1522739995</v>
      </c>
      <c r="M9" s="10">
        <f t="shared" si="4"/>
        <v>6329238.1522739995</v>
      </c>
      <c r="N9" s="10">
        <f t="shared" si="4"/>
        <v>5320363.4238869995</v>
      </c>
      <c r="O9" s="10">
        <f t="shared" si="4"/>
        <v>5320363.4238870004</v>
      </c>
      <c r="P9" s="10">
        <f t="shared" si="4"/>
        <v>5320363.4238870004</v>
      </c>
      <c r="Q9" s="10">
        <f t="shared" si="4"/>
        <v>5320363.4238870004</v>
      </c>
      <c r="R9" s="10">
        <f t="shared" si="4"/>
        <v>5320363.4238870004</v>
      </c>
      <c r="S9" s="10">
        <f t="shared" si="4"/>
        <v>5320363.4238870004</v>
      </c>
      <c r="T9" s="10">
        <f t="shared" si="4"/>
        <v>5320363.4238870004</v>
      </c>
      <c r="U9" s="10">
        <f t="shared" si="4"/>
        <v>5320363.4238870004</v>
      </c>
    </row>
    <row r="10" spans="1:22" x14ac:dyDescent="0.3">
      <c r="A10" s="3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2" x14ac:dyDescent="0.3">
      <c r="A11" s="4" t="s">
        <v>190</v>
      </c>
      <c r="B11" s="4" t="s">
        <v>139</v>
      </c>
      <c r="C11" s="4" t="s">
        <v>192</v>
      </c>
      <c r="D11" s="13" t="s">
        <v>171</v>
      </c>
      <c r="E11" s="13" t="s">
        <v>172</v>
      </c>
      <c r="F11" s="13" t="s">
        <v>173</v>
      </c>
      <c r="G11" s="13" t="s">
        <v>174</v>
      </c>
      <c r="H11" s="13" t="s">
        <v>175</v>
      </c>
      <c r="I11" s="13" t="s">
        <v>176</v>
      </c>
      <c r="J11" s="13" t="s">
        <v>177</v>
      </c>
      <c r="K11" s="13" t="s">
        <v>178</v>
      </c>
      <c r="L11" s="13" t="s">
        <v>179</v>
      </c>
      <c r="M11" s="13" t="s">
        <v>180</v>
      </c>
      <c r="N11" s="13" t="s">
        <v>181</v>
      </c>
      <c r="O11" s="13" t="s">
        <v>182</v>
      </c>
      <c r="P11" s="13" t="s">
        <v>183</v>
      </c>
      <c r="Q11" s="13" t="s">
        <v>184</v>
      </c>
      <c r="R11" s="13" t="s">
        <v>185</v>
      </c>
      <c r="S11" s="13" t="s">
        <v>186</v>
      </c>
      <c r="T11" s="13" t="s">
        <v>187</v>
      </c>
      <c r="U11" s="13" t="s">
        <v>188</v>
      </c>
      <c r="V11" s="13" t="s">
        <v>156</v>
      </c>
    </row>
    <row r="12" spans="1:22" x14ac:dyDescent="0.3">
      <c r="A12" s="4" t="s">
        <v>194</v>
      </c>
      <c r="B12" s="4">
        <v>1</v>
      </c>
      <c r="C12" s="4">
        <v>8.8888888888888906E-3</v>
      </c>
      <c r="D12" s="10">
        <f t="shared" ref="D12:D75" si="5">C12*$D$9</f>
        <v>40908.126666666678</v>
      </c>
      <c r="E12" s="10">
        <f t="shared" ref="E12:E75" si="6">C12*$E$9</f>
        <v>20524.244380245935</v>
      </c>
      <c r="F12" s="10">
        <f t="shared" ref="F12:F75" si="7">C12*$F$9</f>
        <v>44066.915596071573</v>
      </c>
      <c r="G12" s="10">
        <f t="shared" ref="G12:G75" si="8">C12*$G$9</f>
        <v>39145.846666666672</v>
      </c>
      <c r="H12" s="10">
        <f t="shared" ref="H12:H75" si="9">C12*$H$9</f>
        <v>39145.846666666672</v>
      </c>
      <c r="I12" s="10">
        <f t="shared" ref="I12:I75" si="10">C12*$I$9</f>
        <v>39145.846666666672</v>
      </c>
      <c r="J12" s="10">
        <f t="shared" ref="J12:J75" si="11">C12*$J$9</f>
        <v>47835.145781560001</v>
      </c>
      <c r="K12" s="10">
        <f t="shared" ref="K12:K75" si="12">C12*$K$9</f>
        <v>56259.894686879998</v>
      </c>
      <c r="L12" s="10">
        <f t="shared" ref="L12:L75" si="13">C12*$L$9</f>
        <v>56259.894686880005</v>
      </c>
      <c r="M12" s="10">
        <f t="shared" ref="M12:M75" si="14">C12*$M$9</f>
        <v>56259.894686880005</v>
      </c>
      <c r="N12" s="10">
        <f t="shared" ref="N12:N75" si="15">C12*$N$9</f>
        <v>47292.119323440005</v>
      </c>
      <c r="O12" s="10">
        <f t="shared" ref="O12:O75" si="16">C12*$O$9</f>
        <v>47292.119323440013</v>
      </c>
      <c r="P12" s="10">
        <f t="shared" ref="P12:P75" si="17">C12*$P$9</f>
        <v>47292.119323440013</v>
      </c>
      <c r="Q12" s="10">
        <f t="shared" ref="Q12:Q75" si="18">C12*$Q$9</f>
        <v>47292.119323440013</v>
      </c>
      <c r="R12" s="10">
        <f t="shared" ref="R12:R75" si="19">C12*$R$9</f>
        <v>47292.119323440013</v>
      </c>
      <c r="S12" s="10">
        <f t="shared" ref="S12:S75" si="20">C12*$S$9</f>
        <v>47292.119323440013</v>
      </c>
      <c r="T12" s="10">
        <f t="shared" ref="T12:T75" si="21">C12*$T$9</f>
        <v>47292.119323440013</v>
      </c>
      <c r="U12" s="10">
        <f t="shared" ref="U12:U75" si="22">C12*$U$9</f>
        <v>47292.119323440013</v>
      </c>
      <c r="V12" s="10">
        <f>SUM(Table27[[#This Row],[Payment 1 - 9/1/22]:[Payment 18 -2038]])</f>
        <v>817888.61107270431</v>
      </c>
    </row>
    <row r="13" spans="1:22" x14ac:dyDescent="0.3">
      <c r="A13" s="4" t="s">
        <v>195</v>
      </c>
      <c r="B13" s="4">
        <v>2</v>
      </c>
      <c r="C13" s="4">
        <v>9.0441679275778855E-2</v>
      </c>
      <c r="D13" s="10">
        <f t="shared" si="5"/>
        <v>416227.46307295532</v>
      </c>
      <c r="E13" s="10">
        <f t="shared" si="6"/>
        <v>208827.80185678974</v>
      </c>
      <c r="F13" s="10">
        <f t="shared" si="7"/>
        <v>448367.15778893116</v>
      </c>
      <c r="G13" s="10">
        <f t="shared" si="8"/>
        <v>398296.81228561688</v>
      </c>
      <c r="H13" s="10">
        <f t="shared" si="9"/>
        <v>398296.81228561688</v>
      </c>
      <c r="I13" s="10">
        <f t="shared" si="10"/>
        <v>398296.81228561688</v>
      </c>
      <c r="J13" s="10">
        <f t="shared" si="11"/>
        <v>486707.72769967216</v>
      </c>
      <c r="K13" s="10">
        <f t="shared" si="12"/>
        <v>572426.92702798813</v>
      </c>
      <c r="L13" s="10">
        <f t="shared" si="13"/>
        <v>572426.92702798825</v>
      </c>
      <c r="M13" s="10">
        <f t="shared" si="14"/>
        <v>572426.92702798825</v>
      </c>
      <c r="N13" s="10">
        <f t="shared" si="15"/>
        <v>481182.60241377266</v>
      </c>
      <c r="O13" s="10">
        <f t="shared" si="16"/>
        <v>481182.60241377278</v>
      </c>
      <c r="P13" s="10">
        <f t="shared" si="17"/>
        <v>481182.60241377278</v>
      </c>
      <c r="Q13" s="10">
        <f t="shared" si="18"/>
        <v>481182.60241377278</v>
      </c>
      <c r="R13" s="10">
        <f t="shared" si="19"/>
        <v>481182.60241377278</v>
      </c>
      <c r="S13" s="10">
        <f t="shared" si="20"/>
        <v>481182.60241377278</v>
      </c>
      <c r="T13" s="10">
        <f t="shared" si="21"/>
        <v>481182.60241377278</v>
      </c>
      <c r="U13" s="10">
        <f t="shared" si="22"/>
        <v>481182.60241377278</v>
      </c>
      <c r="V13" s="10">
        <f>SUM(Table27[[#This Row],[Payment 1 - 9/1/22]:[Payment 18 -2038]])</f>
        <v>8321762.1876693452</v>
      </c>
    </row>
    <row r="14" spans="1:22" x14ac:dyDescent="0.3">
      <c r="A14" s="4" t="s">
        <v>196</v>
      </c>
      <c r="B14" s="4">
        <v>3</v>
      </c>
      <c r="C14" s="4">
        <v>4.7411481810502899E-3</v>
      </c>
      <c r="D14" s="10">
        <f t="shared" si="5"/>
        <v>21819.542662782173</v>
      </c>
      <c r="E14" s="10">
        <f t="shared" si="6"/>
        <v>10947.204439968895</v>
      </c>
      <c r="F14" s="10">
        <f t="shared" si="7"/>
        <v>23504.374881316278</v>
      </c>
      <c r="G14" s="10">
        <f t="shared" si="8"/>
        <v>20879.579218425773</v>
      </c>
      <c r="H14" s="10">
        <f t="shared" si="9"/>
        <v>20879.579218425773</v>
      </c>
      <c r="I14" s="10">
        <f t="shared" si="10"/>
        <v>20879.579218425773</v>
      </c>
      <c r="J14" s="10">
        <f t="shared" si="11"/>
        <v>25514.270371408344</v>
      </c>
      <c r="K14" s="10">
        <f t="shared" si="12"/>
        <v>30007.855953087965</v>
      </c>
      <c r="L14" s="10">
        <f t="shared" si="13"/>
        <v>30007.855953087972</v>
      </c>
      <c r="M14" s="10">
        <f t="shared" si="14"/>
        <v>30007.855953087972</v>
      </c>
      <c r="N14" s="10">
        <f t="shared" si="15"/>
        <v>25224.631369688341</v>
      </c>
      <c r="O14" s="10">
        <f t="shared" si="16"/>
        <v>25224.631369688344</v>
      </c>
      <c r="P14" s="10">
        <f t="shared" si="17"/>
        <v>25224.631369688344</v>
      </c>
      <c r="Q14" s="10">
        <f t="shared" si="18"/>
        <v>25224.631369688344</v>
      </c>
      <c r="R14" s="10">
        <f t="shared" si="19"/>
        <v>25224.631369688344</v>
      </c>
      <c r="S14" s="10">
        <f t="shared" si="20"/>
        <v>25224.631369688344</v>
      </c>
      <c r="T14" s="10">
        <f t="shared" si="21"/>
        <v>25224.631369688344</v>
      </c>
      <c r="U14" s="10">
        <f t="shared" si="22"/>
        <v>25224.631369688344</v>
      </c>
      <c r="V14" s="10">
        <f>SUM(Table27[[#This Row],[Payment 1 - 9/1/22]:[Payment 18 -2038]])</f>
        <v>436244.74882752355</v>
      </c>
    </row>
    <row r="15" spans="1:22" x14ac:dyDescent="0.3">
      <c r="A15" s="4" t="s">
        <v>197</v>
      </c>
      <c r="B15" s="4">
        <v>4</v>
      </c>
      <c r="C15" s="4">
        <v>1.2165292432279427E-2</v>
      </c>
      <c r="D15" s="10">
        <f t="shared" si="5"/>
        <v>55986.673922631926</v>
      </c>
      <c r="E15" s="10">
        <f t="shared" si="6"/>
        <v>28089.386419191676</v>
      </c>
      <c r="F15" s="10">
        <f t="shared" si="7"/>
        <v>60309.777916663385</v>
      </c>
      <c r="G15" s="10">
        <f t="shared" si="8"/>
        <v>53574.825623531717</v>
      </c>
      <c r="H15" s="10">
        <f t="shared" si="9"/>
        <v>53574.825623531717</v>
      </c>
      <c r="I15" s="10">
        <f t="shared" si="10"/>
        <v>53574.825623531717</v>
      </c>
      <c r="J15" s="10">
        <f t="shared" si="11"/>
        <v>65466.96040950693</v>
      </c>
      <c r="K15" s="10">
        <f t="shared" si="12"/>
        <v>76997.032995953094</v>
      </c>
      <c r="L15" s="10">
        <f t="shared" si="13"/>
        <v>76997.032995953108</v>
      </c>
      <c r="M15" s="10">
        <f t="shared" si="14"/>
        <v>76997.032995953108</v>
      </c>
      <c r="N15" s="10">
        <f t="shared" si="15"/>
        <v>64723.776897588774</v>
      </c>
      <c r="O15" s="10">
        <f t="shared" si="16"/>
        <v>64723.776897588788</v>
      </c>
      <c r="P15" s="10">
        <f t="shared" si="17"/>
        <v>64723.776897588788</v>
      </c>
      <c r="Q15" s="10">
        <f t="shared" si="18"/>
        <v>64723.776897588788</v>
      </c>
      <c r="R15" s="10">
        <f t="shared" si="19"/>
        <v>64723.776897588788</v>
      </c>
      <c r="S15" s="10">
        <f t="shared" si="20"/>
        <v>64723.776897588788</v>
      </c>
      <c r="T15" s="10">
        <f t="shared" si="21"/>
        <v>64723.776897588788</v>
      </c>
      <c r="U15" s="10">
        <f t="shared" si="22"/>
        <v>64723.776897588788</v>
      </c>
      <c r="V15" s="10">
        <f>SUM(Table27[[#This Row],[Payment 1 - 9/1/22]:[Payment 18 -2038]])</f>
        <v>1119358.5897071585</v>
      </c>
    </row>
    <row r="16" spans="1:22" x14ac:dyDescent="0.3">
      <c r="A16" s="4" t="s">
        <v>198</v>
      </c>
      <c r="B16" s="4">
        <v>5</v>
      </c>
      <c r="C16" s="4">
        <v>3.440764010644463E-3</v>
      </c>
      <c r="D16" s="10">
        <f t="shared" si="5"/>
        <v>15834.961122474568</v>
      </c>
      <c r="E16" s="10">
        <f t="shared" si="6"/>
        <v>7944.6466585374819</v>
      </c>
      <c r="F16" s="10">
        <f t="shared" si="7"/>
        <v>17057.683939845399</v>
      </c>
      <c r="G16" s="10">
        <f t="shared" si="8"/>
        <v>15152.807292398233</v>
      </c>
      <c r="H16" s="10">
        <f t="shared" si="9"/>
        <v>15152.807292398233</v>
      </c>
      <c r="I16" s="10">
        <f t="shared" si="10"/>
        <v>15152.807292398233</v>
      </c>
      <c r="J16" s="10">
        <f t="shared" si="11"/>
        <v>18516.312905526331</v>
      </c>
      <c r="K16" s="10">
        <f t="shared" si="12"/>
        <v>21777.414849142235</v>
      </c>
      <c r="L16" s="10">
        <f t="shared" si="13"/>
        <v>21777.414849142238</v>
      </c>
      <c r="M16" s="10">
        <f t="shared" si="14"/>
        <v>21777.414849142238</v>
      </c>
      <c r="N16" s="10">
        <f t="shared" si="15"/>
        <v>18306.114992459541</v>
      </c>
      <c r="O16" s="10">
        <f t="shared" si="16"/>
        <v>18306.114992459541</v>
      </c>
      <c r="P16" s="10">
        <f t="shared" si="17"/>
        <v>18306.114992459541</v>
      </c>
      <c r="Q16" s="10">
        <f t="shared" si="18"/>
        <v>18306.114992459541</v>
      </c>
      <c r="R16" s="10">
        <f t="shared" si="19"/>
        <v>18306.114992459541</v>
      </c>
      <c r="S16" s="10">
        <f t="shared" si="20"/>
        <v>18306.114992459541</v>
      </c>
      <c r="T16" s="10">
        <f t="shared" si="21"/>
        <v>18306.114992459541</v>
      </c>
      <c r="U16" s="10">
        <f t="shared" si="22"/>
        <v>18306.114992459541</v>
      </c>
      <c r="V16" s="10">
        <f>SUM(Table27[[#This Row],[Payment 1 - 9/1/22]:[Payment 18 -2038]])</f>
        <v>316593.19099068153</v>
      </c>
    </row>
    <row r="17" spans="1:22" x14ac:dyDescent="0.3">
      <c r="A17" s="4" t="s">
        <v>199</v>
      </c>
      <c r="B17" s="4">
        <v>8</v>
      </c>
      <c r="C17" s="4">
        <v>4.4444444444444453E-3</v>
      </c>
      <c r="D17" s="10">
        <f t="shared" si="5"/>
        <v>20454.063333333339</v>
      </c>
      <c r="E17" s="10">
        <f t="shared" si="6"/>
        <v>10262.122190122967</v>
      </c>
      <c r="F17" s="10">
        <f t="shared" si="7"/>
        <v>22033.457798035786</v>
      </c>
      <c r="G17" s="10">
        <f t="shared" si="8"/>
        <v>19572.923333333336</v>
      </c>
      <c r="H17" s="10">
        <f t="shared" si="9"/>
        <v>19572.923333333336</v>
      </c>
      <c r="I17" s="10">
        <f t="shared" si="10"/>
        <v>19572.923333333336</v>
      </c>
      <c r="J17" s="10">
        <f t="shared" si="11"/>
        <v>23917.57289078</v>
      </c>
      <c r="K17" s="10">
        <f t="shared" si="12"/>
        <v>28129.947343439999</v>
      </c>
      <c r="L17" s="10">
        <f t="shared" si="13"/>
        <v>28129.947343440002</v>
      </c>
      <c r="M17" s="10">
        <f t="shared" si="14"/>
        <v>28129.947343440002</v>
      </c>
      <c r="N17" s="10">
        <f t="shared" si="15"/>
        <v>23646.059661720003</v>
      </c>
      <c r="O17" s="10">
        <f t="shared" si="16"/>
        <v>23646.059661720006</v>
      </c>
      <c r="P17" s="10">
        <f t="shared" si="17"/>
        <v>23646.059661720006</v>
      </c>
      <c r="Q17" s="10">
        <f t="shared" si="18"/>
        <v>23646.059661720006</v>
      </c>
      <c r="R17" s="10">
        <f t="shared" si="19"/>
        <v>23646.059661720006</v>
      </c>
      <c r="S17" s="10">
        <f t="shared" si="20"/>
        <v>23646.059661720006</v>
      </c>
      <c r="T17" s="10">
        <f t="shared" si="21"/>
        <v>23646.059661720006</v>
      </c>
      <c r="U17" s="10">
        <f t="shared" si="22"/>
        <v>23646.059661720006</v>
      </c>
      <c r="V17" s="10">
        <f>SUM(Table27[[#This Row],[Payment 1 - 9/1/22]:[Payment 18 -2038]])</f>
        <v>408944.30553635216</v>
      </c>
    </row>
    <row r="18" spans="1:22" x14ac:dyDescent="0.3">
      <c r="A18" s="4" t="s">
        <v>200</v>
      </c>
      <c r="B18" s="4">
        <v>9</v>
      </c>
      <c r="C18" s="4">
        <v>4.6757565250311064E-2</v>
      </c>
      <c r="D18" s="10">
        <f t="shared" si="5"/>
        <v>215185.99521202387</v>
      </c>
      <c r="E18" s="10">
        <f t="shared" si="6"/>
        <v>107962.16578005141</v>
      </c>
      <c r="F18" s="10">
        <f t="shared" si="7"/>
        <v>231801.93915336748</v>
      </c>
      <c r="G18" s="10">
        <f t="shared" si="8"/>
        <v>205916.0039769756</v>
      </c>
      <c r="H18" s="10">
        <f t="shared" si="9"/>
        <v>205916.0039769756</v>
      </c>
      <c r="I18" s="10">
        <f t="shared" si="10"/>
        <v>205916.0039769756</v>
      </c>
      <c r="J18" s="10">
        <f t="shared" si="11"/>
        <v>251623.68189068628</v>
      </c>
      <c r="K18" s="10">
        <f t="shared" si="12"/>
        <v>295939.7658897097</v>
      </c>
      <c r="L18" s="10">
        <f t="shared" si="13"/>
        <v>295939.76588970976</v>
      </c>
      <c r="M18" s="10">
        <f t="shared" si="14"/>
        <v>295939.76588970976</v>
      </c>
      <c r="N18" s="10">
        <f t="shared" si="15"/>
        <v>248767.23994776476</v>
      </c>
      <c r="O18" s="10">
        <f t="shared" si="16"/>
        <v>248767.23994776481</v>
      </c>
      <c r="P18" s="10">
        <f t="shared" si="17"/>
        <v>248767.23994776481</v>
      </c>
      <c r="Q18" s="10">
        <f t="shared" si="18"/>
        <v>248767.23994776481</v>
      </c>
      <c r="R18" s="10">
        <f t="shared" si="19"/>
        <v>248767.23994776481</v>
      </c>
      <c r="S18" s="10">
        <f t="shared" si="20"/>
        <v>248767.23994776481</v>
      </c>
      <c r="T18" s="10">
        <f t="shared" si="21"/>
        <v>248767.23994776481</v>
      </c>
      <c r="U18" s="10">
        <f t="shared" si="22"/>
        <v>248767.23994776481</v>
      </c>
      <c r="V18" s="10">
        <f>SUM(Table27[[#This Row],[Payment 1 - 9/1/22]:[Payment 18 -2038]])</f>
        <v>4302279.0112183029</v>
      </c>
    </row>
    <row r="19" spans="1:22" x14ac:dyDescent="0.3">
      <c r="A19" s="4" t="s">
        <v>201</v>
      </c>
      <c r="B19" s="4">
        <v>11</v>
      </c>
      <c r="C19" s="4">
        <v>9.6526820528561649E-3</v>
      </c>
      <c r="D19" s="10">
        <f t="shared" si="5"/>
        <v>44423.228260271251</v>
      </c>
      <c r="E19" s="10">
        <f t="shared" si="6"/>
        <v>22287.825604983813</v>
      </c>
      <c r="F19" s="10">
        <f t="shared" si="7"/>
        <v>47853.441596129334</v>
      </c>
      <c r="G19" s="10">
        <f t="shared" si="8"/>
        <v>42509.521300859175</v>
      </c>
      <c r="H19" s="10">
        <f t="shared" si="9"/>
        <v>42509.521300859175</v>
      </c>
      <c r="I19" s="10">
        <f t="shared" si="10"/>
        <v>42509.521300859175</v>
      </c>
      <c r="J19" s="10">
        <f t="shared" si="11"/>
        <v>51945.463482910025</v>
      </c>
      <c r="K19" s="10">
        <f t="shared" si="12"/>
        <v>61094.123520707741</v>
      </c>
      <c r="L19" s="10">
        <f t="shared" si="13"/>
        <v>61094.123520707748</v>
      </c>
      <c r="M19" s="10">
        <f t="shared" si="14"/>
        <v>61094.123520707748</v>
      </c>
      <c r="N19" s="10">
        <f t="shared" si="15"/>
        <v>51355.77653642642</v>
      </c>
      <c r="O19" s="10">
        <f t="shared" si="16"/>
        <v>51355.776536426427</v>
      </c>
      <c r="P19" s="10">
        <f t="shared" si="17"/>
        <v>51355.776536426427</v>
      </c>
      <c r="Q19" s="10">
        <f t="shared" si="18"/>
        <v>51355.776536426427</v>
      </c>
      <c r="R19" s="10">
        <f t="shared" si="19"/>
        <v>51355.776536426427</v>
      </c>
      <c r="S19" s="10">
        <f t="shared" si="20"/>
        <v>51355.776536426427</v>
      </c>
      <c r="T19" s="10">
        <f t="shared" si="21"/>
        <v>51355.776536426427</v>
      </c>
      <c r="U19" s="10">
        <f t="shared" si="22"/>
        <v>51355.776536426427</v>
      </c>
      <c r="V19" s="10">
        <f>SUM(Table27[[#This Row],[Payment 1 - 9/1/22]:[Payment 18 -2038]])</f>
        <v>888167.10570040636</v>
      </c>
    </row>
    <row r="20" spans="1:22" x14ac:dyDescent="0.3">
      <c r="A20" s="4" t="s">
        <v>202</v>
      </c>
      <c r="B20" s="4">
        <v>13</v>
      </c>
      <c r="C20" s="4">
        <v>4.6826413797679198E-3</v>
      </c>
      <c r="D20" s="10">
        <f t="shared" si="5"/>
        <v>21550.284753538595</v>
      </c>
      <c r="E20" s="10">
        <f t="shared" si="6"/>
        <v>10812.113552633487</v>
      </c>
      <c r="F20" s="10">
        <f t="shared" si="7"/>
        <v>23214.325775501813</v>
      </c>
      <c r="G20" s="10">
        <f t="shared" si="8"/>
        <v>20621.920662830635</v>
      </c>
      <c r="H20" s="10">
        <f t="shared" si="9"/>
        <v>20621.920662830635</v>
      </c>
      <c r="I20" s="10">
        <f t="shared" si="10"/>
        <v>20621.920662830635</v>
      </c>
      <c r="J20" s="10">
        <f t="shared" si="11"/>
        <v>25199.418717445915</v>
      </c>
      <c r="K20" s="10">
        <f t="shared" si="12"/>
        <v>29637.552474244076</v>
      </c>
      <c r="L20" s="10">
        <f t="shared" si="13"/>
        <v>29637.552474244079</v>
      </c>
      <c r="M20" s="10">
        <f t="shared" si="14"/>
        <v>29637.552474244079</v>
      </c>
      <c r="N20" s="10">
        <f t="shared" si="15"/>
        <v>24913.353924096995</v>
      </c>
      <c r="O20" s="10">
        <f t="shared" si="16"/>
        <v>24913.353924096999</v>
      </c>
      <c r="P20" s="10">
        <f t="shared" si="17"/>
        <v>24913.353924096999</v>
      </c>
      <c r="Q20" s="10">
        <f t="shared" si="18"/>
        <v>24913.353924096999</v>
      </c>
      <c r="R20" s="10">
        <f t="shared" si="19"/>
        <v>24913.353924096999</v>
      </c>
      <c r="S20" s="10">
        <f t="shared" si="20"/>
        <v>24913.353924096999</v>
      </c>
      <c r="T20" s="10">
        <f t="shared" si="21"/>
        <v>24913.353924096999</v>
      </c>
      <c r="U20" s="10">
        <f t="shared" si="22"/>
        <v>24913.353924096999</v>
      </c>
      <c r="V20" s="10">
        <f>SUM(Table27[[#This Row],[Payment 1 - 9/1/22]:[Payment 18 -2038]])</f>
        <v>430861.39360312012</v>
      </c>
    </row>
    <row r="21" spans="1:22" x14ac:dyDescent="0.3">
      <c r="A21" s="4" t="s">
        <v>203</v>
      </c>
      <c r="B21" s="4">
        <v>15</v>
      </c>
      <c r="C21" s="4">
        <v>3.8648696160340903E-2</v>
      </c>
      <c r="D21" s="10">
        <f t="shared" si="5"/>
        <v>177867.64777823316</v>
      </c>
      <c r="E21" s="10">
        <f t="shared" si="6"/>
        <v>89238.969559429781</v>
      </c>
      <c r="F21" s="10">
        <f t="shared" si="7"/>
        <v>191601.99355454525</v>
      </c>
      <c r="G21" s="10">
        <f t="shared" si="8"/>
        <v>170205.29254792054</v>
      </c>
      <c r="H21" s="10">
        <f t="shared" si="9"/>
        <v>170205.29254792054</v>
      </c>
      <c r="I21" s="10">
        <f t="shared" si="10"/>
        <v>170205.29254792054</v>
      </c>
      <c r="J21" s="10">
        <f t="shared" si="11"/>
        <v>207986.17669842657</v>
      </c>
      <c r="K21" s="10">
        <f t="shared" si="12"/>
        <v>244616.80227367525</v>
      </c>
      <c r="L21" s="10">
        <f t="shared" si="13"/>
        <v>244616.80227367528</v>
      </c>
      <c r="M21" s="10">
        <f t="shared" si="14"/>
        <v>244616.80227367528</v>
      </c>
      <c r="N21" s="10">
        <f t="shared" si="15"/>
        <v>205625.10943239965</v>
      </c>
      <c r="O21" s="10">
        <f t="shared" si="16"/>
        <v>205625.10943239971</v>
      </c>
      <c r="P21" s="10">
        <f t="shared" si="17"/>
        <v>205625.10943239971</v>
      </c>
      <c r="Q21" s="10">
        <f t="shared" si="18"/>
        <v>205625.10943239971</v>
      </c>
      <c r="R21" s="10">
        <f t="shared" si="19"/>
        <v>205625.10943239971</v>
      </c>
      <c r="S21" s="10">
        <f t="shared" si="20"/>
        <v>205625.10943239971</v>
      </c>
      <c r="T21" s="10">
        <f t="shared" si="21"/>
        <v>205625.10943239971</v>
      </c>
      <c r="U21" s="10">
        <f t="shared" si="22"/>
        <v>205625.10943239971</v>
      </c>
      <c r="V21" s="10">
        <f>SUM(Table27[[#This Row],[Payment 1 - 9/1/22]:[Payment 18 -2038]])</f>
        <v>3556161.9475146201</v>
      </c>
    </row>
    <row r="22" spans="1:22" x14ac:dyDescent="0.3">
      <c r="A22" s="4" t="s">
        <v>204</v>
      </c>
      <c r="B22" s="4">
        <v>16</v>
      </c>
      <c r="C22" s="4">
        <v>2.6932654963619067E-3</v>
      </c>
      <c r="D22" s="10">
        <f t="shared" si="5"/>
        <v>12394.850183115272</v>
      </c>
      <c r="E22" s="10">
        <f t="shared" si="6"/>
        <v>6218.6894131743138</v>
      </c>
      <c r="F22" s="10">
        <f t="shared" si="7"/>
        <v>13351.939121924092</v>
      </c>
      <c r="G22" s="10">
        <f t="shared" si="8"/>
        <v>11860.892792235798</v>
      </c>
      <c r="H22" s="10">
        <f t="shared" si="9"/>
        <v>11860.892792235798</v>
      </c>
      <c r="I22" s="10">
        <f t="shared" si="10"/>
        <v>11860.892792235798</v>
      </c>
      <c r="J22" s="10">
        <f t="shared" si="11"/>
        <v>14493.684110278202</v>
      </c>
      <c r="K22" s="10">
        <f t="shared" si="12"/>
        <v>17046.318733776949</v>
      </c>
      <c r="L22" s="10">
        <f t="shared" si="13"/>
        <v>17046.318733776949</v>
      </c>
      <c r="M22" s="10">
        <f t="shared" si="14"/>
        <v>17046.318733776949</v>
      </c>
      <c r="N22" s="10">
        <f t="shared" si="15"/>
        <v>14329.151237660753</v>
      </c>
      <c r="O22" s="10">
        <f t="shared" si="16"/>
        <v>14329.151237660755</v>
      </c>
      <c r="P22" s="10">
        <f t="shared" si="17"/>
        <v>14329.151237660755</v>
      </c>
      <c r="Q22" s="10">
        <f t="shared" si="18"/>
        <v>14329.151237660755</v>
      </c>
      <c r="R22" s="10">
        <f t="shared" si="19"/>
        <v>14329.151237660755</v>
      </c>
      <c r="S22" s="10">
        <f t="shared" si="20"/>
        <v>14329.151237660755</v>
      </c>
      <c r="T22" s="10">
        <f t="shared" si="21"/>
        <v>14329.151237660755</v>
      </c>
      <c r="U22" s="10">
        <f t="shared" si="22"/>
        <v>14329.151237660755</v>
      </c>
      <c r="V22" s="10">
        <f>SUM(Table27[[#This Row],[Payment 1 - 9/1/22]:[Payment 18 -2038]])</f>
        <v>247814.00730781618</v>
      </c>
    </row>
    <row r="23" spans="1:22" x14ac:dyDescent="0.3">
      <c r="A23" s="4" t="s">
        <v>205</v>
      </c>
      <c r="B23" s="4">
        <v>17</v>
      </c>
      <c r="C23" s="4">
        <v>5.8262360011253162E-3</v>
      </c>
      <c r="D23" s="10">
        <f t="shared" si="5"/>
        <v>26813.29503644189</v>
      </c>
      <c r="E23" s="10">
        <f t="shared" si="6"/>
        <v>13452.647794209313</v>
      </c>
      <c r="F23" s="10">
        <f t="shared" si="7"/>
        <v>28883.728136743066</v>
      </c>
      <c r="G23" s="10">
        <f t="shared" si="8"/>
        <v>25658.205878684788</v>
      </c>
      <c r="H23" s="10">
        <f t="shared" si="9"/>
        <v>25658.205878684788</v>
      </c>
      <c r="I23" s="10">
        <f t="shared" si="10"/>
        <v>25658.205878684788</v>
      </c>
      <c r="J23" s="10">
        <f t="shared" si="11"/>
        <v>31353.620453055297</v>
      </c>
      <c r="K23" s="10">
        <f t="shared" si="12"/>
        <v>36875.635182474645</v>
      </c>
      <c r="L23" s="10">
        <f t="shared" si="13"/>
        <v>36875.635182474653</v>
      </c>
      <c r="M23" s="10">
        <f t="shared" si="14"/>
        <v>36875.635182474653</v>
      </c>
      <c r="N23" s="10">
        <f t="shared" si="15"/>
        <v>30997.692919320787</v>
      </c>
      <c r="O23" s="10">
        <f t="shared" si="16"/>
        <v>30997.692919320794</v>
      </c>
      <c r="P23" s="10">
        <f t="shared" si="17"/>
        <v>30997.692919320794</v>
      </c>
      <c r="Q23" s="10">
        <f t="shared" si="18"/>
        <v>30997.692919320794</v>
      </c>
      <c r="R23" s="10">
        <f t="shared" si="19"/>
        <v>30997.692919320794</v>
      </c>
      <c r="S23" s="10">
        <f t="shared" si="20"/>
        <v>30997.692919320794</v>
      </c>
      <c r="T23" s="10">
        <f t="shared" si="21"/>
        <v>30997.692919320794</v>
      </c>
      <c r="U23" s="10">
        <f t="shared" si="22"/>
        <v>30997.692919320794</v>
      </c>
      <c r="V23" s="10">
        <f>SUM(Table27[[#This Row],[Payment 1 - 9/1/22]:[Payment 18 -2038]])</f>
        <v>536086.3579584941</v>
      </c>
    </row>
    <row r="24" spans="1:22" x14ac:dyDescent="0.3">
      <c r="A24" s="4" t="s">
        <v>206</v>
      </c>
      <c r="B24" s="4">
        <v>18</v>
      </c>
      <c r="C24" s="4">
        <v>2.7083803560257083E-3</v>
      </c>
      <c r="D24" s="10">
        <f t="shared" si="5"/>
        <v>12464.411249903787</v>
      </c>
      <c r="E24" s="10">
        <f t="shared" si="6"/>
        <v>6253.5892839445251</v>
      </c>
      <c r="F24" s="10">
        <f t="shared" si="7"/>
        <v>13426.871461992354</v>
      </c>
      <c r="G24" s="10">
        <f t="shared" si="8"/>
        <v>11927.457239849376</v>
      </c>
      <c r="H24" s="10">
        <f t="shared" si="9"/>
        <v>11927.457239849376</v>
      </c>
      <c r="I24" s="10">
        <f t="shared" si="10"/>
        <v>11927.457239849376</v>
      </c>
      <c r="J24" s="10">
        <f t="shared" si="11"/>
        <v>14575.02403077035</v>
      </c>
      <c r="K24" s="10">
        <f t="shared" si="12"/>
        <v>17141.984280227349</v>
      </c>
      <c r="L24" s="10">
        <f t="shared" si="13"/>
        <v>17141.984280227352</v>
      </c>
      <c r="M24" s="10">
        <f t="shared" si="14"/>
        <v>17141.984280227352</v>
      </c>
      <c r="N24" s="10">
        <f t="shared" si="15"/>
        <v>14409.567784173229</v>
      </c>
      <c r="O24" s="10">
        <f t="shared" si="16"/>
        <v>14409.56778417323</v>
      </c>
      <c r="P24" s="10">
        <f t="shared" si="17"/>
        <v>14409.56778417323</v>
      </c>
      <c r="Q24" s="10">
        <f t="shared" si="18"/>
        <v>14409.56778417323</v>
      </c>
      <c r="R24" s="10">
        <f t="shared" si="19"/>
        <v>14409.56778417323</v>
      </c>
      <c r="S24" s="10">
        <f t="shared" si="20"/>
        <v>14409.56778417323</v>
      </c>
      <c r="T24" s="10">
        <f t="shared" si="21"/>
        <v>14409.56778417323</v>
      </c>
      <c r="U24" s="10">
        <f t="shared" si="22"/>
        <v>14409.56778417323</v>
      </c>
      <c r="V24" s="10">
        <f>SUM(Table27[[#This Row],[Payment 1 - 9/1/22]:[Payment 18 -2038]])</f>
        <v>249204.76286022711</v>
      </c>
    </row>
    <row r="25" spans="1:22" x14ac:dyDescent="0.3">
      <c r="A25" s="4" t="s">
        <v>207</v>
      </c>
      <c r="B25" s="4">
        <v>19</v>
      </c>
      <c r="C25" s="4">
        <v>4.6810503419085717E-3</v>
      </c>
      <c r="D25" s="10">
        <f t="shared" si="5"/>
        <v>21542.962535981907</v>
      </c>
      <c r="E25" s="10">
        <f t="shared" si="6"/>
        <v>10808.439882026094</v>
      </c>
      <c r="F25" s="10">
        <f t="shared" si="7"/>
        <v>23206.438160757785</v>
      </c>
      <c r="G25" s="10">
        <f t="shared" si="8"/>
        <v>20614.91387887131</v>
      </c>
      <c r="H25" s="10">
        <f t="shared" si="9"/>
        <v>20614.91387887131</v>
      </c>
      <c r="I25" s="10">
        <f t="shared" si="10"/>
        <v>20614.91387887131</v>
      </c>
      <c r="J25" s="10">
        <f t="shared" si="11"/>
        <v>25190.856620552</v>
      </c>
      <c r="K25" s="10">
        <f t="shared" si="12"/>
        <v>29627.482416722978</v>
      </c>
      <c r="L25" s="10">
        <f t="shared" si="13"/>
        <v>29627.482416722982</v>
      </c>
      <c r="M25" s="10">
        <f t="shared" si="14"/>
        <v>29627.482416722982</v>
      </c>
      <c r="N25" s="10">
        <f t="shared" si="15"/>
        <v>24904.889024464097</v>
      </c>
      <c r="O25" s="10">
        <f t="shared" si="16"/>
        <v>24904.889024464104</v>
      </c>
      <c r="P25" s="10">
        <f t="shared" si="17"/>
        <v>24904.889024464104</v>
      </c>
      <c r="Q25" s="10">
        <f t="shared" si="18"/>
        <v>24904.889024464104</v>
      </c>
      <c r="R25" s="10">
        <f t="shared" si="19"/>
        <v>24904.889024464104</v>
      </c>
      <c r="S25" s="10">
        <f t="shared" si="20"/>
        <v>24904.889024464104</v>
      </c>
      <c r="T25" s="10">
        <f t="shared" si="21"/>
        <v>24904.889024464104</v>
      </c>
      <c r="U25" s="10">
        <f t="shared" si="22"/>
        <v>24904.889024464104</v>
      </c>
      <c r="V25" s="10">
        <f>SUM(Table27[[#This Row],[Payment 1 - 9/1/22]:[Payment 18 -2038]])</f>
        <v>430714.99828181358</v>
      </c>
    </row>
    <row r="26" spans="1:22" x14ac:dyDescent="0.3">
      <c r="A26" s="4" t="s">
        <v>208</v>
      </c>
      <c r="B26" s="4">
        <v>21</v>
      </c>
      <c r="C26" s="4">
        <v>1.8764772833047651E-2</v>
      </c>
      <c r="D26" s="10">
        <f t="shared" si="5"/>
        <v>86358.566691623113</v>
      </c>
      <c r="E26" s="10">
        <f t="shared" si="6"/>
        <v>43327.438128592847</v>
      </c>
      <c r="F26" s="10">
        <f t="shared" si="7"/>
        <v>93026.886819003848</v>
      </c>
      <c r="G26" s="10">
        <f t="shared" si="8"/>
        <v>82638.328506448001</v>
      </c>
      <c r="H26" s="10">
        <f t="shared" si="9"/>
        <v>82638.328506448001</v>
      </c>
      <c r="I26" s="10">
        <f t="shared" si="10"/>
        <v>82638.328506448001</v>
      </c>
      <c r="J26" s="10">
        <f t="shared" si="11"/>
        <v>100981.75995300272</v>
      </c>
      <c r="K26" s="10">
        <f t="shared" si="12"/>
        <v>118766.71613367985</v>
      </c>
      <c r="L26" s="10">
        <f t="shared" si="13"/>
        <v>118766.71613367986</v>
      </c>
      <c r="M26" s="10">
        <f t="shared" si="14"/>
        <v>118766.71613367986</v>
      </c>
      <c r="N26" s="10">
        <f t="shared" si="15"/>
        <v>99835.411038495149</v>
      </c>
      <c r="O26" s="10">
        <f t="shared" si="16"/>
        <v>99835.411038495164</v>
      </c>
      <c r="P26" s="10">
        <f t="shared" si="17"/>
        <v>99835.411038495164</v>
      </c>
      <c r="Q26" s="10">
        <f t="shared" si="18"/>
        <v>99835.411038495164</v>
      </c>
      <c r="R26" s="10">
        <f t="shared" si="19"/>
        <v>99835.411038495164</v>
      </c>
      <c r="S26" s="10">
        <f t="shared" si="20"/>
        <v>99835.411038495164</v>
      </c>
      <c r="T26" s="10">
        <f t="shared" si="21"/>
        <v>99835.411038495164</v>
      </c>
      <c r="U26" s="10">
        <f t="shared" si="22"/>
        <v>99835.411038495164</v>
      </c>
      <c r="V26" s="10">
        <f>SUM(Table27[[#This Row],[Payment 1 - 9/1/22]:[Payment 18 -2038]])</f>
        <v>1726593.0738205672</v>
      </c>
    </row>
    <row r="27" spans="1:22" x14ac:dyDescent="0.3">
      <c r="A27" s="4" t="s">
        <v>209</v>
      </c>
      <c r="B27" s="4">
        <v>23</v>
      </c>
      <c r="C27" s="4">
        <v>4.1716289473065667E-2</v>
      </c>
      <c r="D27" s="10">
        <f t="shared" si="5"/>
        <v>191985.21605559415</v>
      </c>
      <c r="E27" s="10">
        <f t="shared" si="6"/>
        <v>96321.973475506544</v>
      </c>
      <c r="F27" s="10">
        <f t="shared" si="7"/>
        <v>206809.67330897326</v>
      </c>
      <c r="G27" s="10">
        <f t="shared" si="8"/>
        <v>183714.6905116773</v>
      </c>
      <c r="H27" s="10">
        <f t="shared" si="9"/>
        <v>183714.6905116773</v>
      </c>
      <c r="I27" s="10">
        <f t="shared" si="10"/>
        <v>183714.6905116773</v>
      </c>
      <c r="J27" s="10">
        <f t="shared" si="11"/>
        <v>224494.28869610842</v>
      </c>
      <c r="K27" s="10">
        <f t="shared" si="12"/>
        <v>264032.33090423339</v>
      </c>
      <c r="L27" s="10">
        <f t="shared" si="13"/>
        <v>264032.33090423344</v>
      </c>
      <c r="M27" s="10">
        <f t="shared" si="14"/>
        <v>264032.33090423344</v>
      </c>
      <c r="N27" s="10">
        <f t="shared" si="15"/>
        <v>221945.82069278084</v>
      </c>
      <c r="O27" s="10">
        <f t="shared" si="16"/>
        <v>221945.82069278089</v>
      </c>
      <c r="P27" s="10">
        <f t="shared" si="17"/>
        <v>221945.82069278089</v>
      </c>
      <c r="Q27" s="10">
        <f t="shared" si="18"/>
        <v>221945.82069278089</v>
      </c>
      <c r="R27" s="10">
        <f t="shared" si="19"/>
        <v>221945.82069278089</v>
      </c>
      <c r="S27" s="10">
        <f t="shared" si="20"/>
        <v>221945.82069278089</v>
      </c>
      <c r="T27" s="10">
        <f t="shared" si="21"/>
        <v>221945.82069278089</v>
      </c>
      <c r="U27" s="10">
        <f t="shared" si="22"/>
        <v>221945.82069278089</v>
      </c>
      <c r="V27" s="10">
        <f>SUM(Table27[[#This Row],[Payment 1 - 9/1/22]:[Payment 18 -2038]])</f>
        <v>3838418.7813261617</v>
      </c>
    </row>
    <row r="28" spans="1:22" x14ac:dyDescent="0.3">
      <c r="A28" s="4" t="s">
        <v>210</v>
      </c>
      <c r="B28" s="4">
        <v>25</v>
      </c>
      <c r="C28" s="4">
        <v>1.9589725963119354E-2</v>
      </c>
      <c r="D28" s="10">
        <f t="shared" si="5"/>
        <v>90155.136494764709</v>
      </c>
      <c r="E28" s="10">
        <f t="shared" si="6"/>
        <v>45232.236338524897</v>
      </c>
      <c r="F28" s="10">
        <f t="shared" si="7"/>
        <v>97116.615063782141</v>
      </c>
      <c r="G28" s="10">
        <f t="shared" si="8"/>
        <v>86271.345989357535</v>
      </c>
      <c r="H28" s="10">
        <f t="shared" si="9"/>
        <v>86271.345989357535</v>
      </c>
      <c r="I28" s="10">
        <f t="shared" si="10"/>
        <v>86271.345989357535</v>
      </c>
      <c r="J28" s="10">
        <f t="shared" si="11"/>
        <v>105421.20719249532</v>
      </c>
      <c r="K28" s="10">
        <f t="shared" si="12"/>
        <v>123988.04095836752</v>
      </c>
      <c r="L28" s="10">
        <f t="shared" si="13"/>
        <v>123988.04095836754</v>
      </c>
      <c r="M28" s="10">
        <f t="shared" si="14"/>
        <v>123988.04095836754</v>
      </c>
      <c r="N28" s="10">
        <f t="shared" si="15"/>
        <v>104224.46149814973</v>
      </c>
      <c r="O28" s="10">
        <f t="shared" si="16"/>
        <v>104224.46149814976</v>
      </c>
      <c r="P28" s="10">
        <f t="shared" si="17"/>
        <v>104224.46149814976</v>
      </c>
      <c r="Q28" s="10">
        <f t="shared" si="18"/>
        <v>104224.46149814976</v>
      </c>
      <c r="R28" s="10">
        <f t="shared" si="19"/>
        <v>104224.46149814976</v>
      </c>
      <c r="S28" s="10">
        <f t="shared" si="20"/>
        <v>104224.46149814976</v>
      </c>
      <c r="T28" s="10">
        <f t="shared" si="21"/>
        <v>104224.46149814976</v>
      </c>
      <c r="U28" s="10">
        <f t="shared" si="22"/>
        <v>104224.46149814976</v>
      </c>
      <c r="V28" s="10">
        <f>SUM(Table27[[#This Row],[Payment 1 - 9/1/22]:[Payment 18 -2038]])</f>
        <v>1802499.0479179397</v>
      </c>
    </row>
    <row r="29" spans="1:22" x14ac:dyDescent="0.3">
      <c r="A29" s="4" t="s">
        <v>211</v>
      </c>
      <c r="B29" s="4">
        <v>26</v>
      </c>
      <c r="C29" s="4">
        <v>9.3150927470636927E-3</v>
      </c>
      <c r="D29" s="10">
        <f t="shared" si="5"/>
        <v>42869.586825970822</v>
      </c>
      <c r="E29" s="10">
        <f t="shared" si="6"/>
        <v>21508.339496106557</v>
      </c>
      <c r="F29" s="10">
        <f t="shared" si="7"/>
        <v>46179.833158623842</v>
      </c>
      <c r="G29" s="10">
        <f t="shared" si="8"/>
        <v>41022.809140762583</v>
      </c>
      <c r="H29" s="10">
        <f t="shared" si="9"/>
        <v>41022.809140762583</v>
      </c>
      <c r="I29" s="10">
        <f t="shared" si="10"/>
        <v>41022.809140762583</v>
      </c>
      <c r="J29" s="10">
        <f t="shared" si="11"/>
        <v>50128.742196511186</v>
      </c>
      <c r="K29" s="10">
        <f t="shared" si="12"/>
        <v>58957.440406686335</v>
      </c>
      <c r="L29" s="10">
        <f t="shared" si="13"/>
        <v>58957.440406686343</v>
      </c>
      <c r="M29" s="10">
        <f t="shared" si="14"/>
        <v>58957.440406686343</v>
      </c>
      <c r="N29" s="10">
        <f t="shared" si="15"/>
        <v>49559.678741592747</v>
      </c>
      <c r="O29" s="10">
        <f t="shared" si="16"/>
        <v>49559.678741592754</v>
      </c>
      <c r="P29" s="10">
        <f t="shared" si="17"/>
        <v>49559.678741592754</v>
      </c>
      <c r="Q29" s="10">
        <f t="shared" si="18"/>
        <v>49559.678741592754</v>
      </c>
      <c r="R29" s="10">
        <f t="shared" si="19"/>
        <v>49559.678741592754</v>
      </c>
      <c r="S29" s="10">
        <f t="shared" si="20"/>
        <v>49559.678741592754</v>
      </c>
      <c r="T29" s="10">
        <f t="shared" si="21"/>
        <v>49559.678741592754</v>
      </c>
      <c r="U29" s="10">
        <f t="shared" si="22"/>
        <v>49559.678741592754</v>
      </c>
      <c r="V29" s="10">
        <f>SUM(Table27[[#This Row],[Payment 1 - 9/1/22]:[Payment 18 -2038]])</f>
        <v>857104.68025230151</v>
      </c>
    </row>
    <row r="30" spans="1:22" x14ac:dyDescent="0.3">
      <c r="A30" s="4" t="s">
        <v>212</v>
      </c>
      <c r="B30" s="4">
        <v>28</v>
      </c>
      <c r="C30" s="4">
        <v>1.1276987067444613E-2</v>
      </c>
      <c r="D30" s="10">
        <f t="shared" si="5"/>
        <v>51898.546729505935</v>
      </c>
      <c r="E30" s="10">
        <f t="shared" si="6"/>
        <v>26038.309325074439</v>
      </c>
      <c r="F30" s="10">
        <f t="shared" si="7"/>
        <v>55905.97919389564</v>
      </c>
      <c r="G30" s="10">
        <f t="shared" si="8"/>
        <v>49662.810742969101</v>
      </c>
      <c r="H30" s="10">
        <f t="shared" si="9"/>
        <v>49662.810742969101</v>
      </c>
      <c r="I30" s="10">
        <f t="shared" si="10"/>
        <v>49662.810742969101</v>
      </c>
      <c r="J30" s="10">
        <f t="shared" si="11"/>
        <v>60686.586039147725</v>
      </c>
      <c r="K30" s="10">
        <f t="shared" si="12"/>
        <v>71374.736789970921</v>
      </c>
      <c r="L30" s="10">
        <f t="shared" si="13"/>
        <v>71374.736789970935</v>
      </c>
      <c r="M30" s="10">
        <f t="shared" si="14"/>
        <v>71374.736789970935</v>
      </c>
      <c r="N30" s="10">
        <f t="shared" si="15"/>
        <v>59997.66952527903</v>
      </c>
      <c r="O30" s="10">
        <f t="shared" si="16"/>
        <v>59997.669525279045</v>
      </c>
      <c r="P30" s="10">
        <f t="shared" si="17"/>
        <v>59997.669525279045</v>
      </c>
      <c r="Q30" s="10">
        <f t="shared" si="18"/>
        <v>59997.669525279045</v>
      </c>
      <c r="R30" s="10">
        <f t="shared" si="19"/>
        <v>59997.669525279045</v>
      </c>
      <c r="S30" s="10">
        <f t="shared" si="20"/>
        <v>59997.669525279045</v>
      </c>
      <c r="T30" s="10">
        <f t="shared" si="21"/>
        <v>59997.669525279045</v>
      </c>
      <c r="U30" s="10">
        <f t="shared" si="22"/>
        <v>59997.669525279045</v>
      </c>
      <c r="V30" s="10">
        <f>SUM(Table27[[#This Row],[Payment 1 - 9/1/22]:[Payment 18 -2038]])</f>
        <v>1037623.4200886765</v>
      </c>
    </row>
    <row r="31" spans="1:22" x14ac:dyDescent="0.3">
      <c r="A31" s="4" t="s">
        <v>213</v>
      </c>
      <c r="B31" s="4">
        <v>30</v>
      </c>
      <c r="C31" s="4">
        <v>2.6001897815900754E-3</v>
      </c>
      <c r="D31" s="10">
        <f t="shared" si="5"/>
        <v>11966.500456049152</v>
      </c>
      <c r="E31" s="10">
        <f t="shared" si="6"/>
        <v>6003.7796826419617</v>
      </c>
      <c r="F31" s="10">
        <f t="shared" si="7"/>
        <v>12890.513659398481</v>
      </c>
      <c r="G31" s="10">
        <f t="shared" si="8"/>
        <v>11450.99593061534</v>
      </c>
      <c r="H31" s="10">
        <f t="shared" si="9"/>
        <v>11450.99593061534</v>
      </c>
      <c r="I31" s="10">
        <f t="shared" si="10"/>
        <v>11450.99593061534</v>
      </c>
      <c r="J31" s="10">
        <f t="shared" si="11"/>
        <v>13992.801441984438</v>
      </c>
      <c r="K31" s="10">
        <f t="shared" si="12"/>
        <v>16457.2203687929</v>
      </c>
      <c r="L31" s="10">
        <f t="shared" si="13"/>
        <v>16457.220368792903</v>
      </c>
      <c r="M31" s="10">
        <f t="shared" si="14"/>
        <v>16457.220368792903</v>
      </c>
      <c r="N31" s="10">
        <f t="shared" si="15"/>
        <v>13833.954609136563</v>
      </c>
      <c r="O31" s="10">
        <f t="shared" si="16"/>
        <v>13833.954609136565</v>
      </c>
      <c r="P31" s="10">
        <f t="shared" si="17"/>
        <v>13833.954609136565</v>
      </c>
      <c r="Q31" s="10">
        <f t="shared" si="18"/>
        <v>13833.954609136565</v>
      </c>
      <c r="R31" s="10">
        <f t="shared" si="19"/>
        <v>13833.954609136565</v>
      </c>
      <c r="S31" s="10">
        <f t="shared" si="20"/>
        <v>13833.954609136565</v>
      </c>
      <c r="T31" s="10">
        <f t="shared" si="21"/>
        <v>13833.954609136565</v>
      </c>
      <c r="U31" s="10">
        <f t="shared" si="22"/>
        <v>13833.954609136565</v>
      </c>
      <c r="V31" s="10">
        <f>SUM(Table27[[#This Row],[Payment 1 - 9/1/22]:[Payment 18 -2038]])</f>
        <v>239249.88101139123</v>
      </c>
    </row>
    <row r="32" spans="1:22" x14ac:dyDescent="0.3">
      <c r="A32" s="4" t="s">
        <v>214</v>
      </c>
      <c r="B32" s="4">
        <v>31</v>
      </c>
      <c r="C32" s="4">
        <v>3.1887291497432716E-3</v>
      </c>
      <c r="D32" s="10">
        <f t="shared" si="5"/>
        <v>14675.055295881381</v>
      </c>
      <c r="E32" s="10">
        <f t="shared" si="6"/>
        <v>7362.7038373212808</v>
      </c>
      <c r="F32" s="10">
        <f t="shared" si="7"/>
        <v>15808.214058802852</v>
      </c>
      <c r="G32" s="10">
        <f t="shared" si="8"/>
        <v>14042.869015205304</v>
      </c>
      <c r="H32" s="10">
        <f t="shared" si="9"/>
        <v>14042.869015205304</v>
      </c>
      <c r="I32" s="10">
        <f t="shared" si="10"/>
        <v>14042.869015205304</v>
      </c>
      <c r="J32" s="10">
        <f t="shared" si="11"/>
        <v>17159.998920286416</v>
      </c>
      <c r="K32" s="10">
        <f t="shared" si="12"/>
        <v>20182.226191823342</v>
      </c>
      <c r="L32" s="10">
        <f t="shared" si="13"/>
        <v>20182.226191823345</v>
      </c>
      <c r="M32" s="10">
        <f t="shared" si="14"/>
        <v>20182.226191823345</v>
      </c>
      <c r="N32" s="10">
        <f t="shared" si="15"/>
        <v>16965.197936976394</v>
      </c>
      <c r="O32" s="10">
        <f t="shared" si="16"/>
        <v>16965.197936976398</v>
      </c>
      <c r="P32" s="10">
        <f t="shared" si="17"/>
        <v>16965.197936976398</v>
      </c>
      <c r="Q32" s="10">
        <f t="shared" si="18"/>
        <v>16965.197936976398</v>
      </c>
      <c r="R32" s="10">
        <f t="shared" si="19"/>
        <v>16965.197936976398</v>
      </c>
      <c r="S32" s="10">
        <f t="shared" si="20"/>
        <v>16965.197936976398</v>
      </c>
      <c r="T32" s="10">
        <f t="shared" si="21"/>
        <v>16965.197936976398</v>
      </c>
      <c r="U32" s="10">
        <f t="shared" si="22"/>
        <v>16965.197936976398</v>
      </c>
      <c r="V32" s="10">
        <f>SUM(Table27[[#This Row],[Payment 1 - 9/1/22]:[Payment 18 -2038]])</f>
        <v>293402.84122918895</v>
      </c>
    </row>
    <row r="33" spans="1:22" x14ac:dyDescent="0.3">
      <c r="A33" s="4" t="s">
        <v>215</v>
      </c>
      <c r="B33" s="4">
        <v>32</v>
      </c>
      <c r="C33" s="4">
        <v>6.0203426199657165E-3</v>
      </c>
      <c r="D33" s="10">
        <f t="shared" si="5"/>
        <v>27706.605578357558</v>
      </c>
      <c r="E33" s="10">
        <f t="shared" si="6"/>
        <v>13900.83560831097</v>
      </c>
      <c r="F33" s="10">
        <f t="shared" si="7"/>
        <v>29846.017135514427</v>
      </c>
      <c r="G33" s="10">
        <f t="shared" si="8"/>
        <v>26513.033521722322</v>
      </c>
      <c r="H33" s="10">
        <f t="shared" si="9"/>
        <v>26513.033521722322</v>
      </c>
      <c r="I33" s="10">
        <f t="shared" si="10"/>
        <v>26513.033521722322</v>
      </c>
      <c r="J33" s="10">
        <f t="shared" si="11"/>
        <v>32398.196274112375</v>
      </c>
      <c r="K33" s="10">
        <f t="shared" si="12"/>
        <v>38104.182200048213</v>
      </c>
      <c r="L33" s="10">
        <f t="shared" si="13"/>
        <v>38104.182200048221</v>
      </c>
      <c r="M33" s="10">
        <f t="shared" si="14"/>
        <v>38104.182200048221</v>
      </c>
      <c r="N33" s="10">
        <f t="shared" si="15"/>
        <v>32030.410674533628</v>
      </c>
      <c r="O33" s="10">
        <f t="shared" si="16"/>
        <v>32030.410674533636</v>
      </c>
      <c r="P33" s="10">
        <f t="shared" si="17"/>
        <v>32030.410674533636</v>
      </c>
      <c r="Q33" s="10">
        <f t="shared" si="18"/>
        <v>32030.410674533636</v>
      </c>
      <c r="R33" s="10">
        <f t="shared" si="19"/>
        <v>32030.410674533636</v>
      </c>
      <c r="S33" s="10">
        <f t="shared" si="20"/>
        <v>32030.410674533636</v>
      </c>
      <c r="T33" s="10">
        <f t="shared" si="21"/>
        <v>32030.410674533636</v>
      </c>
      <c r="U33" s="10">
        <f t="shared" si="22"/>
        <v>32030.410674533636</v>
      </c>
      <c r="V33" s="10">
        <f>SUM(Table27[[#This Row],[Payment 1 - 9/1/22]:[Payment 18 -2038]])</f>
        <v>553946.587157876</v>
      </c>
    </row>
    <row r="34" spans="1:22" x14ac:dyDescent="0.3">
      <c r="A34" s="4" t="s">
        <v>216</v>
      </c>
      <c r="B34" s="4">
        <v>35</v>
      </c>
      <c r="C34" s="4">
        <v>1.561357771280444E-2</v>
      </c>
      <c r="D34" s="10">
        <f t="shared" si="5"/>
        <v>71856.249164465364</v>
      </c>
      <c r="E34" s="10">
        <f t="shared" si="6"/>
        <v>36051.399520600455</v>
      </c>
      <c r="F34" s="10">
        <f t="shared" si="7"/>
        <v>77404.748762571457</v>
      </c>
      <c r="G34" s="10">
        <f t="shared" si="8"/>
        <v>68760.755894646747</v>
      </c>
      <c r="H34" s="10">
        <f t="shared" si="9"/>
        <v>68760.755894646747</v>
      </c>
      <c r="I34" s="10">
        <f t="shared" si="10"/>
        <v>68760.755894646747</v>
      </c>
      <c r="J34" s="10">
        <f t="shared" si="11"/>
        <v>84023.748682168109</v>
      </c>
      <c r="K34" s="10">
        <f t="shared" si="12"/>
        <v>98822.051753376858</v>
      </c>
      <c r="L34" s="10">
        <f t="shared" si="13"/>
        <v>98822.051753376873</v>
      </c>
      <c r="M34" s="10">
        <f t="shared" si="14"/>
        <v>98822.051753376873</v>
      </c>
      <c r="N34" s="10">
        <f t="shared" si="15"/>
        <v>83069.907779221976</v>
      </c>
      <c r="O34" s="10">
        <f t="shared" si="16"/>
        <v>83069.90777922199</v>
      </c>
      <c r="P34" s="10">
        <f t="shared" si="17"/>
        <v>83069.90777922199</v>
      </c>
      <c r="Q34" s="10">
        <f t="shared" si="18"/>
        <v>83069.90777922199</v>
      </c>
      <c r="R34" s="10">
        <f t="shared" si="19"/>
        <v>83069.90777922199</v>
      </c>
      <c r="S34" s="10">
        <f t="shared" si="20"/>
        <v>83069.90777922199</v>
      </c>
      <c r="T34" s="10">
        <f t="shared" si="21"/>
        <v>83069.90777922199</v>
      </c>
      <c r="U34" s="10">
        <f t="shared" si="22"/>
        <v>83069.90777922199</v>
      </c>
      <c r="V34" s="10">
        <f>SUM(Table27[[#This Row],[Payment 1 - 9/1/22]:[Payment 18 -2038]])</f>
        <v>1436643.8313076517</v>
      </c>
    </row>
    <row r="35" spans="1:22" x14ac:dyDescent="0.3">
      <c r="A35" s="4" t="s">
        <v>217</v>
      </c>
      <c r="B35" s="4">
        <v>37</v>
      </c>
      <c r="C35" s="4">
        <v>6.224574025183784E-3</v>
      </c>
      <c r="D35" s="10">
        <f t="shared" si="5"/>
        <v>28646.512050179412</v>
      </c>
      <c r="E35" s="10">
        <f t="shared" si="6"/>
        <v>14372.401326277844</v>
      </c>
      <c r="F35" s="10">
        <f t="shared" si="7"/>
        <v>30858.50004629324</v>
      </c>
      <c r="G35" s="10">
        <f t="shared" si="8"/>
        <v>27412.449789955561</v>
      </c>
      <c r="H35" s="10">
        <f t="shared" si="9"/>
        <v>27412.449789955561</v>
      </c>
      <c r="I35" s="10">
        <f t="shared" si="10"/>
        <v>27412.449789955561</v>
      </c>
      <c r="J35" s="10">
        <f t="shared" si="11"/>
        <v>33497.258166312524</v>
      </c>
      <c r="K35" s="10">
        <f t="shared" si="12"/>
        <v>39396.811401846942</v>
      </c>
      <c r="L35" s="10">
        <f t="shared" si="13"/>
        <v>39396.811401846942</v>
      </c>
      <c r="M35" s="10">
        <f t="shared" si="14"/>
        <v>39396.811401846942</v>
      </c>
      <c r="N35" s="10">
        <f t="shared" si="15"/>
        <v>33116.995972864876</v>
      </c>
      <c r="O35" s="10">
        <f t="shared" si="16"/>
        <v>33116.995972864883</v>
      </c>
      <c r="P35" s="10">
        <f t="shared" si="17"/>
        <v>33116.995972864883</v>
      </c>
      <c r="Q35" s="10">
        <f t="shared" si="18"/>
        <v>33116.995972864883</v>
      </c>
      <c r="R35" s="10">
        <f t="shared" si="19"/>
        <v>33116.995972864883</v>
      </c>
      <c r="S35" s="10">
        <f t="shared" si="20"/>
        <v>33116.995972864883</v>
      </c>
      <c r="T35" s="10">
        <f t="shared" si="21"/>
        <v>33116.995972864883</v>
      </c>
      <c r="U35" s="10">
        <f t="shared" si="22"/>
        <v>33116.995972864883</v>
      </c>
      <c r="V35" s="10">
        <f>SUM(Table27[[#This Row],[Payment 1 - 9/1/22]:[Payment 18 -2038]])</f>
        <v>572738.42294738977</v>
      </c>
    </row>
    <row r="36" spans="1:22" x14ac:dyDescent="0.3">
      <c r="A36" s="4" t="s">
        <v>218</v>
      </c>
      <c r="B36" s="4">
        <v>39</v>
      </c>
      <c r="C36" s="4">
        <v>2.7087925794710848E-2</v>
      </c>
      <c r="D36" s="10">
        <f t="shared" si="5"/>
        <v>124663.08369907111</v>
      </c>
      <c r="E36" s="10">
        <f t="shared" si="6"/>
        <v>62545.410986018949</v>
      </c>
      <c r="F36" s="10">
        <f t="shared" si="7"/>
        <v>134289.15071266942</v>
      </c>
      <c r="G36" s="10">
        <f t="shared" si="8"/>
        <v>119292.72633875201</v>
      </c>
      <c r="H36" s="10">
        <f t="shared" si="9"/>
        <v>119292.72633875201</v>
      </c>
      <c r="I36" s="10">
        <f t="shared" si="10"/>
        <v>119292.72633875201</v>
      </c>
      <c r="J36" s="10">
        <f t="shared" si="11"/>
        <v>145772.4239223832</v>
      </c>
      <c r="K36" s="10">
        <f t="shared" si="12"/>
        <v>171445.93340585087</v>
      </c>
      <c r="L36" s="10">
        <f t="shared" si="13"/>
        <v>171445.9334058509</v>
      </c>
      <c r="M36" s="10">
        <f t="shared" si="14"/>
        <v>171445.9334058509</v>
      </c>
      <c r="N36" s="10">
        <f t="shared" si="15"/>
        <v>144117.60962714479</v>
      </c>
      <c r="O36" s="10">
        <f t="shared" si="16"/>
        <v>144117.60962714482</v>
      </c>
      <c r="P36" s="10">
        <f t="shared" si="17"/>
        <v>144117.60962714482</v>
      </c>
      <c r="Q36" s="10">
        <f t="shared" si="18"/>
        <v>144117.60962714482</v>
      </c>
      <c r="R36" s="10">
        <f t="shared" si="19"/>
        <v>144117.60962714482</v>
      </c>
      <c r="S36" s="10">
        <f t="shared" si="20"/>
        <v>144117.60962714482</v>
      </c>
      <c r="T36" s="10">
        <f t="shared" si="21"/>
        <v>144117.60962714482</v>
      </c>
      <c r="U36" s="10">
        <f t="shared" si="22"/>
        <v>144117.60962714482</v>
      </c>
      <c r="V36" s="10">
        <f>SUM(Table27[[#This Row],[Payment 1 - 9/1/22]:[Payment 18 -2038]])</f>
        <v>2492426.9255711106</v>
      </c>
    </row>
    <row r="37" spans="1:22" x14ac:dyDescent="0.3">
      <c r="A37" s="4" t="s">
        <v>219</v>
      </c>
      <c r="B37" s="4">
        <v>40</v>
      </c>
      <c r="C37" s="4">
        <v>2.3546926398927491E-2</v>
      </c>
      <c r="D37" s="10">
        <f t="shared" si="5"/>
        <v>108366.82287052534</v>
      </c>
      <c r="E37" s="10">
        <f t="shared" si="6"/>
        <v>54369.323079215857</v>
      </c>
      <c r="F37" s="10">
        <f t="shared" si="7"/>
        <v>116734.5470439503</v>
      </c>
      <c r="G37" s="10">
        <f t="shared" si="8"/>
        <v>103698.49165691638</v>
      </c>
      <c r="H37" s="10">
        <f t="shared" si="9"/>
        <v>103698.49165691638</v>
      </c>
      <c r="I37" s="10">
        <f t="shared" si="10"/>
        <v>103698.49165691638</v>
      </c>
      <c r="J37" s="10">
        <f t="shared" si="11"/>
        <v>126716.69891254051</v>
      </c>
      <c r="K37" s="10">
        <f t="shared" si="12"/>
        <v>149034.10493287968</v>
      </c>
      <c r="L37" s="10">
        <f t="shared" si="13"/>
        <v>149034.10493287971</v>
      </c>
      <c r="M37" s="10">
        <f t="shared" si="14"/>
        <v>149034.10493287971</v>
      </c>
      <c r="N37" s="10">
        <f t="shared" si="15"/>
        <v>125278.20595781304</v>
      </c>
      <c r="O37" s="10">
        <f t="shared" si="16"/>
        <v>125278.20595781306</v>
      </c>
      <c r="P37" s="10">
        <f t="shared" si="17"/>
        <v>125278.20595781306</v>
      </c>
      <c r="Q37" s="10">
        <f t="shared" si="18"/>
        <v>125278.20595781306</v>
      </c>
      <c r="R37" s="10">
        <f t="shared" si="19"/>
        <v>125278.20595781306</v>
      </c>
      <c r="S37" s="10">
        <f t="shared" si="20"/>
        <v>125278.20595781306</v>
      </c>
      <c r="T37" s="10">
        <f t="shared" si="21"/>
        <v>125278.20595781306</v>
      </c>
      <c r="U37" s="10">
        <f t="shared" si="22"/>
        <v>125278.20595781306</v>
      </c>
      <c r="V37" s="10">
        <f>SUM(Table27[[#This Row],[Payment 1 - 9/1/22]:[Payment 18 -2038]])</f>
        <v>2166610.829338124</v>
      </c>
    </row>
    <row r="38" spans="1:22" x14ac:dyDescent="0.3">
      <c r="A38" s="4" t="s">
        <v>220</v>
      </c>
      <c r="B38" s="4">
        <v>41</v>
      </c>
      <c r="C38" s="4">
        <v>8.8888888888888906E-3</v>
      </c>
      <c r="D38" s="10">
        <f t="shared" si="5"/>
        <v>40908.126666666678</v>
      </c>
      <c r="E38" s="10">
        <f t="shared" si="6"/>
        <v>20524.244380245935</v>
      </c>
      <c r="F38" s="10">
        <f t="shared" si="7"/>
        <v>44066.915596071573</v>
      </c>
      <c r="G38" s="10">
        <f t="shared" si="8"/>
        <v>39145.846666666672</v>
      </c>
      <c r="H38" s="10">
        <f t="shared" si="9"/>
        <v>39145.846666666672</v>
      </c>
      <c r="I38" s="10">
        <f t="shared" si="10"/>
        <v>39145.846666666672</v>
      </c>
      <c r="J38" s="10">
        <f t="shared" si="11"/>
        <v>47835.145781560001</v>
      </c>
      <c r="K38" s="10">
        <f t="shared" si="12"/>
        <v>56259.894686879998</v>
      </c>
      <c r="L38" s="10">
        <f t="shared" si="13"/>
        <v>56259.894686880005</v>
      </c>
      <c r="M38" s="10">
        <f t="shared" si="14"/>
        <v>56259.894686880005</v>
      </c>
      <c r="N38" s="10">
        <f t="shared" si="15"/>
        <v>47292.119323440005</v>
      </c>
      <c r="O38" s="10">
        <f t="shared" si="16"/>
        <v>47292.119323440013</v>
      </c>
      <c r="P38" s="10">
        <f t="shared" si="17"/>
        <v>47292.119323440013</v>
      </c>
      <c r="Q38" s="10">
        <f t="shared" si="18"/>
        <v>47292.119323440013</v>
      </c>
      <c r="R38" s="10">
        <f t="shared" si="19"/>
        <v>47292.119323440013</v>
      </c>
      <c r="S38" s="10">
        <f t="shared" si="20"/>
        <v>47292.119323440013</v>
      </c>
      <c r="T38" s="10">
        <f t="shared" si="21"/>
        <v>47292.119323440013</v>
      </c>
      <c r="U38" s="10">
        <f t="shared" si="22"/>
        <v>47292.119323440013</v>
      </c>
      <c r="V38" s="10">
        <f>SUM(Table27[[#This Row],[Payment 1 - 9/1/22]:[Payment 18 -2038]])</f>
        <v>817888.61107270431</v>
      </c>
    </row>
    <row r="39" spans="1:22" x14ac:dyDescent="0.3">
      <c r="A39" s="4" t="s">
        <v>221</v>
      </c>
      <c r="B39" s="4">
        <v>43</v>
      </c>
      <c r="C39" s="4">
        <v>8.8888888888888906E-3</v>
      </c>
      <c r="D39" s="10">
        <f t="shared" si="5"/>
        <v>40908.126666666678</v>
      </c>
      <c r="E39" s="10">
        <f t="shared" si="6"/>
        <v>20524.244380245935</v>
      </c>
      <c r="F39" s="10">
        <f t="shared" si="7"/>
        <v>44066.915596071573</v>
      </c>
      <c r="G39" s="10">
        <f t="shared" si="8"/>
        <v>39145.846666666672</v>
      </c>
      <c r="H39" s="10">
        <f t="shared" si="9"/>
        <v>39145.846666666672</v>
      </c>
      <c r="I39" s="10">
        <f t="shared" si="10"/>
        <v>39145.846666666672</v>
      </c>
      <c r="J39" s="10">
        <f t="shared" si="11"/>
        <v>47835.145781560001</v>
      </c>
      <c r="K39" s="10">
        <f t="shared" si="12"/>
        <v>56259.894686879998</v>
      </c>
      <c r="L39" s="10">
        <f t="shared" si="13"/>
        <v>56259.894686880005</v>
      </c>
      <c r="M39" s="10">
        <f t="shared" si="14"/>
        <v>56259.894686880005</v>
      </c>
      <c r="N39" s="10">
        <f t="shared" si="15"/>
        <v>47292.119323440005</v>
      </c>
      <c r="O39" s="10">
        <f t="shared" si="16"/>
        <v>47292.119323440013</v>
      </c>
      <c r="P39" s="10">
        <f t="shared" si="17"/>
        <v>47292.119323440013</v>
      </c>
      <c r="Q39" s="10">
        <f t="shared" si="18"/>
        <v>47292.119323440013</v>
      </c>
      <c r="R39" s="10">
        <f t="shared" si="19"/>
        <v>47292.119323440013</v>
      </c>
      <c r="S39" s="10">
        <f t="shared" si="20"/>
        <v>47292.119323440013</v>
      </c>
      <c r="T39" s="10">
        <f t="shared" si="21"/>
        <v>47292.119323440013</v>
      </c>
      <c r="U39" s="10">
        <f t="shared" si="22"/>
        <v>47292.119323440013</v>
      </c>
      <c r="V39" s="10">
        <f>SUM(Table27[[#This Row],[Payment 1 - 9/1/22]:[Payment 18 -2038]])</f>
        <v>817888.61107270431</v>
      </c>
    </row>
    <row r="40" spans="1:22" x14ac:dyDescent="0.3">
      <c r="A40" s="4" t="s">
        <v>222</v>
      </c>
      <c r="B40" s="4">
        <v>45</v>
      </c>
      <c r="C40" s="4">
        <v>1.217339226138156E-2</v>
      </c>
      <c r="D40" s="10">
        <f t="shared" si="5"/>
        <v>56023.95066655687</v>
      </c>
      <c r="E40" s="10">
        <f t="shared" si="6"/>
        <v>28108.08874228385</v>
      </c>
      <c r="F40" s="10">
        <f t="shared" si="7"/>
        <v>60349.933046269347</v>
      </c>
      <c r="G40" s="10">
        <f t="shared" si="8"/>
        <v>53610.496523688278</v>
      </c>
      <c r="H40" s="10">
        <f t="shared" si="9"/>
        <v>53610.496523688278</v>
      </c>
      <c r="I40" s="10">
        <f t="shared" si="10"/>
        <v>53610.496523688278</v>
      </c>
      <c r="J40" s="10">
        <f t="shared" si="11"/>
        <v>65510.549266421389</v>
      </c>
      <c r="K40" s="10">
        <f t="shared" si="12"/>
        <v>77048.298743333216</v>
      </c>
      <c r="L40" s="10">
        <f t="shared" si="13"/>
        <v>77048.298743333231</v>
      </c>
      <c r="M40" s="10">
        <f t="shared" si="14"/>
        <v>77048.298743333231</v>
      </c>
      <c r="N40" s="10">
        <f t="shared" si="15"/>
        <v>64766.870932083504</v>
      </c>
      <c r="O40" s="10">
        <f t="shared" si="16"/>
        <v>64766.870932083511</v>
      </c>
      <c r="P40" s="10">
        <f t="shared" si="17"/>
        <v>64766.870932083511</v>
      </c>
      <c r="Q40" s="10">
        <f t="shared" si="18"/>
        <v>64766.870932083511</v>
      </c>
      <c r="R40" s="10">
        <f t="shared" si="19"/>
        <v>64766.870932083511</v>
      </c>
      <c r="S40" s="10">
        <f t="shared" si="20"/>
        <v>64766.870932083511</v>
      </c>
      <c r="T40" s="10">
        <f t="shared" si="21"/>
        <v>64766.870932083511</v>
      </c>
      <c r="U40" s="10">
        <f t="shared" si="22"/>
        <v>64766.870932083511</v>
      </c>
      <c r="V40" s="10">
        <f>SUM(Table27[[#This Row],[Payment 1 - 9/1/22]:[Payment 18 -2038]])</f>
        <v>1120103.8749792639</v>
      </c>
    </row>
    <row r="41" spans="1:22" x14ac:dyDescent="0.3">
      <c r="A41" s="4" t="s">
        <v>223</v>
      </c>
      <c r="B41" s="4">
        <v>49</v>
      </c>
      <c r="C41" s="4">
        <v>6.6279021225283865E-3</v>
      </c>
      <c r="D41" s="10">
        <f t="shared" si="5"/>
        <v>30502.694200799258</v>
      </c>
      <c r="E41" s="10">
        <f t="shared" si="6"/>
        <v>15303.676825251372</v>
      </c>
      <c r="F41" s="10">
        <f t="shared" si="7"/>
        <v>32858.01038390422</v>
      </c>
      <c r="G41" s="10">
        <f t="shared" si="8"/>
        <v>29188.66952364421</v>
      </c>
      <c r="H41" s="10">
        <f t="shared" si="9"/>
        <v>29188.66952364421</v>
      </c>
      <c r="I41" s="10">
        <f t="shared" si="10"/>
        <v>29188.66952364421</v>
      </c>
      <c r="J41" s="10">
        <f t="shared" si="11"/>
        <v>35667.749728918832</v>
      </c>
      <c r="K41" s="10">
        <f t="shared" si="12"/>
        <v>41949.570983444479</v>
      </c>
      <c r="L41" s="10">
        <f t="shared" si="13"/>
        <v>41949.570983444486</v>
      </c>
      <c r="M41" s="10">
        <f t="shared" si="14"/>
        <v>41949.570983444486</v>
      </c>
      <c r="N41" s="10">
        <f t="shared" si="15"/>
        <v>35262.848029803041</v>
      </c>
      <c r="O41" s="10">
        <f t="shared" si="16"/>
        <v>35262.848029803041</v>
      </c>
      <c r="P41" s="10">
        <f t="shared" si="17"/>
        <v>35262.848029803041</v>
      </c>
      <c r="Q41" s="10">
        <f t="shared" si="18"/>
        <v>35262.848029803041</v>
      </c>
      <c r="R41" s="10">
        <f t="shared" si="19"/>
        <v>35262.848029803041</v>
      </c>
      <c r="S41" s="10">
        <f t="shared" si="20"/>
        <v>35262.848029803041</v>
      </c>
      <c r="T41" s="10">
        <f t="shared" si="21"/>
        <v>35262.848029803041</v>
      </c>
      <c r="U41" s="10">
        <f t="shared" si="22"/>
        <v>35262.848029803041</v>
      </c>
      <c r="V41" s="10">
        <f>SUM(Table27[[#This Row],[Payment 1 - 9/1/22]:[Payment 18 -2038]])</f>
        <v>609849.63689856394</v>
      </c>
    </row>
    <row r="42" spans="1:22" x14ac:dyDescent="0.3">
      <c r="A42" s="4" t="s">
        <v>224</v>
      </c>
      <c r="B42" s="4">
        <v>51</v>
      </c>
      <c r="C42" s="4">
        <v>0.11598644298672799</v>
      </c>
      <c r="D42" s="10">
        <f t="shared" si="5"/>
        <v>533788.66139818274</v>
      </c>
      <c r="E42" s="10">
        <f t="shared" si="6"/>
        <v>267810.08632369502</v>
      </c>
      <c r="F42" s="10">
        <f t="shared" si="7"/>
        <v>575006.0392557797</v>
      </c>
      <c r="G42" s="10">
        <f t="shared" si="8"/>
        <v>510793.59516418452</v>
      </c>
      <c r="H42" s="10">
        <f t="shared" si="9"/>
        <v>510793.59516418452</v>
      </c>
      <c r="I42" s="10">
        <f t="shared" si="10"/>
        <v>510793.59516418452</v>
      </c>
      <c r="J42" s="10">
        <f t="shared" si="11"/>
        <v>624175.69600740715</v>
      </c>
      <c r="K42" s="10">
        <f t="shared" si="12"/>
        <v>734105.82009815169</v>
      </c>
      <c r="L42" s="10">
        <f t="shared" si="13"/>
        <v>734105.8200981518</v>
      </c>
      <c r="M42" s="10">
        <f t="shared" si="14"/>
        <v>734105.8200981518</v>
      </c>
      <c r="N42" s="10">
        <f t="shared" si="15"/>
        <v>617090.02893334231</v>
      </c>
      <c r="O42" s="10">
        <f t="shared" si="16"/>
        <v>617090.02893334243</v>
      </c>
      <c r="P42" s="10">
        <f t="shared" si="17"/>
        <v>617090.02893334243</v>
      </c>
      <c r="Q42" s="10">
        <f t="shared" si="18"/>
        <v>617090.02893334243</v>
      </c>
      <c r="R42" s="10">
        <f t="shared" si="19"/>
        <v>617090.02893334243</v>
      </c>
      <c r="S42" s="10">
        <f t="shared" si="20"/>
        <v>617090.02893334243</v>
      </c>
      <c r="T42" s="10">
        <f t="shared" si="21"/>
        <v>617090.02893334243</v>
      </c>
      <c r="U42" s="10">
        <f t="shared" si="22"/>
        <v>617090.02893334243</v>
      </c>
      <c r="V42" s="10">
        <f>SUM(Table27[[#This Row],[Payment 1 - 9/1/22]:[Payment 18 -2038]])</f>
        <v>10672198.960238812</v>
      </c>
    </row>
    <row r="43" spans="1:22" x14ac:dyDescent="0.3">
      <c r="A43" s="4" t="s">
        <v>225</v>
      </c>
      <c r="B43" s="4">
        <v>52</v>
      </c>
      <c r="C43" s="4">
        <v>4.4444444444444453E-3</v>
      </c>
      <c r="D43" s="10">
        <f t="shared" si="5"/>
        <v>20454.063333333339</v>
      </c>
      <c r="E43" s="10">
        <f t="shared" si="6"/>
        <v>10262.122190122967</v>
      </c>
      <c r="F43" s="10">
        <f t="shared" si="7"/>
        <v>22033.457798035786</v>
      </c>
      <c r="G43" s="10">
        <f t="shared" si="8"/>
        <v>19572.923333333336</v>
      </c>
      <c r="H43" s="10">
        <f t="shared" si="9"/>
        <v>19572.923333333336</v>
      </c>
      <c r="I43" s="10">
        <f t="shared" si="10"/>
        <v>19572.923333333336</v>
      </c>
      <c r="J43" s="10">
        <f t="shared" si="11"/>
        <v>23917.57289078</v>
      </c>
      <c r="K43" s="10">
        <f t="shared" si="12"/>
        <v>28129.947343439999</v>
      </c>
      <c r="L43" s="10">
        <f t="shared" si="13"/>
        <v>28129.947343440002</v>
      </c>
      <c r="M43" s="10">
        <f t="shared" si="14"/>
        <v>28129.947343440002</v>
      </c>
      <c r="N43" s="10">
        <f t="shared" si="15"/>
        <v>23646.059661720003</v>
      </c>
      <c r="O43" s="10">
        <f t="shared" si="16"/>
        <v>23646.059661720006</v>
      </c>
      <c r="P43" s="10">
        <f t="shared" si="17"/>
        <v>23646.059661720006</v>
      </c>
      <c r="Q43" s="10">
        <f t="shared" si="18"/>
        <v>23646.059661720006</v>
      </c>
      <c r="R43" s="10">
        <f t="shared" si="19"/>
        <v>23646.059661720006</v>
      </c>
      <c r="S43" s="10">
        <f t="shared" si="20"/>
        <v>23646.059661720006</v>
      </c>
      <c r="T43" s="10">
        <f t="shared" si="21"/>
        <v>23646.059661720006</v>
      </c>
      <c r="U43" s="10">
        <f t="shared" si="22"/>
        <v>23646.059661720006</v>
      </c>
      <c r="V43" s="10">
        <f>SUM(Table27[[#This Row],[Payment 1 - 9/1/22]:[Payment 18 -2038]])</f>
        <v>408944.30553635216</v>
      </c>
    </row>
    <row r="44" spans="1:22" x14ac:dyDescent="0.3">
      <c r="A44" s="4" t="s">
        <v>226</v>
      </c>
      <c r="B44" s="4">
        <v>54</v>
      </c>
      <c r="C44" s="4">
        <v>1.0345289760991229E-2</v>
      </c>
      <c r="D44" s="10">
        <f t="shared" si="5"/>
        <v>47610.722693924879</v>
      </c>
      <c r="E44" s="10">
        <f t="shared" si="6"/>
        <v>23887.041214391997</v>
      </c>
      <c r="F44" s="10">
        <f t="shared" si="7"/>
        <v>51287.063705381683</v>
      </c>
      <c r="G44" s="10">
        <f t="shared" si="8"/>
        <v>45559.701754424917</v>
      </c>
      <c r="H44" s="10">
        <f t="shared" si="9"/>
        <v>45559.701754424917</v>
      </c>
      <c r="I44" s="10">
        <f t="shared" si="10"/>
        <v>45559.701754424917</v>
      </c>
      <c r="J44" s="10">
        <f t="shared" si="11"/>
        <v>55672.699935318233</v>
      </c>
      <c r="K44" s="10">
        <f t="shared" si="12"/>
        <v>65477.802651595244</v>
      </c>
      <c r="L44" s="10">
        <f t="shared" si="13"/>
        <v>65477.802651595252</v>
      </c>
      <c r="M44" s="10">
        <f t="shared" si="14"/>
        <v>65477.802651595252</v>
      </c>
      <c r="N44" s="10">
        <f t="shared" si="15"/>
        <v>55040.701253890416</v>
      </c>
      <c r="O44" s="10">
        <f t="shared" si="16"/>
        <v>55040.701253890424</v>
      </c>
      <c r="P44" s="10">
        <f t="shared" si="17"/>
        <v>55040.701253890424</v>
      </c>
      <c r="Q44" s="10">
        <f t="shared" si="18"/>
        <v>55040.701253890424</v>
      </c>
      <c r="R44" s="10">
        <f t="shared" si="19"/>
        <v>55040.701253890424</v>
      </c>
      <c r="S44" s="10">
        <f t="shared" si="20"/>
        <v>55040.701253890424</v>
      </c>
      <c r="T44" s="10">
        <f t="shared" si="21"/>
        <v>55040.701253890424</v>
      </c>
      <c r="U44" s="10">
        <f t="shared" si="22"/>
        <v>55040.701253890424</v>
      </c>
      <c r="V44" s="10">
        <f>SUM(Table27[[#This Row],[Payment 1 - 9/1/22]:[Payment 18 -2038]])</f>
        <v>951895.65079820063</v>
      </c>
    </row>
    <row r="45" spans="1:22" x14ac:dyDescent="0.3">
      <c r="A45" s="4" t="s">
        <v>227</v>
      </c>
      <c r="B45" s="4">
        <v>59</v>
      </c>
      <c r="C45" s="4">
        <v>2.9683704062236369E-3</v>
      </c>
      <c r="D45" s="10">
        <f t="shared" si="5"/>
        <v>13660.9281642804</v>
      </c>
      <c r="E45" s="10">
        <f t="shared" si="6"/>
        <v>6853.9004581976778</v>
      </c>
      <c r="F45" s="10">
        <f t="shared" si="7"/>
        <v>14715.779416755038</v>
      </c>
      <c r="G45" s="10">
        <f t="shared" si="8"/>
        <v>13072.429436838922</v>
      </c>
      <c r="H45" s="10">
        <f t="shared" si="9"/>
        <v>13072.429436838922</v>
      </c>
      <c r="I45" s="10">
        <f t="shared" si="10"/>
        <v>13072.429436838922</v>
      </c>
      <c r="J45" s="10">
        <f t="shared" si="11"/>
        <v>15974.148500479814</v>
      </c>
      <c r="K45" s="10">
        <f t="shared" si="12"/>
        <v>18787.523225151712</v>
      </c>
      <c r="L45" s="10">
        <f t="shared" si="13"/>
        <v>18787.523225151712</v>
      </c>
      <c r="M45" s="10">
        <f t="shared" si="14"/>
        <v>18787.523225151712</v>
      </c>
      <c r="N45" s="10">
        <f t="shared" si="15"/>
        <v>15792.809337820832</v>
      </c>
      <c r="O45" s="10">
        <f t="shared" si="16"/>
        <v>15792.809337820834</v>
      </c>
      <c r="P45" s="10">
        <f t="shared" si="17"/>
        <v>15792.809337820834</v>
      </c>
      <c r="Q45" s="10">
        <f t="shared" si="18"/>
        <v>15792.809337820834</v>
      </c>
      <c r="R45" s="10">
        <f t="shared" si="19"/>
        <v>15792.809337820834</v>
      </c>
      <c r="S45" s="10">
        <f t="shared" si="20"/>
        <v>15792.809337820834</v>
      </c>
      <c r="T45" s="10">
        <f t="shared" si="21"/>
        <v>15792.809337820834</v>
      </c>
      <c r="U45" s="10">
        <f t="shared" si="22"/>
        <v>15792.809337820834</v>
      </c>
      <c r="V45" s="10">
        <f>SUM(Table27[[#This Row],[Payment 1 - 9/1/22]:[Payment 18 -2038]])</f>
        <v>273127.08922825148</v>
      </c>
    </row>
    <row r="46" spans="1:22" x14ac:dyDescent="0.3">
      <c r="A46" s="4" t="s">
        <v>228</v>
      </c>
      <c r="B46" s="4">
        <v>63</v>
      </c>
      <c r="C46" s="4">
        <v>1.514009930984315E-2</v>
      </c>
      <c r="D46" s="10">
        <f t="shared" si="5"/>
        <v>69677.223785209819</v>
      </c>
      <c r="E46" s="10">
        <f t="shared" si="6"/>
        <v>34958.148544846525</v>
      </c>
      <c r="F46" s="10">
        <f t="shared" si="7"/>
        <v>75057.466320337437</v>
      </c>
      <c r="G46" s="10">
        <f t="shared" si="8"/>
        <v>66675.600686387901</v>
      </c>
      <c r="H46" s="10">
        <f t="shared" si="9"/>
        <v>66675.600686387901</v>
      </c>
      <c r="I46" s="10">
        <f t="shared" si="10"/>
        <v>66675.600686387901</v>
      </c>
      <c r="J46" s="10">
        <f t="shared" si="11"/>
        <v>81475.746483784824</v>
      </c>
      <c r="K46" s="10">
        <f t="shared" si="12"/>
        <v>95825.294181076504</v>
      </c>
      <c r="L46" s="10">
        <f t="shared" si="13"/>
        <v>95825.294181076519</v>
      </c>
      <c r="M46" s="10">
        <f t="shared" si="14"/>
        <v>95825.294181076519</v>
      </c>
      <c r="N46" s="10">
        <f t="shared" si="15"/>
        <v>80550.830602106304</v>
      </c>
      <c r="O46" s="10">
        <f t="shared" si="16"/>
        <v>80550.830602106318</v>
      </c>
      <c r="P46" s="10">
        <f t="shared" si="17"/>
        <v>80550.830602106318</v>
      </c>
      <c r="Q46" s="10">
        <f t="shared" si="18"/>
        <v>80550.830602106318</v>
      </c>
      <c r="R46" s="10">
        <f t="shared" si="19"/>
        <v>80550.830602106318</v>
      </c>
      <c r="S46" s="10">
        <f t="shared" si="20"/>
        <v>80550.830602106318</v>
      </c>
      <c r="T46" s="10">
        <f t="shared" si="21"/>
        <v>80550.830602106318</v>
      </c>
      <c r="U46" s="10">
        <f t="shared" si="22"/>
        <v>80550.830602106318</v>
      </c>
      <c r="V46" s="10">
        <f>SUM(Table27[[#This Row],[Payment 1 - 9/1/22]:[Payment 18 -2038]])</f>
        <v>1393077.9145534227</v>
      </c>
    </row>
    <row r="47" spans="1:22" x14ac:dyDescent="0.3">
      <c r="A47" s="4" t="s">
        <v>229</v>
      </c>
      <c r="B47" s="4">
        <v>65</v>
      </c>
      <c r="C47" s="4">
        <v>2.5649193650444484E-2</v>
      </c>
      <c r="D47" s="10">
        <f t="shared" si="5"/>
        <v>118041.8020594026</v>
      </c>
      <c r="E47" s="10">
        <f t="shared" si="6"/>
        <v>59223.41084677216</v>
      </c>
      <c r="F47" s="10">
        <f t="shared" si="7"/>
        <v>127156.59581641108</v>
      </c>
      <c r="G47" s="10">
        <f t="shared" si="8"/>
        <v>112956.68269844326</v>
      </c>
      <c r="H47" s="10">
        <f t="shared" si="9"/>
        <v>112956.68269844326</v>
      </c>
      <c r="I47" s="10">
        <f t="shared" si="10"/>
        <v>112956.68269844326</v>
      </c>
      <c r="J47" s="10">
        <f t="shared" si="11"/>
        <v>138029.95321295341</v>
      </c>
      <c r="K47" s="10">
        <f t="shared" si="12"/>
        <v>162339.85502745723</v>
      </c>
      <c r="L47" s="10">
        <f t="shared" si="13"/>
        <v>162339.85502745723</v>
      </c>
      <c r="M47" s="10">
        <f t="shared" si="14"/>
        <v>162339.85502745723</v>
      </c>
      <c r="N47" s="10">
        <f t="shared" si="15"/>
        <v>136463.03175001949</v>
      </c>
      <c r="O47" s="10">
        <f t="shared" si="16"/>
        <v>136463.03175001952</v>
      </c>
      <c r="P47" s="10">
        <f t="shared" si="17"/>
        <v>136463.03175001952</v>
      </c>
      <c r="Q47" s="10">
        <f t="shared" si="18"/>
        <v>136463.03175001952</v>
      </c>
      <c r="R47" s="10">
        <f t="shared" si="19"/>
        <v>136463.03175001952</v>
      </c>
      <c r="S47" s="10">
        <f t="shared" si="20"/>
        <v>136463.03175001952</v>
      </c>
      <c r="T47" s="10">
        <f t="shared" si="21"/>
        <v>136463.03175001952</v>
      </c>
      <c r="U47" s="10">
        <f t="shared" si="22"/>
        <v>136463.03175001952</v>
      </c>
      <c r="V47" s="10">
        <f>SUM(Table27[[#This Row],[Payment 1 - 9/1/22]:[Payment 18 -2038]])</f>
        <v>2360045.6291133976</v>
      </c>
    </row>
    <row r="48" spans="1:22" x14ac:dyDescent="0.3">
      <c r="A48" s="4" t="s">
        <v>230</v>
      </c>
      <c r="B48" s="4">
        <v>66</v>
      </c>
      <c r="C48" s="4">
        <v>2.2222222222222227E-3</v>
      </c>
      <c r="D48" s="10">
        <f t="shared" si="5"/>
        <v>10227.031666666669</v>
      </c>
      <c r="E48" s="10">
        <f t="shared" si="6"/>
        <v>5131.0610950614837</v>
      </c>
      <c r="F48" s="10">
        <f t="shared" si="7"/>
        <v>11016.728899017893</v>
      </c>
      <c r="G48" s="10">
        <f t="shared" si="8"/>
        <v>9786.461666666668</v>
      </c>
      <c r="H48" s="10">
        <f t="shared" si="9"/>
        <v>9786.461666666668</v>
      </c>
      <c r="I48" s="10">
        <f t="shared" si="10"/>
        <v>9786.461666666668</v>
      </c>
      <c r="J48" s="10">
        <f t="shared" si="11"/>
        <v>11958.78644539</v>
      </c>
      <c r="K48" s="10">
        <f t="shared" si="12"/>
        <v>14064.973671719999</v>
      </c>
      <c r="L48" s="10">
        <f t="shared" si="13"/>
        <v>14064.973671720001</v>
      </c>
      <c r="M48" s="10">
        <f t="shared" si="14"/>
        <v>14064.973671720001</v>
      </c>
      <c r="N48" s="10">
        <f t="shared" si="15"/>
        <v>11823.029830860001</v>
      </c>
      <c r="O48" s="10">
        <f t="shared" si="16"/>
        <v>11823.029830860003</v>
      </c>
      <c r="P48" s="10">
        <f t="shared" si="17"/>
        <v>11823.029830860003</v>
      </c>
      <c r="Q48" s="10">
        <f t="shared" si="18"/>
        <v>11823.029830860003</v>
      </c>
      <c r="R48" s="10">
        <f t="shared" si="19"/>
        <v>11823.029830860003</v>
      </c>
      <c r="S48" s="10">
        <f t="shared" si="20"/>
        <v>11823.029830860003</v>
      </c>
      <c r="T48" s="10">
        <f t="shared" si="21"/>
        <v>11823.029830860003</v>
      </c>
      <c r="U48" s="10">
        <f t="shared" si="22"/>
        <v>11823.029830860003</v>
      </c>
      <c r="V48" s="10">
        <f>SUM(Table27[[#This Row],[Payment 1 - 9/1/22]:[Payment 18 -2038]])</f>
        <v>204472.15276817608</v>
      </c>
    </row>
    <row r="49" spans="1:22" x14ac:dyDescent="0.3">
      <c r="A49" s="4" t="s">
        <v>231</v>
      </c>
      <c r="B49" s="4">
        <v>67</v>
      </c>
      <c r="C49" s="4">
        <v>3.3009551747494321E-2</v>
      </c>
      <c r="D49" s="10">
        <f t="shared" si="5"/>
        <v>151915.3789608434</v>
      </c>
      <c r="E49" s="10">
        <f t="shared" si="6"/>
        <v>76218.312031644091</v>
      </c>
      <c r="F49" s="10">
        <f t="shared" si="7"/>
        <v>163645.77720611126</v>
      </c>
      <c r="G49" s="10">
        <f t="shared" si="8"/>
        <v>145371.02076481629</v>
      </c>
      <c r="H49" s="10">
        <f t="shared" si="9"/>
        <v>145371.02076481629</v>
      </c>
      <c r="I49" s="10">
        <f t="shared" si="10"/>
        <v>145371.02076481629</v>
      </c>
      <c r="J49" s="10">
        <f t="shared" si="11"/>
        <v>177639.38100285069</v>
      </c>
      <c r="K49" s="10">
        <f t="shared" si="12"/>
        <v>208925.31430970391</v>
      </c>
      <c r="L49" s="10">
        <f t="shared" si="13"/>
        <v>208925.31430970394</v>
      </c>
      <c r="M49" s="10">
        <f t="shared" si="14"/>
        <v>208925.31430970394</v>
      </c>
      <c r="N49" s="10">
        <f t="shared" si="15"/>
        <v>175622.81175627396</v>
      </c>
      <c r="O49" s="10">
        <f t="shared" si="16"/>
        <v>175622.81175627399</v>
      </c>
      <c r="P49" s="10">
        <f t="shared" si="17"/>
        <v>175622.81175627399</v>
      </c>
      <c r="Q49" s="10">
        <f t="shared" si="18"/>
        <v>175622.81175627399</v>
      </c>
      <c r="R49" s="10">
        <f t="shared" si="19"/>
        <v>175622.81175627399</v>
      </c>
      <c r="S49" s="10">
        <f t="shared" si="20"/>
        <v>175622.81175627399</v>
      </c>
      <c r="T49" s="10">
        <f t="shared" si="21"/>
        <v>175622.81175627399</v>
      </c>
      <c r="U49" s="10">
        <f t="shared" si="22"/>
        <v>175622.81175627399</v>
      </c>
      <c r="V49" s="10">
        <f>SUM(Table27[[#This Row],[Payment 1 - 9/1/22]:[Payment 18 -2038]])</f>
        <v>3037290.3484752029</v>
      </c>
    </row>
    <row r="50" spans="1:22" x14ac:dyDescent="0.3">
      <c r="A50" s="4" t="s">
        <v>71</v>
      </c>
      <c r="B50" s="4">
        <v>68</v>
      </c>
      <c r="C50" s="4">
        <v>4.0637108325118999E-2</v>
      </c>
      <c r="D50" s="10">
        <f t="shared" si="5"/>
        <v>187018.64715724005</v>
      </c>
      <c r="E50" s="10">
        <f t="shared" si="6"/>
        <v>93830.168494267724</v>
      </c>
      <c r="F50" s="10">
        <f t="shared" si="7"/>
        <v>201459.60254603656</v>
      </c>
      <c r="G50" s="10">
        <f t="shared" si="8"/>
        <v>178962.07629058108</v>
      </c>
      <c r="H50" s="10">
        <f t="shared" si="9"/>
        <v>178962.07629058108</v>
      </c>
      <c r="I50" s="10">
        <f t="shared" si="10"/>
        <v>178962.07629058108</v>
      </c>
      <c r="J50" s="10">
        <f t="shared" si="11"/>
        <v>218686.72509822517</v>
      </c>
      <c r="K50" s="10">
        <f t="shared" si="12"/>
        <v>257201.93640943451</v>
      </c>
      <c r="L50" s="10">
        <f t="shared" si="13"/>
        <v>257201.93640943454</v>
      </c>
      <c r="M50" s="10">
        <f t="shared" si="14"/>
        <v>257201.93640943454</v>
      </c>
      <c r="N50" s="10">
        <f t="shared" si="15"/>
        <v>216204.184785497</v>
      </c>
      <c r="O50" s="10">
        <f t="shared" si="16"/>
        <v>216204.18478549705</v>
      </c>
      <c r="P50" s="10">
        <f t="shared" si="17"/>
        <v>216204.18478549705</v>
      </c>
      <c r="Q50" s="10">
        <f t="shared" si="18"/>
        <v>216204.18478549705</v>
      </c>
      <c r="R50" s="10">
        <f t="shared" si="19"/>
        <v>216204.18478549705</v>
      </c>
      <c r="S50" s="10">
        <f t="shared" si="20"/>
        <v>216204.18478549705</v>
      </c>
      <c r="T50" s="10">
        <f t="shared" si="21"/>
        <v>216204.18478549705</v>
      </c>
      <c r="U50" s="10">
        <f t="shared" si="22"/>
        <v>216204.18478549705</v>
      </c>
      <c r="V50" s="10">
        <f>SUM(Table27[[#This Row],[Payment 1 - 9/1/22]:[Payment 18 -2038]])</f>
        <v>3739120.6596797919</v>
      </c>
    </row>
    <row r="51" spans="1:22" x14ac:dyDescent="0.3">
      <c r="A51" s="4" t="s">
        <v>72</v>
      </c>
      <c r="B51" s="4">
        <v>69</v>
      </c>
      <c r="C51" s="4">
        <v>3.6255723863374445E-2</v>
      </c>
      <c r="D51" s="10">
        <f t="shared" si="5"/>
        <v>166854.79622189375</v>
      </c>
      <c r="E51" s="10">
        <f t="shared" si="6"/>
        <v>83713.650384893757</v>
      </c>
      <c r="F51" s="10">
        <f t="shared" si="7"/>
        <v>179738.76637820242</v>
      </c>
      <c r="G51" s="10">
        <f t="shared" si="8"/>
        <v>159666.86330377465</v>
      </c>
      <c r="H51" s="10">
        <f t="shared" si="9"/>
        <v>159666.86330377465</v>
      </c>
      <c r="I51" s="10">
        <f t="shared" si="10"/>
        <v>159666.86330377465</v>
      </c>
      <c r="J51" s="10">
        <f t="shared" si="11"/>
        <v>195108.50659730626</v>
      </c>
      <c r="K51" s="10">
        <f t="shared" si="12"/>
        <v>229471.1107143804</v>
      </c>
      <c r="L51" s="10">
        <f t="shared" si="13"/>
        <v>229471.11071438043</v>
      </c>
      <c r="M51" s="10">
        <f t="shared" si="14"/>
        <v>229471.11071438043</v>
      </c>
      <c r="N51" s="10">
        <f t="shared" si="15"/>
        <v>192893.62714924445</v>
      </c>
      <c r="O51" s="10">
        <f t="shared" si="16"/>
        <v>192893.62714924448</v>
      </c>
      <c r="P51" s="10">
        <f t="shared" si="17"/>
        <v>192893.62714924448</v>
      </c>
      <c r="Q51" s="10">
        <f t="shared" si="18"/>
        <v>192893.62714924448</v>
      </c>
      <c r="R51" s="10">
        <f t="shared" si="19"/>
        <v>192893.62714924448</v>
      </c>
      <c r="S51" s="10">
        <f t="shared" si="20"/>
        <v>192893.62714924448</v>
      </c>
      <c r="T51" s="10">
        <f t="shared" si="21"/>
        <v>192893.62714924448</v>
      </c>
      <c r="U51" s="10">
        <f t="shared" si="22"/>
        <v>192893.62714924448</v>
      </c>
      <c r="V51" s="10">
        <f>SUM(Table27[[#This Row],[Payment 1 - 9/1/22]:[Payment 18 -2038]])</f>
        <v>3335978.6588307163</v>
      </c>
    </row>
    <row r="52" spans="1:22" x14ac:dyDescent="0.3">
      <c r="A52" s="4" t="s">
        <v>73</v>
      </c>
      <c r="B52" s="4">
        <v>70</v>
      </c>
      <c r="C52" s="4">
        <v>2.3542241940984008E-2</v>
      </c>
      <c r="D52" s="10">
        <f t="shared" si="5"/>
        <v>108345.26422564722</v>
      </c>
      <c r="E52" s="10">
        <f t="shared" si="6"/>
        <v>54358.506771258493</v>
      </c>
      <c r="F52" s="10">
        <f t="shared" si="7"/>
        <v>116711.3237125093</v>
      </c>
      <c r="G52" s="10">
        <f t="shared" si="8"/>
        <v>103677.86173627451</v>
      </c>
      <c r="H52" s="10">
        <f t="shared" si="9"/>
        <v>103677.86173627451</v>
      </c>
      <c r="I52" s="10">
        <f t="shared" si="10"/>
        <v>103677.86173627451</v>
      </c>
      <c r="J52" s="10">
        <f t="shared" si="11"/>
        <v>126691.48971806916</v>
      </c>
      <c r="K52" s="10">
        <f t="shared" si="12"/>
        <v>149004.45588294105</v>
      </c>
      <c r="L52" s="10">
        <f t="shared" si="13"/>
        <v>149004.45588294108</v>
      </c>
      <c r="M52" s="10">
        <f t="shared" si="14"/>
        <v>149004.45588294108</v>
      </c>
      <c r="N52" s="10">
        <f t="shared" si="15"/>
        <v>125253.28293910979</v>
      </c>
      <c r="O52" s="10">
        <f t="shared" si="16"/>
        <v>125253.28293910982</v>
      </c>
      <c r="P52" s="10">
        <f t="shared" si="17"/>
        <v>125253.28293910982</v>
      </c>
      <c r="Q52" s="10">
        <f t="shared" si="18"/>
        <v>125253.28293910982</v>
      </c>
      <c r="R52" s="10">
        <f t="shared" si="19"/>
        <v>125253.28293910982</v>
      </c>
      <c r="S52" s="10">
        <f t="shared" si="20"/>
        <v>125253.28293910982</v>
      </c>
      <c r="T52" s="10">
        <f t="shared" si="21"/>
        <v>125253.28293910982</v>
      </c>
      <c r="U52" s="10">
        <f t="shared" si="22"/>
        <v>125253.28293910982</v>
      </c>
      <c r="V52" s="10">
        <f>SUM(Table27[[#This Row],[Payment 1 - 9/1/22]:[Payment 18 -2038]])</f>
        <v>2166179.8007980087</v>
      </c>
    </row>
    <row r="53" spans="1:22" x14ac:dyDescent="0.3">
      <c r="A53" s="4" t="s">
        <v>74</v>
      </c>
      <c r="B53" s="4">
        <v>71</v>
      </c>
      <c r="C53" s="4">
        <v>2.2291836499973707E-2</v>
      </c>
      <c r="D53" s="10">
        <f t="shared" si="5"/>
        <v>102590.69300702412</v>
      </c>
      <c r="E53" s="10">
        <f t="shared" si="6"/>
        <v>51471.348751118974</v>
      </c>
      <c r="F53" s="10">
        <f t="shared" si="7"/>
        <v>110512.40372164898</v>
      </c>
      <c r="G53" s="10">
        <f t="shared" si="8"/>
        <v>98171.191523967078</v>
      </c>
      <c r="H53" s="10">
        <f t="shared" si="9"/>
        <v>98171.191523967078</v>
      </c>
      <c r="I53" s="10">
        <f t="shared" si="10"/>
        <v>98171.191523967078</v>
      </c>
      <c r="J53" s="10">
        <f t="shared" si="11"/>
        <v>119962.49048043102</v>
      </c>
      <c r="K53" s="10">
        <f t="shared" si="12"/>
        <v>141090.34205988765</v>
      </c>
      <c r="L53" s="10">
        <f t="shared" si="13"/>
        <v>141090.34205988768</v>
      </c>
      <c r="M53" s="10">
        <f t="shared" si="14"/>
        <v>141090.34205988768</v>
      </c>
      <c r="N53" s="10">
        <f t="shared" si="15"/>
        <v>118600.6715657293</v>
      </c>
      <c r="O53" s="10">
        <f t="shared" si="16"/>
        <v>118600.67156572932</v>
      </c>
      <c r="P53" s="10">
        <f t="shared" si="17"/>
        <v>118600.67156572932</v>
      </c>
      <c r="Q53" s="10">
        <f t="shared" si="18"/>
        <v>118600.67156572932</v>
      </c>
      <c r="R53" s="10">
        <f t="shared" si="19"/>
        <v>118600.67156572932</v>
      </c>
      <c r="S53" s="10">
        <f t="shared" si="20"/>
        <v>118600.67156572932</v>
      </c>
      <c r="T53" s="10">
        <f t="shared" si="21"/>
        <v>118600.67156572932</v>
      </c>
      <c r="U53" s="10">
        <f t="shared" si="22"/>
        <v>118600.67156572932</v>
      </c>
      <c r="V53" s="10">
        <f>SUM(Table27[[#This Row],[Payment 1 - 9/1/22]:[Payment 18 -2038]])</f>
        <v>2051126.9092376225</v>
      </c>
    </row>
    <row r="54" spans="1:22" x14ac:dyDescent="0.3">
      <c r="A54" s="4" t="s">
        <v>75</v>
      </c>
      <c r="B54" s="4">
        <v>72</v>
      </c>
      <c r="C54" s="4">
        <v>1.7025476236006132E-2</v>
      </c>
      <c r="D54" s="10">
        <f t="shared" si="5"/>
        <v>78354.038072571988</v>
      </c>
      <c r="E54" s="10">
        <f t="shared" si="6"/>
        <v>39311.441432759188</v>
      </c>
      <c r="F54" s="10">
        <f t="shared" si="7"/>
        <v>84404.275230938001</v>
      </c>
      <c r="G54" s="10">
        <f t="shared" si="8"/>
        <v>74978.62674318823</v>
      </c>
      <c r="H54" s="10">
        <f t="shared" si="9"/>
        <v>74978.62674318823</v>
      </c>
      <c r="I54" s="10">
        <f t="shared" si="10"/>
        <v>74978.62674318823</v>
      </c>
      <c r="J54" s="10">
        <f t="shared" si="11"/>
        <v>91621.815496856856</v>
      </c>
      <c r="K54" s="10">
        <f t="shared" si="12"/>
        <v>107758.29375356433</v>
      </c>
      <c r="L54" s="10">
        <f t="shared" si="13"/>
        <v>107758.29375356434</v>
      </c>
      <c r="M54" s="10">
        <f t="shared" si="14"/>
        <v>107758.29375356434</v>
      </c>
      <c r="N54" s="10">
        <f t="shared" si="15"/>
        <v>90581.721040304328</v>
      </c>
      <c r="O54" s="10">
        <f t="shared" si="16"/>
        <v>90581.721040304343</v>
      </c>
      <c r="P54" s="10">
        <f t="shared" si="17"/>
        <v>90581.721040304343</v>
      </c>
      <c r="Q54" s="10">
        <f t="shared" si="18"/>
        <v>90581.721040304343</v>
      </c>
      <c r="R54" s="10">
        <f t="shared" si="19"/>
        <v>90581.721040304343</v>
      </c>
      <c r="S54" s="10">
        <f t="shared" si="20"/>
        <v>90581.721040304343</v>
      </c>
      <c r="T54" s="10">
        <f t="shared" si="21"/>
        <v>90581.721040304343</v>
      </c>
      <c r="U54" s="10">
        <f t="shared" si="22"/>
        <v>90581.721040304343</v>
      </c>
      <c r="V54" s="10">
        <f>SUM(Table27[[#This Row],[Payment 1 - 9/1/22]:[Payment 18 -2038]])</f>
        <v>1566556.1000458181</v>
      </c>
    </row>
    <row r="55" spans="1:22" x14ac:dyDescent="0.3">
      <c r="A55" s="4" t="s">
        <v>76</v>
      </c>
      <c r="B55" s="4">
        <v>73</v>
      </c>
      <c r="C55" s="4">
        <v>3.3589734259177564E-2</v>
      </c>
      <c r="D55" s="10">
        <f t="shared" si="5"/>
        <v>154585.47417458723</v>
      </c>
      <c r="E55" s="10">
        <f t="shared" si="6"/>
        <v>77557.940392823919</v>
      </c>
      <c r="F55" s="10">
        <f t="shared" si="7"/>
        <v>166522.04825553574</v>
      </c>
      <c r="G55" s="10">
        <f t="shared" si="8"/>
        <v>147926.09102443259</v>
      </c>
      <c r="H55" s="10">
        <f t="shared" si="9"/>
        <v>147926.09102443259</v>
      </c>
      <c r="I55" s="10">
        <f t="shared" si="10"/>
        <v>147926.09102443259</v>
      </c>
      <c r="J55" s="10">
        <f t="shared" si="11"/>
        <v>180761.60644330713</v>
      </c>
      <c r="K55" s="10">
        <f t="shared" si="12"/>
        <v>212597.42759793164</v>
      </c>
      <c r="L55" s="10">
        <f t="shared" si="13"/>
        <v>212597.42759793167</v>
      </c>
      <c r="M55" s="10">
        <f t="shared" si="14"/>
        <v>212597.42759793167</v>
      </c>
      <c r="N55" s="10">
        <f t="shared" si="15"/>
        <v>178709.5935706124</v>
      </c>
      <c r="O55" s="10">
        <f t="shared" si="16"/>
        <v>178709.59357061243</v>
      </c>
      <c r="P55" s="10">
        <f t="shared" si="17"/>
        <v>178709.59357061243</v>
      </c>
      <c r="Q55" s="10">
        <f t="shared" si="18"/>
        <v>178709.59357061243</v>
      </c>
      <c r="R55" s="10">
        <f t="shared" si="19"/>
        <v>178709.59357061243</v>
      </c>
      <c r="S55" s="10">
        <f t="shared" si="20"/>
        <v>178709.59357061243</v>
      </c>
      <c r="T55" s="10">
        <f t="shared" si="21"/>
        <v>178709.59357061243</v>
      </c>
      <c r="U55" s="10">
        <f t="shared" si="22"/>
        <v>178709.59357061243</v>
      </c>
      <c r="V55" s="10">
        <f>SUM(Table27[[#This Row],[Payment 1 - 9/1/22]:[Payment 18 -2038]])</f>
        <v>3090674.3736982457</v>
      </c>
    </row>
    <row r="56" spans="1:22" x14ac:dyDescent="0.3">
      <c r="A56" s="4" t="s">
        <v>77</v>
      </c>
      <c r="B56" s="4">
        <v>74</v>
      </c>
      <c r="C56" s="4">
        <v>1.9670095685887977E-2</v>
      </c>
      <c r="D56" s="10">
        <f t="shared" si="5"/>
        <v>90525.011159672882</v>
      </c>
      <c r="E56" s="10">
        <f t="shared" si="6"/>
        <v>45417.808219498424</v>
      </c>
      <c r="F56" s="10">
        <f t="shared" si="7"/>
        <v>97515.050215126146</v>
      </c>
      <c r="G56" s="10">
        <f t="shared" si="8"/>
        <v>86625.286834323633</v>
      </c>
      <c r="H56" s="10">
        <f t="shared" si="9"/>
        <v>86625.286834323633</v>
      </c>
      <c r="I56" s="10">
        <f t="shared" si="10"/>
        <v>86625.286834323633</v>
      </c>
      <c r="J56" s="10">
        <f t="shared" si="11"/>
        <v>105853.71315056464</v>
      </c>
      <c r="K56" s="10">
        <f t="shared" si="12"/>
        <v>124496.72007400237</v>
      </c>
      <c r="L56" s="10">
        <f t="shared" si="13"/>
        <v>124496.72007400238</v>
      </c>
      <c r="M56" s="10">
        <f t="shared" si="14"/>
        <v>124496.72007400238</v>
      </c>
      <c r="N56" s="10">
        <f t="shared" si="15"/>
        <v>104652.05763155586</v>
      </c>
      <c r="O56" s="10">
        <f t="shared" si="16"/>
        <v>104652.05763155587</v>
      </c>
      <c r="P56" s="10">
        <f t="shared" si="17"/>
        <v>104652.05763155587</v>
      </c>
      <c r="Q56" s="10">
        <f t="shared" si="18"/>
        <v>104652.05763155587</v>
      </c>
      <c r="R56" s="10">
        <f t="shared" si="19"/>
        <v>104652.05763155587</v>
      </c>
      <c r="S56" s="10">
        <f t="shared" si="20"/>
        <v>104652.05763155587</v>
      </c>
      <c r="T56" s="10">
        <f t="shared" si="21"/>
        <v>104652.05763155587</v>
      </c>
      <c r="U56" s="10">
        <f t="shared" si="22"/>
        <v>104652.05763155587</v>
      </c>
      <c r="V56" s="10">
        <f>SUM(Table27[[#This Row],[Payment 1 - 9/1/22]:[Payment 18 -2038]])</f>
        <v>1809894.0645222878</v>
      </c>
    </row>
    <row r="57" spans="1:22" x14ac:dyDescent="0.3">
      <c r="A57" s="4" t="s">
        <v>78</v>
      </c>
      <c r="B57" s="4">
        <v>75</v>
      </c>
      <c r="C57" s="4">
        <v>1.800133804746315E-2</v>
      </c>
      <c r="D57" s="10">
        <f t="shared" si="5"/>
        <v>82845.114414199707</v>
      </c>
      <c r="E57" s="10">
        <f t="shared" si="6"/>
        <v>41564.684391474686</v>
      </c>
      <c r="F57" s="10">
        <f t="shared" si="7"/>
        <v>89242.137489814908</v>
      </c>
      <c r="G57" s="10">
        <f t="shared" si="8"/>
        <v>79276.23213759283</v>
      </c>
      <c r="H57" s="10">
        <f t="shared" si="9"/>
        <v>79276.23213759283</v>
      </c>
      <c r="I57" s="10">
        <f t="shared" si="10"/>
        <v>79276.23213759283</v>
      </c>
      <c r="J57" s="10">
        <f t="shared" si="11"/>
        <v>96873.37084839851</v>
      </c>
      <c r="K57" s="10">
        <f t="shared" si="12"/>
        <v>113934.75556198529</v>
      </c>
      <c r="L57" s="10">
        <f t="shared" si="13"/>
        <v>113934.75556198531</v>
      </c>
      <c r="M57" s="10">
        <f t="shared" si="14"/>
        <v>113934.75556198531</v>
      </c>
      <c r="N57" s="10">
        <f t="shared" si="15"/>
        <v>95773.660528748354</v>
      </c>
      <c r="O57" s="10">
        <f t="shared" si="16"/>
        <v>95773.660528748384</v>
      </c>
      <c r="P57" s="10">
        <f t="shared" si="17"/>
        <v>95773.660528748384</v>
      </c>
      <c r="Q57" s="10">
        <f t="shared" si="18"/>
        <v>95773.660528748384</v>
      </c>
      <c r="R57" s="10">
        <f t="shared" si="19"/>
        <v>95773.660528748384</v>
      </c>
      <c r="S57" s="10">
        <f t="shared" si="20"/>
        <v>95773.660528748384</v>
      </c>
      <c r="T57" s="10">
        <f t="shared" si="21"/>
        <v>95773.660528748384</v>
      </c>
      <c r="U57" s="10">
        <f t="shared" si="22"/>
        <v>95773.660528748384</v>
      </c>
      <c r="V57" s="10">
        <f>SUM(Table27[[#This Row],[Payment 1 - 9/1/22]:[Payment 18 -2038]])</f>
        <v>1656347.5544726087</v>
      </c>
    </row>
    <row r="58" spans="1:22" x14ac:dyDescent="0.3">
      <c r="A58" s="4" t="s">
        <v>79</v>
      </c>
      <c r="B58" s="4">
        <v>76</v>
      </c>
      <c r="C58" s="4">
        <v>2.6954678464726406E-2</v>
      </c>
      <c r="D58" s="10">
        <f t="shared" si="5"/>
        <v>124049.85760060875</v>
      </c>
      <c r="E58" s="10">
        <f t="shared" si="6"/>
        <v>62237.745900112153</v>
      </c>
      <c r="F58" s="10">
        <f t="shared" si="7"/>
        <v>133628.57334273896</v>
      </c>
      <c r="G58" s="10">
        <f t="shared" si="8"/>
        <v>118705.91738956672</v>
      </c>
      <c r="H58" s="10">
        <f t="shared" si="9"/>
        <v>118705.91738956672</v>
      </c>
      <c r="I58" s="10">
        <f t="shared" si="10"/>
        <v>118705.91738956672</v>
      </c>
      <c r="J58" s="10">
        <f t="shared" si="11"/>
        <v>145055.35955871711</v>
      </c>
      <c r="K58" s="10">
        <f t="shared" si="12"/>
        <v>170602.57932122471</v>
      </c>
      <c r="L58" s="10">
        <f t="shared" si="13"/>
        <v>170602.57932122474</v>
      </c>
      <c r="M58" s="10">
        <f t="shared" si="14"/>
        <v>170602.57932122474</v>
      </c>
      <c r="N58" s="10">
        <f t="shared" si="15"/>
        <v>143408.68540636497</v>
      </c>
      <c r="O58" s="10">
        <f t="shared" si="16"/>
        <v>143408.68540636497</v>
      </c>
      <c r="P58" s="10">
        <f t="shared" si="17"/>
        <v>143408.68540636497</v>
      </c>
      <c r="Q58" s="10">
        <f t="shared" si="18"/>
        <v>143408.68540636497</v>
      </c>
      <c r="R58" s="10">
        <f t="shared" si="19"/>
        <v>143408.68540636497</v>
      </c>
      <c r="S58" s="10">
        <f t="shared" si="20"/>
        <v>143408.68540636497</v>
      </c>
      <c r="T58" s="10">
        <f t="shared" si="21"/>
        <v>143408.68540636497</v>
      </c>
      <c r="U58" s="10">
        <f t="shared" si="22"/>
        <v>143408.68540636497</v>
      </c>
      <c r="V58" s="10">
        <f>SUM(Table27[[#This Row],[Payment 1 - 9/1/22]:[Payment 18 -2038]])</f>
        <v>2480166.509785471</v>
      </c>
    </row>
    <row r="59" spans="1:22" x14ac:dyDescent="0.3">
      <c r="A59" s="4" t="s">
        <v>80</v>
      </c>
      <c r="B59" s="4">
        <v>77</v>
      </c>
      <c r="C59" s="4">
        <v>5.0635952115548298E-3</v>
      </c>
      <c r="D59" s="10">
        <f t="shared" si="5"/>
        <v>23303.496859088824</v>
      </c>
      <c r="E59" s="10">
        <f t="shared" si="6"/>
        <v>11691.727376016872</v>
      </c>
      <c r="F59" s="10">
        <f t="shared" si="7"/>
        <v>25102.915065029116</v>
      </c>
      <c r="G59" s="10">
        <f t="shared" si="8"/>
        <v>22299.606195029206</v>
      </c>
      <c r="H59" s="10">
        <f t="shared" si="9"/>
        <v>22299.606195029206</v>
      </c>
      <c r="I59" s="10">
        <f t="shared" si="10"/>
        <v>22299.606195029206</v>
      </c>
      <c r="J59" s="10">
        <f t="shared" si="11"/>
        <v>27249.50420139762</v>
      </c>
      <c r="K59" s="10">
        <f t="shared" si="12"/>
        <v>32048.70000064476</v>
      </c>
      <c r="L59" s="10">
        <f t="shared" si="13"/>
        <v>32048.700000644763</v>
      </c>
      <c r="M59" s="10">
        <f t="shared" si="14"/>
        <v>32048.700000644763</v>
      </c>
      <c r="N59" s="10">
        <f t="shared" si="15"/>
        <v>26940.166756925672</v>
      </c>
      <c r="O59" s="10">
        <f t="shared" si="16"/>
        <v>26940.166756925675</v>
      </c>
      <c r="P59" s="10">
        <f t="shared" si="17"/>
        <v>26940.166756925675</v>
      </c>
      <c r="Q59" s="10">
        <f t="shared" si="18"/>
        <v>26940.166756925675</v>
      </c>
      <c r="R59" s="10">
        <f t="shared" si="19"/>
        <v>26940.166756925675</v>
      </c>
      <c r="S59" s="10">
        <f t="shared" si="20"/>
        <v>26940.166756925675</v>
      </c>
      <c r="T59" s="10">
        <f t="shared" si="21"/>
        <v>26940.166756925675</v>
      </c>
      <c r="U59" s="10">
        <f t="shared" si="22"/>
        <v>26940.166756925675</v>
      </c>
      <c r="V59" s="10">
        <f>SUM(Table27[[#This Row],[Payment 1 - 9/1/22]:[Payment 18 -2038]])</f>
        <v>465913.89614395989</v>
      </c>
    </row>
    <row r="60" spans="1:22" x14ac:dyDescent="0.3">
      <c r="A60" s="4" t="s">
        <v>83</v>
      </c>
      <c r="B60" s="4">
        <v>79</v>
      </c>
      <c r="C60" s="4">
        <v>9.101098154981448E-3</v>
      </c>
      <c r="D60" s="10">
        <f t="shared" si="5"/>
        <v>41884.748564596579</v>
      </c>
      <c r="E60" s="10">
        <f t="shared" si="6"/>
        <v>21014.230799412515</v>
      </c>
      <c r="F60" s="10">
        <f t="shared" si="7"/>
        <v>45118.948975552135</v>
      </c>
      <c r="G60" s="10">
        <f t="shared" si="8"/>
        <v>40080.396698233497</v>
      </c>
      <c r="H60" s="10">
        <f t="shared" si="9"/>
        <v>40080.396698233497</v>
      </c>
      <c r="I60" s="10">
        <f t="shared" si="10"/>
        <v>40080.396698233497</v>
      </c>
      <c r="J60" s="10">
        <f t="shared" si="11"/>
        <v>48977.14016428023</v>
      </c>
      <c r="K60" s="10">
        <f t="shared" si="12"/>
        <v>57603.017670099078</v>
      </c>
      <c r="L60" s="10">
        <f t="shared" si="13"/>
        <v>57603.017670099085</v>
      </c>
      <c r="M60" s="10">
        <f t="shared" si="14"/>
        <v>57603.017670099085</v>
      </c>
      <c r="N60" s="10">
        <f t="shared" si="15"/>
        <v>48421.149740968751</v>
      </c>
      <c r="O60" s="10">
        <f t="shared" si="16"/>
        <v>48421.149740968758</v>
      </c>
      <c r="P60" s="10">
        <f t="shared" si="17"/>
        <v>48421.149740968758</v>
      </c>
      <c r="Q60" s="10">
        <f t="shared" si="18"/>
        <v>48421.149740968758</v>
      </c>
      <c r="R60" s="10">
        <f t="shared" si="19"/>
        <v>48421.149740968758</v>
      </c>
      <c r="S60" s="10">
        <f t="shared" si="20"/>
        <v>48421.149740968758</v>
      </c>
      <c r="T60" s="10">
        <f t="shared" si="21"/>
        <v>48421.149740968758</v>
      </c>
      <c r="U60" s="10">
        <f t="shared" si="22"/>
        <v>48421.149740968758</v>
      </c>
      <c r="V60" s="10">
        <f>SUM(Table27[[#This Row],[Payment 1 - 9/1/22]:[Payment 18 -2038]])</f>
        <v>837414.50953658903</v>
      </c>
    </row>
    <row r="61" spans="1:22" x14ac:dyDescent="0.3">
      <c r="A61" s="4" t="s">
        <v>84</v>
      </c>
      <c r="B61" s="4">
        <v>80</v>
      </c>
      <c r="C61" s="4">
        <v>4.4988041871105808E-3</v>
      </c>
      <c r="D61" s="10">
        <f t="shared" si="5"/>
        <v>20704.235797670626</v>
      </c>
      <c r="E61" s="10">
        <f t="shared" si="6"/>
        <v>10387.637612452259</v>
      </c>
      <c r="F61" s="10">
        <f t="shared" si="7"/>
        <v>22302.947744623722</v>
      </c>
      <c r="G61" s="10">
        <f t="shared" si="8"/>
        <v>19812.318625348737</v>
      </c>
      <c r="H61" s="10">
        <f t="shared" si="9"/>
        <v>19812.318625348737</v>
      </c>
      <c r="I61" s="10">
        <f t="shared" si="10"/>
        <v>19812.318625348737</v>
      </c>
      <c r="J61" s="10">
        <f t="shared" si="11"/>
        <v>24210.107339976803</v>
      </c>
      <c r="K61" s="10">
        <f t="shared" si="12"/>
        <v>28474.003100670299</v>
      </c>
      <c r="L61" s="10">
        <f t="shared" si="13"/>
        <v>28474.003100670307</v>
      </c>
      <c r="M61" s="10">
        <f t="shared" si="14"/>
        <v>28474.003100670307</v>
      </c>
      <c r="N61" s="10">
        <f t="shared" si="15"/>
        <v>23935.273248332818</v>
      </c>
      <c r="O61" s="10">
        <f t="shared" si="16"/>
        <v>23935.273248332822</v>
      </c>
      <c r="P61" s="10">
        <f t="shared" si="17"/>
        <v>23935.273248332822</v>
      </c>
      <c r="Q61" s="10">
        <f t="shared" si="18"/>
        <v>23935.273248332822</v>
      </c>
      <c r="R61" s="10">
        <f t="shared" si="19"/>
        <v>23935.273248332822</v>
      </c>
      <c r="S61" s="10">
        <f t="shared" si="20"/>
        <v>23935.273248332822</v>
      </c>
      <c r="T61" s="10">
        <f t="shared" si="21"/>
        <v>23935.273248332822</v>
      </c>
      <c r="U61" s="10">
        <f t="shared" si="22"/>
        <v>23935.273248332822</v>
      </c>
      <c r="V61" s="10">
        <f>SUM(Table27[[#This Row],[Payment 1 - 9/1/22]:[Payment 18 -2038]])</f>
        <v>413946.07965944317</v>
      </c>
    </row>
    <row r="62" spans="1:22" x14ac:dyDescent="0.3">
      <c r="A62" s="4" t="s">
        <v>85</v>
      </c>
      <c r="B62" s="4">
        <v>81</v>
      </c>
      <c r="C62" s="4">
        <v>4.4444444444444453E-3</v>
      </c>
      <c r="D62" s="10">
        <f t="shared" si="5"/>
        <v>20454.063333333339</v>
      </c>
      <c r="E62" s="10">
        <f t="shared" si="6"/>
        <v>10262.122190122967</v>
      </c>
      <c r="F62" s="10">
        <f t="shared" si="7"/>
        <v>22033.457798035786</v>
      </c>
      <c r="G62" s="10">
        <f t="shared" si="8"/>
        <v>19572.923333333336</v>
      </c>
      <c r="H62" s="10">
        <f t="shared" si="9"/>
        <v>19572.923333333336</v>
      </c>
      <c r="I62" s="10">
        <f t="shared" si="10"/>
        <v>19572.923333333336</v>
      </c>
      <c r="J62" s="10">
        <f t="shared" si="11"/>
        <v>23917.57289078</v>
      </c>
      <c r="K62" s="10">
        <f t="shared" si="12"/>
        <v>28129.947343439999</v>
      </c>
      <c r="L62" s="10">
        <f t="shared" si="13"/>
        <v>28129.947343440002</v>
      </c>
      <c r="M62" s="10">
        <f t="shared" si="14"/>
        <v>28129.947343440002</v>
      </c>
      <c r="N62" s="10">
        <f t="shared" si="15"/>
        <v>23646.059661720003</v>
      </c>
      <c r="O62" s="10">
        <f t="shared" si="16"/>
        <v>23646.059661720006</v>
      </c>
      <c r="P62" s="10">
        <f t="shared" si="17"/>
        <v>23646.059661720006</v>
      </c>
      <c r="Q62" s="10">
        <f t="shared" si="18"/>
        <v>23646.059661720006</v>
      </c>
      <c r="R62" s="10">
        <f t="shared" si="19"/>
        <v>23646.059661720006</v>
      </c>
      <c r="S62" s="10">
        <f t="shared" si="20"/>
        <v>23646.059661720006</v>
      </c>
      <c r="T62" s="10">
        <f t="shared" si="21"/>
        <v>23646.059661720006</v>
      </c>
      <c r="U62" s="10">
        <f t="shared" si="22"/>
        <v>23646.059661720006</v>
      </c>
      <c r="V62" s="10">
        <f>SUM(Table27[[#This Row],[Payment 1 - 9/1/22]:[Payment 18 -2038]])</f>
        <v>408944.30553635216</v>
      </c>
    </row>
    <row r="63" spans="1:22" x14ac:dyDescent="0.3">
      <c r="A63" s="4" t="s">
        <v>86</v>
      </c>
      <c r="B63" s="4">
        <v>82</v>
      </c>
      <c r="C63" s="4">
        <v>8.8888888888888904E-4</v>
      </c>
      <c r="D63" s="10">
        <f t="shared" si="5"/>
        <v>4090.8126666666672</v>
      </c>
      <c r="E63" s="10">
        <f t="shared" si="6"/>
        <v>2052.4244380245932</v>
      </c>
      <c r="F63" s="10">
        <f t="shared" si="7"/>
        <v>4406.6915596071576</v>
      </c>
      <c r="G63" s="10">
        <f t="shared" si="8"/>
        <v>3914.5846666666675</v>
      </c>
      <c r="H63" s="10">
        <f t="shared" si="9"/>
        <v>3914.5846666666675</v>
      </c>
      <c r="I63" s="10">
        <f t="shared" si="10"/>
        <v>3914.5846666666675</v>
      </c>
      <c r="J63" s="10">
        <f t="shared" si="11"/>
        <v>4783.5145781560004</v>
      </c>
      <c r="K63" s="10">
        <f t="shared" si="12"/>
        <v>5625.9894686879998</v>
      </c>
      <c r="L63" s="10">
        <f t="shared" si="13"/>
        <v>5625.9894686880007</v>
      </c>
      <c r="M63" s="10">
        <f t="shared" si="14"/>
        <v>5625.9894686880007</v>
      </c>
      <c r="N63" s="10">
        <f t="shared" si="15"/>
        <v>4729.2119323440002</v>
      </c>
      <c r="O63" s="10">
        <f t="shared" si="16"/>
        <v>4729.2119323440011</v>
      </c>
      <c r="P63" s="10">
        <f t="shared" si="17"/>
        <v>4729.2119323440011</v>
      </c>
      <c r="Q63" s="10">
        <f t="shared" si="18"/>
        <v>4729.2119323440011</v>
      </c>
      <c r="R63" s="10">
        <f t="shared" si="19"/>
        <v>4729.2119323440011</v>
      </c>
      <c r="S63" s="10">
        <f t="shared" si="20"/>
        <v>4729.2119323440011</v>
      </c>
      <c r="T63" s="10">
        <f t="shared" si="21"/>
        <v>4729.2119323440011</v>
      </c>
      <c r="U63" s="10">
        <f t="shared" si="22"/>
        <v>4729.2119323440011</v>
      </c>
      <c r="V63" s="10">
        <f>SUM(Table27[[#This Row],[Payment 1 - 9/1/22]:[Payment 18 -2038]])</f>
        <v>81788.861107270408</v>
      </c>
    </row>
    <row r="64" spans="1:22" x14ac:dyDescent="0.3">
      <c r="A64" s="4" t="s">
        <v>87</v>
      </c>
      <c r="B64" s="4">
        <v>83</v>
      </c>
      <c r="C64" s="4">
        <v>2.2222222222222227E-3</v>
      </c>
      <c r="D64" s="10">
        <f t="shared" si="5"/>
        <v>10227.031666666669</v>
      </c>
      <c r="E64" s="10">
        <f t="shared" si="6"/>
        <v>5131.0610950614837</v>
      </c>
      <c r="F64" s="10">
        <f t="shared" si="7"/>
        <v>11016.728899017893</v>
      </c>
      <c r="G64" s="10">
        <f t="shared" si="8"/>
        <v>9786.461666666668</v>
      </c>
      <c r="H64" s="10">
        <f t="shared" si="9"/>
        <v>9786.461666666668</v>
      </c>
      <c r="I64" s="10">
        <f t="shared" si="10"/>
        <v>9786.461666666668</v>
      </c>
      <c r="J64" s="10">
        <f t="shared" si="11"/>
        <v>11958.78644539</v>
      </c>
      <c r="K64" s="10">
        <f t="shared" si="12"/>
        <v>14064.973671719999</v>
      </c>
      <c r="L64" s="10">
        <f t="shared" si="13"/>
        <v>14064.973671720001</v>
      </c>
      <c r="M64" s="10">
        <f t="shared" si="14"/>
        <v>14064.973671720001</v>
      </c>
      <c r="N64" s="10">
        <f t="shared" si="15"/>
        <v>11823.029830860001</v>
      </c>
      <c r="O64" s="10">
        <f t="shared" si="16"/>
        <v>11823.029830860003</v>
      </c>
      <c r="P64" s="10">
        <f t="shared" si="17"/>
        <v>11823.029830860003</v>
      </c>
      <c r="Q64" s="10">
        <f t="shared" si="18"/>
        <v>11823.029830860003</v>
      </c>
      <c r="R64" s="10">
        <f t="shared" si="19"/>
        <v>11823.029830860003</v>
      </c>
      <c r="S64" s="10">
        <f t="shared" si="20"/>
        <v>11823.029830860003</v>
      </c>
      <c r="T64" s="10">
        <f t="shared" si="21"/>
        <v>11823.029830860003</v>
      </c>
      <c r="U64" s="10">
        <f t="shared" si="22"/>
        <v>11823.029830860003</v>
      </c>
      <c r="V64" s="10">
        <f>SUM(Table27[[#This Row],[Payment 1 - 9/1/22]:[Payment 18 -2038]])</f>
        <v>204472.15276817608</v>
      </c>
    </row>
    <row r="65" spans="1:22" x14ac:dyDescent="0.3">
      <c r="A65" s="4" t="s">
        <v>88</v>
      </c>
      <c r="B65" s="4">
        <v>84</v>
      </c>
      <c r="C65" s="4">
        <v>8.8888888888888904E-4</v>
      </c>
      <c r="D65" s="10">
        <f t="shared" si="5"/>
        <v>4090.8126666666672</v>
      </c>
      <c r="E65" s="10">
        <f t="shared" si="6"/>
        <v>2052.4244380245932</v>
      </c>
      <c r="F65" s="10">
        <f t="shared" si="7"/>
        <v>4406.6915596071576</v>
      </c>
      <c r="G65" s="10">
        <f t="shared" si="8"/>
        <v>3914.5846666666675</v>
      </c>
      <c r="H65" s="10">
        <f t="shared" si="9"/>
        <v>3914.5846666666675</v>
      </c>
      <c r="I65" s="10">
        <f t="shared" si="10"/>
        <v>3914.5846666666675</v>
      </c>
      <c r="J65" s="10">
        <f t="shared" si="11"/>
        <v>4783.5145781560004</v>
      </c>
      <c r="K65" s="10">
        <f t="shared" si="12"/>
        <v>5625.9894686879998</v>
      </c>
      <c r="L65" s="10">
        <f t="shared" si="13"/>
        <v>5625.9894686880007</v>
      </c>
      <c r="M65" s="10">
        <f t="shared" si="14"/>
        <v>5625.9894686880007</v>
      </c>
      <c r="N65" s="10">
        <f t="shared" si="15"/>
        <v>4729.2119323440002</v>
      </c>
      <c r="O65" s="10">
        <f t="shared" si="16"/>
        <v>4729.2119323440011</v>
      </c>
      <c r="P65" s="10">
        <f t="shared" si="17"/>
        <v>4729.2119323440011</v>
      </c>
      <c r="Q65" s="10">
        <f t="shared" si="18"/>
        <v>4729.2119323440011</v>
      </c>
      <c r="R65" s="10">
        <f t="shared" si="19"/>
        <v>4729.2119323440011</v>
      </c>
      <c r="S65" s="10">
        <f t="shared" si="20"/>
        <v>4729.2119323440011</v>
      </c>
      <c r="T65" s="10">
        <f t="shared" si="21"/>
        <v>4729.2119323440011</v>
      </c>
      <c r="U65" s="10">
        <f t="shared" si="22"/>
        <v>4729.2119323440011</v>
      </c>
      <c r="V65" s="10">
        <f>SUM(Table27[[#This Row],[Payment 1 - 9/1/22]:[Payment 18 -2038]])</f>
        <v>81788.861107270408</v>
      </c>
    </row>
    <row r="66" spans="1:22" x14ac:dyDescent="0.3">
      <c r="A66" s="4" t="s">
        <v>89</v>
      </c>
      <c r="B66" s="4">
        <v>85</v>
      </c>
      <c r="C66" s="4">
        <v>8.8888888888888904E-4</v>
      </c>
      <c r="D66" s="10">
        <f t="shared" si="5"/>
        <v>4090.8126666666672</v>
      </c>
      <c r="E66" s="10">
        <f t="shared" si="6"/>
        <v>2052.4244380245932</v>
      </c>
      <c r="F66" s="10">
        <f t="shared" si="7"/>
        <v>4406.6915596071576</v>
      </c>
      <c r="G66" s="10">
        <f t="shared" si="8"/>
        <v>3914.5846666666675</v>
      </c>
      <c r="H66" s="10">
        <f t="shared" si="9"/>
        <v>3914.5846666666675</v>
      </c>
      <c r="I66" s="10">
        <f t="shared" si="10"/>
        <v>3914.5846666666675</v>
      </c>
      <c r="J66" s="10">
        <f t="shared" si="11"/>
        <v>4783.5145781560004</v>
      </c>
      <c r="K66" s="10">
        <f t="shared" si="12"/>
        <v>5625.9894686879998</v>
      </c>
      <c r="L66" s="10">
        <f t="shared" si="13"/>
        <v>5625.9894686880007</v>
      </c>
      <c r="M66" s="10">
        <f t="shared" si="14"/>
        <v>5625.9894686880007</v>
      </c>
      <c r="N66" s="10">
        <f t="shared" si="15"/>
        <v>4729.2119323440002</v>
      </c>
      <c r="O66" s="10">
        <f t="shared" si="16"/>
        <v>4729.2119323440011</v>
      </c>
      <c r="P66" s="10">
        <f t="shared" si="17"/>
        <v>4729.2119323440011</v>
      </c>
      <c r="Q66" s="10">
        <f t="shared" si="18"/>
        <v>4729.2119323440011</v>
      </c>
      <c r="R66" s="10">
        <f t="shared" si="19"/>
        <v>4729.2119323440011</v>
      </c>
      <c r="S66" s="10">
        <f t="shared" si="20"/>
        <v>4729.2119323440011</v>
      </c>
      <c r="T66" s="10">
        <f t="shared" si="21"/>
        <v>4729.2119323440011</v>
      </c>
      <c r="U66" s="10">
        <f t="shared" si="22"/>
        <v>4729.2119323440011</v>
      </c>
      <c r="V66" s="10">
        <f>SUM(Table27[[#This Row],[Payment 1 - 9/1/22]:[Payment 18 -2038]])</f>
        <v>81788.861107270408</v>
      </c>
    </row>
    <row r="67" spans="1:22" x14ac:dyDescent="0.3">
      <c r="A67" s="4" t="s">
        <v>232</v>
      </c>
      <c r="B67" s="4">
        <v>86</v>
      </c>
      <c r="C67" s="4">
        <v>2.2222222222222227E-3</v>
      </c>
      <c r="D67" s="10">
        <f t="shared" si="5"/>
        <v>10227.031666666669</v>
      </c>
      <c r="E67" s="10">
        <f t="shared" si="6"/>
        <v>5131.0610950614837</v>
      </c>
      <c r="F67" s="10">
        <f t="shared" si="7"/>
        <v>11016.728899017893</v>
      </c>
      <c r="G67" s="10">
        <f t="shared" si="8"/>
        <v>9786.461666666668</v>
      </c>
      <c r="H67" s="10">
        <f t="shared" si="9"/>
        <v>9786.461666666668</v>
      </c>
      <c r="I67" s="10">
        <f t="shared" si="10"/>
        <v>9786.461666666668</v>
      </c>
      <c r="J67" s="10">
        <f t="shared" si="11"/>
        <v>11958.78644539</v>
      </c>
      <c r="K67" s="10">
        <f t="shared" si="12"/>
        <v>14064.973671719999</v>
      </c>
      <c r="L67" s="10">
        <f t="shared" si="13"/>
        <v>14064.973671720001</v>
      </c>
      <c r="M67" s="10">
        <f t="shared" si="14"/>
        <v>14064.973671720001</v>
      </c>
      <c r="N67" s="10">
        <f t="shared" si="15"/>
        <v>11823.029830860001</v>
      </c>
      <c r="O67" s="10">
        <f t="shared" si="16"/>
        <v>11823.029830860003</v>
      </c>
      <c r="P67" s="10">
        <f t="shared" si="17"/>
        <v>11823.029830860003</v>
      </c>
      <c r="Q67" s="10">
        <f t="shared" si="18"/>
        <v>11823.029830860003</v>
      </c>
      <c r="R67" s="10">
        <f t="shared" si="19"/>
        <v>11823.029830860003</v>
      </c>
      <c r="S67" s="10">
        <f t="shared" si="20"/>
        <v>11823.029830860003</v>
      </c>
      <c r="T67" s="10">
        <f t="shared" si="21"/>
        <v>11823.029830860003</v>
      </c>
      <c r="U67" s="10">
        <f t="shared" si="22"/>
        <v>11823.029830860003</v>
      </c>
      <c r="V67" s="10">
        <f>SUM(Table27[[#This Row],[Payment 1 - 9/1/22]:[Payment 18 -2038]])</f>
        <v>204472.15276817608</v>
      </c>
    </row>
    <row r="68" spans="1:22" x14ac:dyDescent="0.3">
      <c r="A68" s="4" t="s">
        <v>91</v>
      </c>
      <c r="B68" s="4">
        <v>87</v>
      </c>
      <c r="C68" s="4">
        <v>8.8888888888888904E-4</v>
      </c>
      <c r="D68" s="10">
        <f t="shared" si="5"/>
        <v>4090.8126666666672</v>
      </c>
      <c r="E68" s="10">
        <f t="shared" si="6"/>
        <v>2052.4244380245932</v>
      </c>
      <c r="F68" s="10">
        <f t="shared" si="7"/>
        <v>4406.6915596071576</v>
      </c>
      <c r="G68" s="10">
        <f t="shared" si="8"/>
        <v>3914.5846666666675</v>
      </c>
      <c r="H68" s="10">
        <f t="shared" si="9"/>
        <v>3914.5846666666675</v>
      </c>
      <c r="I68" s="10">
        <f t="shared" si="10"/>
        <v>3914.5846666666675</v>
      </c>
      <c r="J68" s="10">
        <f t="shared" si="11"/>
        <v>4783.5145781560004</v>
      </c>
      <c r="K68" s="10">
        <f t="shared" si="12"/>
        <v>5625.9894686879998</v>
      </c>
      <c r="L68" s="10">
        <f t="shared" si="13"/>
        <v>5625.9894686880007</v>
      </c>
      <c r="M68" s="10">
        <f t="shared" si="14"/>
        <v>5625.9894686880007</v>
      </c>
      <c r="N68" s="10">
        <f t="shared" si="15"/>
        <v>4729.2119323440002</v>
      </c>
      <c r="O68" s="10">
        <f t="shared" si="16"/>
        <v>4729.2119323440011</v>
      </c>
      <c r="P68" s="10">
        <f t="shared" si="17"/>
        <v>4729.2119323440011</v>
      </c>
      <c r="Q68" s="10">
        <f t="shared" si="18"/>
        <v>4729.2119323440011</v>
      </c>
      <c r="R68" s="10">
        <f t="shared" si="19"/>
        <v>4729.2119323440011</v>
      </c>
      <c r="S68" s="10">
        <f t="shared" si="20"/>
        <v>4729.2119323440011</v>
      </c>
      <c r="T68" s="10">
        <f t="shared" si="21"/>
        <v>4729.2119323440011</v>
      </c>
      <c r="U68" s="10">
        <f t="shared" si="22"/>
        <v>4729.2119323440011</v>
      </c>
      <c r="V68" s="10">
        <f>SUM(Table27[[#This Row],[Payment 1 - 9/1/22]:[Payment 18 -2038]])</f>
        <v>81788.861107270408</v>
      </c>
    </row>
    <row r="69" spans="1:22" x14ac:dyDescent="0.3">
      <c r="A69" s="4" t="s">
        <v>92</v>
      </c>
      <c r="B69" s="4">
        <v>88</v>
      </c>
      <c r="C69" s="4">
        <v>2.2222222222222227E-3</v>
      </c>
      <c r="D69" s="10">
        <f t="shared" si="5"/>
        <v>10227.031666666669</v>
      </c>
      <c r="E69" s="10">
        <f t="shared" si="6"/>
        <v>5131.0610950614837</v>
      </c>
      <c r="F69" s="10">
        <f t="shared" si="7"/>
        <v>11016.728899017893</v>
      </c>
      <c r="G69" s="10">
        <f t="shared" si="8"/>
        <v>9786.461666666668</v>
      </c>
      <c r="H69" s="10">
        <f t="shared" si="9"/>
        <v>9786.461666666668</v>
      </c>
      <c r="I69" s="10">
        <f t="shared" si="10"/>
        <v>9786.461666666668</v>
      </c>
      <c r="J69" s="10">
        <f t="shared" si="11"/>
        <v>11958.78644539</v>
      </c>
      <c r="K69" s="10">
        <f t="shared" si="12"/>
        <v>14064.973671719999</v>
      </c>
      <c r="L69" s="10">
        <f t="shared" si="13"/>
        <v>14064.973671720001</v>
      </c>
      <c r="M69" s="10">
        <f t="shared" si="14"/>
        <v>14064.973671720001</v>
      </c>
      <c r="N69" s="10">
        <f t="shared" si="15"/>
        <v>11823.029830860001</v>
      </c>
      <c r="O69" s="10">
        <f t="shared" si="16"/>
        <v>11823.029830860003</v>
      </c>
      <c r="P69" s="10">
        <f t="shared" si="17"/>
        <v>11823.029830860003</v>
      </c>
      <c r="Q69" s="10">
        <f t="shared" si="18"/>
        <v>11823.029830860003</v>
      </c>
      <c r="R69" s="10">
        <f t="shared" si="19"/>
        <v>11823.029830860003</v>
      </c>
      <c r="S69" s="10">
        <f t="shared" si="20"/>
        <v>11823.029830860003</v>
      </c>
      <c r="T69" s="10">
        <f t="shared" si="21"/>
        <v>11823.029830860003</v>
      </c>
      <c r="U69" s="10">
        <f t="shared" si="22"/>
        <v>11823.029830860003</v>
      </c>
      <c r="V69" s="10">
        <f>SUM(Table27[[#This Row],[Payment 1 - 9/1/22]:[Payment 18 -2038]])</f>
        <v>204472.15276817608</v>
      </c>
    </row>
    <row r="70" spans="1:22" x14ac:dyDescent="0.3">
      <c r="A70" s="4" t="s">
        <v>93</v>
      </c>
      <c r="B70" s="4">
        <v>89</v>
      </c>
      <c r="C70" s="4">
        <v>2.2222222222222227E-3</v>
      </c>
      <c r="D70" s="10">
        <f t="shared" si="5"/>
        <v>10227.031666666669</v>
      </c>
      <c r="E70" s="10">
        <f t="shared" si="6"/>
        <v>5131.0610950614837</v>
      </c>
      <c r="F70" s="10">
        <f t="shared" si="7"/>
        <v>11016.728899017893</v>
      </c>
      <c r="G70" s="10">
        <f t="shared" si="8"/>
        <v>9786.461666666668</v>
      </c>
      <c r="H70" s="10">
        <f t="shared" si="9"/>
        <v>9786.461666666668</v>
      </c>
      <c r="I70" s="10">
        <f t="shared" si="10"/>
        <v>9786.461666666668</v>
      </c>
      <c r="J70" s="10">
        <f t="shared" si="11"/>
        <v>11958.78644539</v>
      </c>
      <c r="K70" s="10">
        <f t="shared" si="12"/>
        <v>14064.973671719999</v>
      </c>
      <c r="L70" s="10">
        <f t="shared" si="13"/>
        <v>14064.973671720001</v>
      </c>
      <c r="M70" s="10">
        <f t="shared" si="14"/>
        <v>14064.973671720001</v>
      </c>
      <c r="N70" s="10">
        <f t="shared" si="15"/>
        <v>11823.029830860001</v>
      </c>
      <c r="O70" s="10">
        <f t="shared" si="16"/>
        <v>11823.029830860003</v>
      </c>
      <c r="P70" s="10">
        <f t="shared" si="17"/>
        <v>11823.029830860003</v>
      </c>
      <c r="Q70" s="10">
        <f t="shared" si="18"/>
        <v>11823.029830860003</v>
      </c>
      <c r="R70" s="10">
        <f t="shared" si="19"/>
        <v>11823.029830860003</v>
      </c>
      <c r="S70" s="10">
        <f t="shared" si="20"/>
        <v>11823.029830860003</v>
      </c>
      <c r="T70" s="10">
        <f t="shared" si="21"/>
        <v>11823.029830860003</v>
      </c>
      <c r="U70" s="10">
        <f t="shared" si="22"/>
        <v>11823.029830860003</v>
      </c>
      <c r="V70" s="10">
        <f>SUM(Table27[[#This Row],[Payment 1 - 9/1/22]:[Payment 18 -2038]])</f>
        <v>204472.15276817608</v>
      </c>
    </row>
    <row r="71" spans="1:22" x14ac:dyDescent="0.3">
      <c r="A71" s="4" t="s">
        <v>94</v>
      </c>
      <c r="B71" s="4">
        <v>90</v>
      </c>
      <c r="C71" s="4">
        <v>2.2222222222222227E-3</v>
      </c>
      <c r="D71" s="10">
        <f t="shared" si="5"/>
        <v>10227.031666666669</v>
      </c>
      <c r="E71" s="10">
        <f t="shared" si="6"/>
        <v>5131.0610950614837</v>
      </c>
      <c r="F71" s="10">
        <f t="shared" si="7"/>
        <v>11016.728899017893</v>
      </c>
      <c r="G71" s="10">
        <f t="shared" si="8"/>
        <v>9786.461666666668</v>
      </c>
      <c r="H71" s="10">
        <f t="shared" si="9"/>
        <v>9786.461666666668</v>
      </c>
      <c r="I71" s="10">
        <f t="shared" si="10"/>
        <v>9786.461666666668</v>
      </c>
      <c r="J71" s="10">
        <f t="shared" si="11"/>
        <v>11958.78644539</v>
      </c>
      <c r="K71" s="10">
        <f t="shared" si="12"/>
        <v>14064.973671719999</v>
      </c>
      <c r="L71" s="10">
        <f t="shared" si="13"/>
        <v>14064.973671720001</v>
      </c>
      <c r="M71" s="10">
        <f t="shared" si="14"/>
        <v>14064.973671720001</v>
      </c>
      <c r="N71" s="10">
        <f t="shared" si="15"/>
        <v>11823.029830860001</v>
      </c>
      <c r="O71" s="10">
        <f t="shared" si="16"/>
        <v>11823.029830860003</v>
      </c>
      <c r="P71" s="10">
        <f t="shared" si="17"/>
        <v>11823.029830860003</v>
      </c>
      <c r="Q71" s="10">
        <f t="shared" si="18"/>
        <v>11823.029830860003</v>
      </c>
      <c r="R71" s="10">
        <f t="shared" si="19"/>
        <v>11823.029830860003</v>
      </c>
      <c r="S71" s="10">
        <f t="shared" si="20"/>
        <v>11823.029830860003</v>
      </c>
      <c r="T71" s="10">
        <f t="shared" si="21"/>
        <v>11823.029830860003</v>
      </c>
      <c r="U71" s="10">
        <f t="shared" si="22"/>
        <v>11823.029830860003</v>
      </c>
      <c r="V71" s="10">
        <f>SUM(Table27[[#This Row],[Payment 1 - 9/1/22]:[Payment 18 -2038]])</f>
        <v>204472.15276817608</v>
      </c>
    </row>
    <row r="72" spans="1:22" x14ac:dyDescent="0.3">
      <c r="A72" s="4" t="s">
        <v>95</v>
      </c>
      <c r="B72" s="4">
        <v>91</v>
      </c>
      <c r="C72" s="4">
        <v>2.3995743715068893E-3</v>
      </c>
      <c r="D72" s="10">
        <f t="shared" si="5"/>
        <v>11043.235387765224</v>
      </c>
      <c r="E72" s="10">
        <f t="shared" si="6"/>
        <v>5540.5632160555233</v>
      </c>
      <c r="F72" s="10">
        <f t="shared" si="7"/>
        <v>11895.957145765189</v>
      </c>
      <c r="G72" s="10">
        <f t="shared" si="8"/>
        <v>10567.504171380569</v>
      </c>
      <c r="H72" s="10">
        <f t="shared" si="9"/>
        <v>10567.504171380569</v>
      </c>
      <c r="I72" s="10">
        <f t="shared" si="10"/>
        <v>10567.504171380569</v>
      </c>
      <c r="J72" s="10">
        <f t="shared" si="11"/>
        <v>12913.198860906816</v>
      </c>
      <c r="K72" s="10">
        <f t="shared" si="12"/>
        <v>15187.477661360306</v>
      </c>
      <c r="L72" s="10">
        <f t="shared" si="13"/>
        <v>15187.477661360308</v>
      </c>
      <c r="M72" s="10">
        <f t="shared" si="14"/>
        <v>15187.477661360308</v>
      </c>
      <c r="N72" s="10">
        <f t="shared" si="15"/>
        <v>12766.607719061889</v>
      </c>
      <c r="O72" s="10">
        <f t="shared" si="16"/>
        <v>12766.607719061891</v>
      </c>
      <c r="P72" s="10">
        <f t="shared" si="17"/>
        <v>12766.607719061891</v>
      </c>
      <c r="Q72" s="10">
        <f t="shared" si="18"/>
        <v>12766.607719061891</v>
      </c>
      <c r="R72" s="10">
        <f t="shared" si="19"/>
        <v>12766.607719061891</v>
      </c>
      <c r="S72" s="10">
        <f t="shared" si="20"/>
        <v>12766.607719061891</v>
      </c>
      <c r="T72" s="10">
        <f t="shared" si="21"/>
        <v>12766.607719061891</v>
      </c>
      <c r="U72" s="10">
        <f t="shared" si="22"/>
        <v>12766.607719061891</v>
      </c>
      <c r="V72" s="10">
        <f>SUM(Table27[[#This Row],[Payment 1 - 9/1/22]:[Payment 18 -2038]])</f>
        <v>220790.76186121054</v>
      </c>
    </row>
    <row r="73" spans="1:22" x14ac:dyDescent="0.3">
      <c r="A73" s="4" t="s">
        <v>96</v>
      </c>
      <c r="B73" s="4">
        <v>92</v>
      </c>
      <c r="C73" s="4">
        <v>2.2222222222222227E-3</v>
      </c>
      <c r="D73" s="10">
        <f t="shared" si="5"/>
        <v>10227.031666666669</v>
      </c>
      <c r="E73" s="10">
        <f t="shared" si="6"/>
        <v>5131.0610950614837</v>
      </c>
      <c r="F73" s="10">
        <f t="shared" si="7"/>
        <v>11016.728899017893</v>
      </c>
      <c r="G73" s="10">
        <f t="shared" si="8"/>
        <v>9786.461666666668</v>
      </c>
      <c r="H73" s="10">
        <f t="shared" si="9"/>
        <v>9786.461666666668</v>
      </c>
      <c r="I73" s="10">
        <f t="shared" si="10"/>
        <v>9786.461666666668</v>
      </c>
      <c r="J73" s="10">
        <f t="shared" si="11"/>
        <v>11958.78644539</v>
      </c>
      <c r="K73" s="10">
        <f t="shared" si="12"/>
        <v>14064.973671719999</v>
      </c>
      <c r="L73" s="10">
        <f t="shared" si="13"/>
        <v>14064.973671720001</v>
      </c>
      <c r="M73" s="10">
        <f t="shared" si="14"/>
        <v>14064.973671720001</v>
      </c>
      <c r="N73" s="10">
        <f t="shared" si="15"/>
        <v>11823.029830860001</v>
      </c>
      <c r="O73" s="10">
        <f t="shared" si="16"/>
        <v>11823.029830860003</v>
      </c>
      <c r="P73" s="10">
        <f t="shared" si="17"/>
        <v>11823.029830860003</v>
      </c>
      <c r="Q73" s="10">
        <f t="shared" si="18"/>
        <v>11823.029830860003</v>
      </c>
      <c r="R73" s="10">
        <f t="shared" si="19"/>
        <v>11823.029830860003</v>
      </c>
      <c r="S73" s="10">
        <f t="shared" si="20"/>
        <v>11823.029830860003</v>
      </c>
      <c r="T73" s="10">
        <f t="shared" si="21"/>
        <v>11823.029830860003</v>
      </c>
      <c r="U73" s="10">
        <f t="shared" si="22"/>
        <v>11823.029830860003</v>
      </c>
      <c r="V73" s="10">
        <f>SUM(Table27[[#This Row],[Payment 1 - 9/1/22]:[Payment 18 -2038]])</f>
        <v>204472.15276817608</v>
      </c>
    </row>
    <row r="74" spans="1:22" x14ac:dyDescent="0.3">
      <c r="A74" s="4" t="s">
        <v>97</v>
      </c>
      <c r="B74" s="4">
        <v>94</v>
      </c>
      <c r="C74" s="4">
        <v>3.3296083201982273E-3</v>
      </c>
      <c r="D74" s="10">
        <f t="shared" si="5"/>
        <v>15323.404377718834</v>
      </c>
      <c r="E74" s="10">
        <f t="shared" si="6"/>
        <v>7687.9906711029626</v>
      </c>
      <c r="F74" s="10">
        <f t="shared" si="7"/>
        <v>16506.6264915922</v>
      </c>
      <c r="G74" s="10">
        <f t="shared" si="8"/>
        <v>14663.287885785454</v>
      </c>
      <c r="H74" s="10">
        <f t="shared" si="9"/>
        <v>14663.287885785454</v>
      </c>
      <c r="I74" s="10">
        <f t="shared" si="10"/>
        <v>14663.287885785454</v>
      </c>
      <c r="J74" s="10">
        <f t="shared" si="11"/>
        <v>17918.133681619944</v>
      </c>
      <c r="K74" s="10">
        <f t="shared" si="12"/>
        <v>21073.884012327559</v>
      </c>
      <c r="L74" s="10">
        <f t="shared" si="13"/>
        <v>21073.884012327562</v>
      </c>
      <c r="M74" s="10">
        <f t="shared" si="14"/>
        <v>21073.884012327562</v>
      </c>
      <c r="N74" s="10">
        <f t="shared" si="15"/>
        <v>17714.726322652481</v>
      </c>
      <c r="O74" s="10">
        <f t="shared" si="16"/>
        <v>17714.726322652485</v>
      </c>
      <c r="P74" s="10">
        <f t="shared" si="17"/>
        <v>17714.726322652485</v>
      </c>
      <c r="Q74" s="10">
        <f t="shared" si="18"/>
        <v>17714.726322652485</v>
      </c>
      <c r="R74" s="10">
        <f t="shared" si="19"/>
        <v>17714.726322652485</v>
      </c>
      <c r="S74" s="10">
        <f t="shared" si="20"/>
        <v>17714.726322652485</v>
      </c>
      <c r="T74" s="10">
        <f t="shared" si="21"/>
        <v>17714.726322652485</v>
      </c>
      <c r="U74" s="10">
        <f t="shared" si="22"/>
        <v>17714.726322652485</v>
      </c>
      <c r="V74" s="10">
        <f>SUM(Table27[[#This Row],[Payment 1 - 9/1/22]:[Payment 18 -2038]])</f>
        <v>306365.48149759287</v>
      </c>
    </row>
    <row r="75" spans="1:22" x14ac:dyDescent="0.3">
      <c r="A75" s="4" t="s">
        <v>98</v>
      </c>
      <c r="B75" s="4">
        <v>95</v>
      </c>
      <c r="C75" s="4">
        <v>8.8888888888888904E-4</v>
      </c>
      <c r="D75" s="10">
        <f t="shared" si="5"/>
        <v>4090.8126666666672</v>
      </c>
      <c r="E75" s="10">
        <f t="shared" si="6"/>
        <v>2052.4244380245932</v>
      </c>
      <c r="F75" s="10">
        <f t="shared" si="7"/>
        <v>4406.6915596071576</v>
      </c>
      <c r="G75" s="10">
        <f t="shared" si="8"/>
        <v>3914.5846666666675</v>
      </c>
      <c r="H75" s="10">
        <f t="shared" si="9"/>
        <v>3914.5846666666675</v>
      </c>
      <c r="I75" s="10">
        <f t="shared" si="10"/>
        <v>3914.5846666666675</v>
      </c>
      <c r="J75" s="10">
        <f t="shared" si="11"/>
        <v>4783.5145781560004</v>
      </c>
      <c r="K75" s="10">
        <f t="shared" si="12"/>
        <v>5625.9894686879998</v>
      </c>
      <c r="L75" s="10">
        <f t="shared" si="13"/>
        <v>5625.9894686880007</v>
      </c>
      <c r="M75" s="10">
        <f t="shared" si="14"/>
        <v>5625.9894686880007</v>
      </c>
      <c r="N75" s="10">
        <f t="shared" si="15"/>
        <v>4729.2119323440002</v>
      </c>
      <c r="O75" s="10">
        <f t="shared" si="16"/>
        <v>4729.2119323440011</v>
      </c>
      <c r="P75" s="10">
        <f t="shared" si="17"/>
        <v>4729.2119323440011</v>
      </c>
      <c r="Q75" s="10">
        <f t="shared" si="18"/>
        <v>4729.2119323440011</v>
      </c>
      <c r="R75" s="10">
        <f t="shared" si="19"/>
        <v>4729.2119323440011</v>
      </c>
      <c r="S75" s="10">
        <f t="shared" si="20"/>
        <v>4729.2119323440011</v>
      </c>
      <c r="T75" s="10">
        <f t="shared" si="21"/>
        <v>4729.2119323440011</v>
      </c>
      <c r="U75" s="10">
        <f t="shared" si="22"/>
        <v>4729.2119323440011</v>
      </c>
      <c r="V75" s="10">
        <f>SUM(Table27[[#This Row],[Payment 1 - 9/1/22]:[Payment 18 -2038]])</f>
        <v>81788.861107270408</v>
      </c>
    </row>
    <row r="76" spans="1:22" x14ac:dyDescent="0.3">
      <c r="A76" s="4" t="s">
        <v>99</v>
      </c>
      <c r="B76" s="4">
        <v>96</v>
      </c>
      <c r="C76" s="4">
        <v>2.2222222222222227E-3</v>
      </c>
      <c r="D76" s="10">
        <f t="shared" ref="D76:D89" si="23">C76*$D$9</f>
        <v>10227.031666666669</v>
      </c>
      <c r="E76" s="10">
        <f t="shared" ref="E76:E89" si="24">C76*$E$9</f>
        <v>5131.0610950614837</v>
      </c>
      <c r="F76" s="10">
        <f t="shared" ref="F76:F89" si="25">C76*$F$9</f>
        <v>11016.728899017893</v>
      </c>
      <c r="G76" s="10">
        <f t="shared" ref="G76:G89" si="26">C76*$G$9</f>
        <v>9786.461666666668</v>
      </c>
      <c r="H76" s="10">
        <f t="shared" ref="H76:H89" si="27">C76*$H$9</f>
        <v>9786.461666666668</v>
      </c>
      <c r="I76" s="10">
        <f t="shared" ref="I76:I89" si="28">C76*$I$9</f>
        <v>9786.461666666668</v>
      </c>
      <c r="J76" s="10">
        <f t="shared" ref="J76:J89" si="29">C76*$J$9</f>
        <v>11958.78644539</v>
      </c>
      <c r="K76" s="10">
        <f t="shared" ref="K76:K89" si="30">C76*$K$9</f>
        <v>14064.973671719999</v>
      </c>
      <c r="L76" s="10">
        <f t="shared" ref="L76:L89" si="31">C76*$L$9</f>
        <v>14064.973671720001</v>
      </c>
      <c r="M76" s="10">
        <f t="shared" ref="M76:M89" si="32">C76*$M$9</f>
        <v>14064.973671720001</v>
      </c>
      <c r="N76" s="10">
        <f t="shared" ref="N76:N89" si="33">C76*$N$9</f>
        <v>11823.029830860001</v>
      </c>
      <c r="O76" s="10">
        <f t="shared" ref="O76:O89" si="34">C76*$O$9</f>
        <v>11823.029830860003</v>
      </c>
      <c r="P76" s="10">
        <f t="shared" ref="P76:P89" si="35">C76*$P$9</f>
        <v>11823.029830860003</v>
      </c>
      <c r="Q76" s="10">
        <f t="shared" ref="Q76:Q89" si="36">C76*$Q$9</f>
        <v>11823.029830860003</v>
      </c>
      <c r="R76" s="10">
        <f t="shared" ref="R76:R89" si="37">C76*$R$9</f>
        <v>11823.029830860003</v>
      </c>
      <c r="S76" s="10">
        <f t="shared" ref="S76:S89" si="38">C76*$S$9</f>
        <v>11823.029830860003</v>
      </c>
      <c r="T76" s="10">
        <f t="shared" ref="T76:T89" si="39">C76*$T$9</f>
        <v>11823.029830860003</v>
      </c>
      <c r="U76" s="10">
        <f t="shared" ref="U76:U89" si="40">C76*$U$9</f>
        <v>11823.029830860003</v>
      </c>
      <c r="V76" s="10">
        <f>SUM(Table27[[#This Row],[Payment 1 - 9/1/22]:[Payment 18 -2038]])</f>
        <v>204472.15276817608</v>
      </c>
    </row>
    <row r="77" spans="1:22" x14ac:dyDescent="0.3">
      <c r="A77" s="4" t="s">
        <v>101</v>
      </c>
      <c r="B77" s="4">
        <v>98</v>
      </c>
      <c r="C77" s="4">
        <v>2.2222222222222227E-3</v>
      </c>
      <c r="D77" s="10">
        <f t="shared" si="23"/>
        <v>10227.031666666669</v>
      </c>
      <c r="E77" s="10">
        <f t="shared" si="24"/>
        <v>5131.0610950614837</v>
      </c>
      <c r="F77" s="10">
        <f t="shared" si="25"/>
        <v>11016.728899017893</v>
      </c>
      <c r="G77" s="10">
        <f t="shared" si="26"/>
        <v>9786.461666666668</v>
      </c>
      <c r="H77" s="10">
        <f t="shared" si="27"/>
        <v>9786.461666666668</v>
      </c>
      <c r="I77" s="10">
        <f t="shared" si="28"/>
        <v>9786.461666666668</v>
      </c>
      <c r="J77" s="10">
        <f t="shared" si="29"/>
        <v>11958.78644539</v>
      </c>
      <c r="K77" s="10">
        <f t="shared" si="30"/>
        <v>14064.973671719999</v>
      </c>
      <c r="L77" s="10">
        <f t="shared" si="31"/>
        <v>14064.973671720001</v>
      </c>
      <c r="M77" s="10">
        <f t="shared" si="32"/>
        <v>14064.973671720001</v>
      </c>
      <c r="N77" s="10">
        <f t="shared" si="33"/>
        <v>11823.029830860001</v>
      </c>
      <c r="O77" s="10">
        <f t="shared" si="34"/>
        <v>11823.029830860003</v>
      </c>
      <c r="P77" s="10">
        <f t="shared" si="35"/>
        <v>11823.029830860003</v>
      </c>
      <c r="Q77" s="10">
        <f t="shared" si="36"/>
        <v>11823.029830860003</v>
      </c>
      <c r="R77" s="10">
        <f t="shared" si="37"/>
        <v>11823.029830860003</v>
      </c>
      <c r="S77" s="10">
        <f t="shared" si="38"/>
        <v>11823.029830860003</v>
      </c>
      <c r="T77" s="10">
        <f t="shared" si="39"/>
        <v>11823.029830860003</v>
      </c>
      <c r="U77" s="10">
        <f t="shared" si="40"/>
        <v>11823.029830860003</v>
      </c>
      <c r="V77" s="10">
        <f>SUM(Table27[[#This Row],[Payment 1 - 9/1/22]:[Payment 18 -2038]])</f>
        <v>204472.15276817608</v>
      </c>
    </row>
    <row r="78" spans="1:22" x14ac:dyDescent="0.3">
      <c r="A78" s="4" t="s">
        <v>102</v>
      </c>
      <c r="B78" s="4">
        <v>99</v>
      </c>
      <c r="C78" s="4">
        <v>2.5852918816343662E-3</v>
      </c>
      <c r="D78" s="10">
        <f t="shared" si="23"/>
        <v>11897.937873472911</v>
      </c>
      <c r="E78" s="10">
        <f t="shared" si="24"/>
        <v>5969.3807669545758</v>
      </c>
      <c r="F78" s="10">
        <f t="shared" si="25"/>
        <v>12816.656903158948</v>
      </c>
      <c r="G78" s="10">
        <f t="shared" si="26"/>
        <v>11385.386953541667</v>
      </c>
      <c r="H78" s="10">
        <f t="shared" si="27"/>
        <v>11385.386953541667</v>
      </c>
      <c r="I78" s="10">
        <f t="shared" si="28"/>
        <v>11385.386953541667</v>
      </c>
      <c r="J78" s="10">
        <f t="shared" si="29"/>
        <v>13912.629080159639</v>
      </c>
      <c r="K78" s="10">
        <f t="shared" si="30"/>
        <v>16362.928012004464</v>
      </c>
      <c r="L78" s="10">
        <f t="shared" si="31"/>
        <v>16362.928012004468</v>
      </c>
      <c r="M78" s="10">
        <f t="shared" si="32"/>
        <v>16362.928012004468</v>
      </c>
      <c r="N78" s="10">
        <f t="shared" si="33"/>
        <v>13754.69236711948</v>
      </c>
      <c r="O78" s="10">
        <f t="shared" si="34"/>
        <v>13754.692367119482</v>
      </c>
      <c r="P78" s="10">
        <f t="shared" si="35"/>
        <v>13754.692367119482</v>
      </c>
      <c r="Q78" s="10">
        <f t="shared" si="36"/>
        <v>13754.692367119482</v>
      </c>
      <c r="R78" s="10">
        <f t="shared" si="37"/>
        <v>13754.692367119482</v>
      </c>
      <c r="S78" s="10">
        <f t="shared" si="38"/>
        <v>13754.692367119482</v>
      </c>
      <c r="T78" s="10">
        <f t="shared" si="39"/>
        <v>13754.692367119482</v>
      </c>
      <c r="U78" s="10">
        <f t="shared" si="40"/>
        <v>13754.692367119482</v>
      </c>
      <c r="V78" s="10">
        <f>SUM(Table27[[#This Row],[Payment 1 - 9/1/22]:[Payment 18 -2038]])</f>
        <v>237879.08845734035</v>
      </c>
    </row>
    <row r="79" spans="1:22" x14ac:dyDescent="0.3">
      <c r="A79" s="4" t="s">
        <v>103</v>
      </c>
      <c r="B79" s="4">
        <v>100</v>
      </c>
      <c r="C79" s="4">
        <v>2.1910833240199327E-2</v>
      </c>
      <c r="D79" s="10">
        <f t="shared" si="23"/>
        <v>100837.25342575701</v>
      </c>
      <c r="E79" s="10">
        <f t="shared" si="24"/>
        <v>50591.620799625009</v>
      </c>
      <c r="F79" s="10">
        <f t="shared" si="25"/>
        <v>108623.56939148958</v>
      </c>
      <c r="G79" s="10">
        <f t="shared" si="26"/>
        <v>96493.288315471422</v>
      </c>
      <c r="H79" s="10">
        <f t="shared" si="27"/>
        <v>96493.288315471422</v>
      </c>
      <c r="I79" s="10">
        <f t="shared" si="28"/>
        <v>96493.288315471422</v>
      </c>
      <c r="J79" s="10">
        <f t="shared" si="29"/>
        <v>117912.13900204335</v>
      </c>
      <c r="K79" s="10">
        <f t="shared" si="30"/>
        <v>138678.88169198288</v>
      </c>
      <c r="L79" s="10">
        <f t="shared" si="31"/>
        <v>138678.88169198291</v>
      </c>
      <c r="M79" s="10">
        <f t="shared" si="32"/>
        <v>138678.88169198291</v>
      </c>
      <c r="N79" s="10">
        <f t="shared" si="33"/>
        <v>116573.59575804397</v>
      </c>
      <c r="O79" s="10">
        <f t="shared" si="34"/>
        <v>116573.59575804399</v>
      </c>
      <c r="P79" s="10">
        <f t="shared" si="35"/>
        <v>116573.59575804399</v>
      </c>
      <c r="Q79" s="10">
        <f t="shared" si="36"/>
        <v>116573.59575804399</v>
      </c>
      <c r="R79" s="10">
        <f t="shared" si="37"/>
        <v>116573.59575804399</v>
      </c>
      <c r="S79" s="10">
        <f t="shared" si="38"/>
        <v>116573.59575804399</v>
      </c>
      <c r="T79" s="10">
        <f t="shared" si="39"/>
        <v>116573.59575804399</v>
      </c>
      <c r="U79" s="10">
        <f t="shared" si="40"/>
        <v>116573.59575804399</v>
      </c>
      <c r="V79" s="10">
        <f>SUM(Table27[[#This Row],[Payment 1 - 9/1/22]:[Payment 18 -2038]])</f>
        <v>2016069.8587056294</v>
      </c>
    </row>
    <row r="80" spans="1:22" x14ac:dyDescent="0.3">
      <c r="A80" s="4" t="s">
        <v>104</v>
      </c>
      <c r="B80" s="4">
        <v>101</v>
      </c>
      <c r="C80" s="4">
        <v>8.8888888888888904E-4</v>
      </c>
      <c r="D80" s="10">
        <f t="shared" si="23"/>
        <v>4090.8126666666672</v>
      </c>
      <c r="E80" s="10">
        <f t="shared" si="24"/>
        <v>2052.4244380245932</v>
      </c>
      <c r="F80" s="10">
        <f t="shared" si="25"/>
        <v>4406.6915596071576</v>
      </c>
      <c r="G80" s="10">
        <f t="shared" si="26"/>
        <v>3914.5846666666675</v>
      </c>
      <c r="H80" s="10">
        <f t="shared" si="27"/>
        <v>3914.5846666666675</v>
      </c>
      <c r="I80" s="10">
        <f t="shared" si="28"/>
        <v>3914.5846666666675</v>
      </c>
      <c r="J80" s="10">
        <f t="shared" si="29"/>
        <v>4783.5145781560004</v>
      </c>
      <c r="K80" s="10">
        <f t="shared" si="30"/>
        <v>5625.9894686879998</v>
      </c>
      <c r="L80" s="10">
        <f t="shared" si="31"/>
        <v>5625.9894686880007</v>
      </c>
      <c r="M80" s="10">
        <f t="shared" si="32"/>
        <v>5625.9894686880007</v>
      </c>
      <c r="N80" s="10">
        <f t="shared" si="33"/>
        <v>4729.2119323440002</v>
      </c>
      <c r="O80" s="10">
        <f t="shared" si="34"/>
        <v>4729.2119323440011</v>
      </c>
      <c r="P80" s="10">
        <f t="shared" si="35"/>
        <v>4729.2119323440011</v>
      </c>
      <c r="Q80" s="10">
        <f t="shared" si="36"/>
        <v>4729.2119323440011</v>
      </c>
      <c r="R80" s="10">
        <f t="shared" si="37"/>
        <v>4729.2119323440011</v>
      </c>
      <c r="S80" s="10">
        <f t="shared" si="38"/>
        <v>4729.2119323440011</v>
      </c>
      <c r="T80" s="10">
        <f t="shared" si="39"/>
        <v>4729.2119323440011</v>
      </c>
      <c r="U80" s="10">
        <f t="shared" si="40"/>
        <v>4729.2119323440011</v>
      </c>
      <c r="V80" s="10">
        <f>SUM(Table27[[#This Row],[Payment 1 - 9/1/22]:[Payment 18 -2038]])</f>
        <v>81788.861107270408</v>
      </c>
    </row>
    <row r="81" spans="1:22" x14ac:dyDescent="0.3">
      <c r="A81" s="4" t="s">
        <v>106</v>
      </c>
      <c r="B81" s="4">
        <v>103</v>
      </c>
      <c r="C81" s="4">
        <v>8.8888888888888904E-4</v>
      </c>
      <c r="D81" s="10">
        <f t="shared" si="23"/>
        <v>4090.8126666666672</v>
      </c>
      <c r="E81" s="10">
        <f t="shared" si="24"/>
        <v>2052.4244380245932</v>
      </c>
      <c r="F81" s="10">
        <f t="shared" si="25"/>
        <v>4406.6915596071576</v>
      </c>
      <c r="G81" s="10">
        <f t="shared" si="26"/>
        <v>3914.5846666666675</v>
      </c>
      <c r="H81" s="10">
        <f t="shared" si="27"/>
        <v>3914.5846666666675</v>
      </c>
      <c r="I81" s="10">
        <f t="shared" si="28"/>
        <v>3914.5846666666675</v>
      </c>
      <c r="J81" s="10">
        <f t="shared" si="29"/>
        <v>4783.5145781560004</v>
      </c>
      <c r="K81" s="10">
        <f t="shared" si="30"/>
        <v>5625.9894686879998</v>
      </c>
      <c r="L81" s="10">
        <f t="shared" si="31"/>
        <v>5625.9894686880007</v>
      </c>
      <c r="M81" s="10">
        <f t="shared" si="32"/>
        <v>5625.9894686880007</v>
      </c>
      <c r="N81" s="10">
        <f t="shared" si="33"/>
        <v>4729.2119323440002</v>
      </c>
      <c r="O81" s="10">
        <f t="shared" si="34"/>
        <v>4729.2119323440011</v>
      </c>
      <c r="P81" s="10">
        <f t="shared" si="35"/>
        <v>4729.2119323440011</v>
      </c>
      <c r="Q81" s="10">
        <f t="shared" si="36"/>
        <v>4729.2119323440011</v>
      </c>
      <c r="R81" s="10">
        <f t="shared" si="37"/>
        <v>4729.2119323440011</v>
      </c>
      <c r="S81" s="10">
        <f t="shared" si="38"/>
        <v>4729.2119323440011</v>
      </c>
      <c r="T81" s="10">
        <f t="shared" si="39"/>
        <v>4729.2119323440011</v>
      </c>
      <c r="U81" s="10">
        <f t="shared" si="40"/>
        <v>4729.2119323440011</v>
      </c>
      <c r="V81" s="10">
        <f>SUM(Table27[[#This Row],[Payment 1 - 9/1/22]:[Payment 18 -2038]])</f>
        <v>81788.861107270408</v>
      </c>
    </row>
    <row r="82" spans="1:22" x14ac:dyDescent="0.3">
      <c r="A82" s="4" t="s">
        <v>109</v>
      </c>
      <c r="B82" s="4">
        <v>106</v>
      </c>
      <c r="C82" s="4">
        <v>2.4301656903479804E-3</v>
      </c>
      <c r="D82" s="10">
        <f t="shared" si="23"/>
        <v>11184.021661696046</v>
      </c>
      <c r="E82" s="10">
        <f t="shared" si="24"/>
        <v>5611.1978827339881</v>
      </c>
      <c r="F82" s="10">
        <f t="shared" si="25"/>
        <v>12047.614465616261</v>
      </c>
      <c r="G82" s="10">
        <f t="shared" si="26"/>
        <v>10702.225517507572</v>
      </c>
      <c r="H82" s="10">
        <f t="shared" si="27"/>
        <v>10702.225517507572</v>
      </c>
      <c r="I82" s="10">
        <f t="shared" si="28"/>
        <v>10702.225517507572</v>
      </c>
      <c r="J82" s="10">
        <f t="shared" si="29"/>
        <v>13077.824633003365</v>
      </c>
      <c r="K82" s="10">
        <f t="shared" si="30"/>
        <v>15381.097403697717</v>
      </c>
      <c r="L82" s="10">
        <f t="shared" si="31"/>
        <v>15381.09740369772</v>
      </c>
      <c r="M82" s="10">
        <f t="shared" si="32"/>
        <v>15381.09740369772</v>
      </c>
      <c r="N82" s="10">
        <f t="shared" si="33"/>
        <v>12929.364652912494</v>
      </c>
      <c r="O82" s="10">
        <f t="shared" si="34"/>
        <v>12929.364652912496</v>
      </c>
      <c r="P82" s="10">
        <f t="shared" si="35"/>
        <v>12929.364652912496</v>
      </c>
      <c r="Q82" s="10">
        <f t="shared" si="36"/>
        <v>12929.364652912496</v>
      </c>
      <c r="R82" s="10">
        <f t="shared" si="37"/>
        <v>12929.364652912496</v>
      </c>
      <c r="S82" s="10">
        <f t="shared" si="38"/>
        <v>12929.364652912496</v>
      </c>
      <c r="T82" s="10">
        <f t="shared" si="39"/>
        <v>12929.364652912496</v>
      </c>
      <c r="U82" s="10">
        <f t="shared" si="40"/>
        <v>12929.364652912496</v>
      </c>
      <c r="V82" s="10">
        <f>SUM(Table27[[#This Row],[Payment 1 - 9/1/22]:[Payment 18 -2038]])</f>
        <v>223605.54462996538</v>
      </c>
    </row>
    <row r="83" spans="1:22" x14ac:dyDescent="0.3">
      <c r="A83" s="4" t="s">
        <v>110</v>
      </c>
      <c r="B83" s="4">
        <v>107</v>
      </c>
      <c r="C83" s="4">
        <v>2.2222222222222227E-3</v>
      </c>
      <c r="D83" s="10">
        <f t="shared" si="23"/>
        <v>10227.031666666669</v>
      </c>
      <c r="E83" s="10">
        <f t="shared" si="24"/>
        <v>5131.0610950614837</v>
      </c>
      <c r="F83" s="10">
        <f t="shared" si="25"/>
        <v>11016.728899017893</v>
      </c>
      <c r="G83" s="10">
        <f t="shared" si="26"/>
        <v>9786.461666666668</v>
      </c>
      <c r="H83" s="10">
        <f t="shared" si="27"/>
        <v>9786.461666666668</v>
      </c>
      <c r="I83" s="10">
        <f t="shared" si="28"/>
        <v>9786.461666666668</v>
      </c>
      <c r="J83" s="10">
        <f t="shared" si="29"/>
        <v>11958.78644539</v>
      </c>
      <c r="K83" s="10">
        <f t="shared" si="30"/>
        <v>14064.973671719999</v>
      </c>
      <c r="L83" s="10">
        <f t="shared" si="31"/>
        <v>14064.973671720001</v>
      </c>
      <c r="M83" s="10">
        <f t="shared" si="32"/>
        <v>14064.973671720001</v>
      </c>
      <c r="N83" s="10">
        <f t="shared" si="33"/>
        <v>11823.029830860001</v>
      </c>
      <c r="O83" s="10">
        <f t="shared" si="34"/>
        <v>11823.029830860003</v>
      </c>
      <c r="P83" s="10">
        <f t="shared" si="35"/>
        <v>11823.029830860003</v>
      </c>
      <c r="Q83" s="10">
        <f t="shared" si="36"/>
        <v>11823.029830860003</v>
      </c>
      <c r="R83" s="10">
        <f t="shared" si="37"/>
        <v>11823.029830860003</v>
      </c>
      <c r="S83" s="10">
        <f t="shared" si="38"/>
        <v>11823.029830860003</v>
      </c>
      <c r="T83" s="10">
        <f t="shared" si="39"/>
        <v>11823.029830860003</v>
      </c>
      <c r="U83" s="10">
        <f t="shared" si="40"/>
        <v>11823.029830860003</v>
      </c>
      <c r="V83" s="10">
        <f>SUM(Table27[[#This Row],[Payment 1 - 9/1/22]:[Payment 18 -2038]])</f>
        <v>204472.15276817608</v>
      </c>
    </row>
    <row r="84" spans="1:22" x14ac:dyDescent="0.3">
      <c r="A84" s="4" t="s">
        <v>111</v>
      </c>
      <c r="B84" s="4">
        <v>108</v>
      </c>
      <c r="C84" s="4">
        <v>2.2222222222222227E-3</v>
      </c>
      <c r="D84" s="10">
        <f t="shared" si="23"/>
        <v>10227.031666666669</v>
      </c>
      <c r="E84" s="10">
        <f t="shared" si="24"/>
        <v>5131.0610950614837</v>
      </c>
      <c r="F84" s="10">
        <f t="shared" si="25"/>
        <v>11016.728899017893</v>
      </c>
      <c r="G84" s="10">
        <f t="shared" si="26"/>
        <v>9786.461666666668</v>
      </c>
      <c r="H84" s="10">
        <f t="shared" si="27"/>
        <v>9786.461666666668</v>
      </c>
      <c r="I84" s="10">
        <f t="shared" si="28"/>
        <v>9786.461666666668</v>
      </c>
      <c r="J84" s="10">
        <f t="shared" si="29"/>
        <v>11958.78644539</v>
      </c>
      <c r="K84" s="10">
        <f t="shared" si="30"/>
        <v>14064.973671719999</v>
      </c>
      <c r="L84" s="10">
        <f t="shared" si="31"/>
        <v>14064.973671720001</v>
      </c>
      <c r="M84" s="10">
        <f t="shared" si="32"/>
        <v>14064.973671720001</v>
      </c>
      <c r="N84" s="10">
        <f t="shared" si="33"/>
        <v>11823.029830860001</v>
      </c>
      <c r="O84" s="10">
        <f t="shared" si="34"/>
        <v>11823.029830860003</v>
      </c>
      <c r="P84" s="10">
        <f t="shared" si="35"/>
        <v>11823.029830860003</v>
      </c>
      <c r="Q84" s="10">
        <f t="shared" si="36"/>
        <v>11823.029830860003</v>
      </c>
      <c r="R84" s="10">
        <f t="shared" si="37"/>
        <v>11823.029830860003</v>
      </c>
      <c r="S84" s="10">
        <f t="shared" si="38"/>
        <v>11823.029830860003</v>
      </c>
      <c r="T84" s="10">
        <f t="shared" si="39"/>
        <v>11823.029830860003</v>
      </c>
      <c r="U84" s="10">
        <f t="shared" si="40"/>
        <v>11823.029830860003</v>
      </c>
      <c r="V84" s="10">
        <f>SUM(Table27[[#This Row],[Payment 1 - 9/1/22]:[Payment 18 -2038]])</f>
        <v>204472.15276817608</v>
      </c>
    </row>
    <row r="85" spans="1:22" x14ac:dyDescent="0.3">
      <c r="A85" s="4" t="s">
        <v>112</v>
      </c>
      <c r="B85" s="4">
        <v>109</v>
      </c>
      <c r="C85" s="4">
        <v>8.8888888888888904E-4</v>
      </c>
      <c r="D85" s="10">
        <f t="shared" si="23"/>
        <v>4090.8126666666672</v>
      </c>
      <c r="E85" s="10">
        <f t="shared" si="24"/>
        <v>2052.4244380245932</v>
      </c>
      <c r="F85" s="10">
        <f t="shared" si="25"/>
        <v>4406.6915596071576</v>
      </c>
      <c r="G85" s="10">
        <f t="shared" si="26"/>
        <v>3914.5846666666675</v>
      </c>
      <c r="H85" s="10">
        <f t="shared" si="27"/>
        <v>3914.5846666666675</v>
      </c>
      <c r="I85" s="10">
        <f t="shared" si="28"/>
        <v>3914.5846666666675</v>
      </c>
      <c r="J85" s="10">
        <f t="shared" si="29"/>
        <v>4783.5145781560004</v>
      </c>
      <c r="K85" s="10">
        <f t="shared" si="30"/>
        <v>5625.9894686879998</v>
      </c>
      <c r="L85" s="10">
        <f t="shared" si="31"/>
        <v>5625.9894686880007</v>
      </c>
      <c r="M85" s="10">
        <f t="shared" si="32"/>
        <v>5625.9894686880007</v>
      </c>
      <c r="N85" s="10">
        <f t="shared" si="33"/>
        <v>4729.2119323440002</v>
      </c>
      <c r="O85" s="10">
        <f t="shared" si="34"/>
        <v>4729.2119323440011</v>
      </c>
      <c r="P85" s="10">
        <f t="shared" si="35"/>
        <v>4729.2119323440011</v>
      </c>
      <c r="Q85" s="10">
        <f t="shared" si="36"/>
        <v>4729.2119323440011</v>
      </c>
      <c r="R85" s="10">
        <f t="shared" si="37"/>
        <v>4729.2119323440011</v>
      </c>
      <c r="S85" s="10">
        <f t="shared" si="38"/>
        <v>4729.2119323440011</v>
      </c>
      <c r="T85" s="10">
        <f t="shared" si="39"/>
        <v>4729.2119323440011</v>
      </c>
      <c r="U85" s="10">
        <f t="shared" si="40"/>
        <v>4729.2119323440011</v>
      </c>
      <c r="V85" s="10">
        <f>SUM(Table27[[#This Row],[Payment 1 - 9/1/22]:[Payment 18 -2038]])</f>
        <v>81788.861107270408</v>
      </c>
    </row>
    <row r="86" spans="1:22" x14ac:dyDescent="0.3">
      <c r="A86" s="4" t="s">
        <v>113</v>
      </c>
      <c r="B86" s="4">
        <v>110</v>
      </c>
      <c r="C86" s="4">
        <v>3.2057966467799095E-3</v>
      </c>
      <c r="D86" s="10">
        <f t="shared" si="23"/>
        <v>14753.602720580377</v>
      </c>
      <c r="E86" s="10">
        <f t="shared" si="24"/>
        <v>7402.1123038369278</v>
      </c>
      <c r="F86" s="10">
        <f t="shared" si="25"/>
        <v>15892.826653329696</v>
      </c>
      <c r="G86" s="10">
        <f t="shared" si="26"/>
        <v>14118.032697678056</v>
      </c>
      <c r="H86" s="10">
        <f t="shared" si="27"/>
        <v>14118.032697678056</v>
      </c>
      <c r="I86" s="10">
        <f t="shared" si="28"/>
        <v>14118.032697678056</v>
      </c>
      <c r="J86" s="10">
        <f t="shared" si="29"/>
        <v>17251.846868784731</v>
      </c>
      <c r="K86" s="10">
        <f t="shared" si="30"/>
        <v>20290.250445231453</v>
      </c>
      <c r="L86" s="10">
        <f t="shared" si="31"/>
        <v>20290.250445231457</v>
      </c>
      <c r="M86" s="10">
        <f t="shared" si="32"/>
        <v>20290.250445231457</v>
      </c>
      <c r="N86" s="10">
        <f t="shared" si="33"/>
        <v>17056.00322394742</v>
      </c>
      <c r="O86" s="10">
        <f t="shared" si="34"/>
        <v>17056.003223947424</v>
      </c>
      <c r="P86" s="10">
        <f t="shared" si="35"/>
        <v>17056.003223947424</v>
      </c>
      <c r="Q86" s="10">
        <f t="shared" si="36"/>
        <v>17056.003223947424</v>
      </c>
      <c r="R86" s="10">
        <f t="shared" si="37"/>
        <v>17056.003223947424</v>
      </c>
      <c r="S86" s="10">
        <f t="shared" si="38"/>
        <v>17056.003223947424</v>
      </c>
      <c r="T86" s="10">
        <f t="shared" si="39"/>
        <v>17056.003223947424</v>
      </c>
      <c r="U86" s="10">
        <f t="shared" si="40"/>
        <v>17056.003223947424</v>
      </c>
      <c r="V86" s="10">
        <f>SUM(Table27[[#This Row],[Payment 1 - 9/1/22]:[Payment 18 -2038]])</f>
        <v>294973.26376683963</v>
      </c>
    </row>
    <row r="87" spans="1:22" x14ac:dyDescent="0.3">
      <c r="A87" s="4" t="s">
        <v>114</v>
      </c>
      <c r="B87" s="4">
        <v>111</v>
      </c>
      <c r="C87" s="4">
        <v>8.8888888888888904E-4</v>
      </c>
      <c r="D87" s="10">
        <f t="shared" si="23"/>
        <v>4090.8126666666672</v>
      </c>
      <c r="E87" s="10">
        <f t="shared" si="24"/>
        <v>2052.4244380245932</v>
      </c>
      <c r="F87" s="10">
        <f t="shared" si="25"/>
        <v>4406.6915596071576</v>
      </c>
      <c r="G87" s="10">
        <f t="shared" si="26"/>
        <v>3914.5846666666675</v>
      </c>
      <c r="H87" s="10">
        <f t="shared" si="27"/>
        <v>3914.5846666666675</v>
      </c>
      <c r="I87" s="10">
        <f t="shared" si="28"/>
        <v>3914.5846666666675</v>
      </c>
      <c r="J87" s="10">
        <f t="shared" si="29"/>
        <v>4783.5145781560004</v>
      </c>
      <c r="K87" s="10">
        <f t="shared" si="30"/>
        <v>5625.9894686879998</v>
      </c>
      <c r="L87" s="10">
        <f t="shared" si="31"/>
        <v>5625.9894686880007</v>
      </c>
      <c r="M87" s="10">
        <f t="shared" si="32"/>
        <v>5625.9894686880007</v>
      </c>
      <c r="N87" s="10">
        <f t="shared" si="33"/>
        <v>4729.2119323440002</v>
      </c>
      <c r="O87" s="10">
        <f t="shared" si="34"/>
        <v>4729.2119323440011</v>
      </c>
      <c r="P87" s="10">
        <f t="shared" si="35"/>
        <v>4729.2119323440011</v>
      </c>
      <c r="Q87" s="10">
        <f t="shared" si="36"/>
        <v>4729.2119323440011</v>
      </c>
      <c r="R87" s="10">
        <f t="shared" si="37"/>
        <v>4729.2119323440011</v>
      </c>
      <c r="S87" s="10">
        <f t="shared" si="38"/>
        <v>4729.2119323440011</v>
      </c>
      <c r="T87" s="10">
        <f t="shared" si="39"/>
        <v>4729.2119323440011</v>
      </c>
      <c r="U87" s="10">
        <f t="shared" si="40"/>
        <v>4729.2119323440011</v>
      </c>
      <c r="V87" s="10">
        <f>SUM(Table27[[#This Row],[Payment 1 - 9/1/22]:[Payment 18 -2038]])</f>
        <v>81788.861107270408</v>
      </c>
    </row>
    <row r="88" spans="1:22" x14ac:dyDescent="0.3">
      <c r="A88" s="4" t="s">
        <v>115</v>
      </c>
      <c r="B88" s="4">
        <v>112</v>
      </c>
      <c r="C88" s="4">
        <v>8.8888888888888904E-4</v>
      </c>
      <c r="D88" s="10">
        <f t="shared" si="23"/>
        <v>4090.8126666666672</v>
      </c>
      <c r="E88" s="10">
        <f t="shared" si="24"/>
        <v>2052.4244380245932</v>
      </c>
      <c r="F88" s="10">
        <f t="shared" si="25"/>
        <v>4406.6915596071576</v>
      </c>
      <c r="G88" s="10">
        <f t="shared" si="26"/>
        <v>3914.5846666666675</v>
      </c>
      <c r="H88" s="10">
        <f t="shared" si="27"/>
        <v>3914.5846666666675</v>
      </c>
      <c r="I88" s="10">
        <f t="shared" si="28"/>
        <v>3914.5846666666675</v>
      </c>
      <c r="J88" s="10">
        <f t="shared" si="29"/>
        <v>4783.5145781560004</v>
      </c>
      <c r="K88" s="10">
        <f t="shared" si="30"/>
        <v>5625.9894686879998</v>
      </c>
      <c r="L88" s="10">
        <f t="shared" si="31"/>
        <v>5625.9894686880007</v>
      </c>
      <c r="M88" s="10">
        <f t="shared" si="32"/>
        <v>5625.9894686880007</v>
      </c>
      <c r="N88" s="10">
        <f t="shared" si="33"/>
        <v>4729.2119323440002</v>
      </c>
      <c r="O88" s="10">
        <f t="shared" si="34"/>
        <v>4729.2119323440011</v>
      </c>
      <c r="P88" s="10">
        <f t="shared" si="35"/>
        <v>4729.2119323440011</v>
      </c>
      <c r="Q88" s="10">
        <f t="shared" si="36"/>
        <v>4729.2119323440011</v>
      </c>
      <c r="R88" s="10">
        <f t="shared" si="37"/>
        <v>4729.2119323440011</v>
      </c>
      <c r="S88" s="10">
        <f t="shared" si="38"/>
        <v>4729.2119323440011</v>
      </c>
      <c r="T88" s="10">
        <f t="shared" si="39"/>
        <v>4729.2119323440011</v>
      </c>
      <c r="U88" s="10">
        <f t="shared" si="40"/>
        <v>4729.2119323440011</v>
      </c>
      <c r="V88" s="10">
        <f>SUM(Table27[[#This Row],[Payment 1 - 9/1/22]:[Payment 18 -2038]])</f>
        <v>81788.861107270408</v>
      </c>
    </row>
    <row r="89" spans="1:22" x14ac:dyDescent="0.3">
      <c r="A89" s="4" t="s">
        <v>116</v>
      </c>
      <c r="B89" s="4">
        <v>113</v>
      </c>
      <c r="C89" s="4">
        <v>8.8888888888888904E-4</v>
      </c>
      <c r="D89" s="10">
        <f t="shared" si="23"/>
        <v>4090.8126666666672</v>
      </c>
      <c r="E89" s="10">
        <f t="shared" si="24"/>
        <v>2052.4244380245932</v>
      </c>
      <c r="F89" s="10">
        <f t="shared" si="25"/>
        <v>4406.6915596071576</v>
      </c>
      <c r="G89" s="10">
        <f t="shared" si="26"/>
        <v>3914.5846666666675</v>
      </c>
      <c r="H89" s="10">
        <f t="shared" si="27"/>
        <v>3914.5846666666675</v>
      </c>
      <c r="I89" s="10">
        <f t="shared" si="28"/>
        <v>3914.5846666666675</v>
      </c>
      <c r="J89" s="10">
        <f t="shared" si="29"/>
        <v>4783.5145781560004</v>
      </c>
      <c r="K89" s="10">
        <f t="shared" si="30"/>
        <v>5625.9894686879998</v>
      </c>
      <c r="L89" s="10">
        <f t="shared" si="31"/>
        <v>5625.9894686880007</v>
      </c>
      <c r="M89" s="10">
        <f t="shared" si="32"/>
        <v>5625.9894686880007</v>
      </c>
      <c r="N89" s="10">
        <f t="shared" si="33"/>
        <v>4729.2119323440002</v>
      </c>
      <c r="O89" s="10">
        <f t="shared" si="34"/>
        <v>4729.2119323440011</v>
      </c>
      <c r="P89" s="10">
        <f t="shared" si="35"/>
        <v>4729.2119323440011</v>
      </c>
      <c r="Q89" s="10">
        <f t="shared" si="36"/>
        <v>4729.2119323440011</v>
      </c>
      <c r="R89" s="10">
        <f t="shared" si="37"/>
        <v>4729.2119323440011</v>
      </c>
      <c r="S89" s="10">
        <f t="shared" si="38"/>
        <v>4729.2119323440011</v>
      </c>
      <c r="T89" s="10">
        <f t="shared" si="39"/>
        <v>4729.2119323440011</v>
      </c>
      <c r="U89" s="10">
        <f t="shared" si="40"/>
        <v>4729.2119323440011</v>
      </c>
      <c r="V89" s="10">
        <f>SUM(Table27[[#This Row],[Payment 1 - 9/1/22]:[Payment 18 -2038]])</f>
        <v>81788.861107270408</v>
      </c>
    </row>
    <row r="90" spans="1:22" x14ac:dyDescent="0.3">
      <c r="E90" s="9">
        <f>B90*$F$9</f>
        <v>0</v>
      </c>
    </row>
  </sheetData>
  <sheetProtection algorithmName="SHA-512" hashValue="FtK5Q+sdkScDT1FhW4L9tVlMI0qsCiyhcrd0DosguxrpPa59r9MUMEBMYY13qcy7bh8DJienigbyQxWDHfbCtw==" saltValue="sVkBw0pm160r6HHhZ8UKCA==" spinCount="100000" sheet="1" objects="1" scenarios="1" selectLockedCells="1" selectUnlockedCells="1"/>
  <pageMargins left="0.7" right="0.7" top="0.75" bottom="0.75" header="0.3" footer="0.3"/>
  <pageSetup orientation="portrait" copies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7"/>
  <sheetViews>
    <sheetView workbookViewId="0">
      <selection activeCell="C98" sqref="C98"/>
    </sheetView>
  </sheetViews>
  <sheetFormatPr defaultColWidth="12.5546875" defaultRowHeight="15.6" x14ac:dyDescent="0.3"/>
  <cols>
    <col min="1" max="1" width="58.44140625" style="4" bestFit="1" customWidth="1"/>
    <col min="2" max="2" width="24.6640625" style="4" bestFit="1" customWidth="1"/>
    <col min="3" max="3" width="13.109375" style="4" bestFit="1" customWidth="1"/>
    <col min="4" max="4" width="30.88671875" style="4" bestFit="1" customWidth="1"/>
    <col min="5" max="5" width="23.88671875" style="4" bestFit="1" customWidth="1"/>
    <col min="6" max="12" width="19.5546875" style="4" bestFit="1" customWidth="1"/>
    <col min="13" max="13" width="20.6640625" style="4" bestFit="1" customWidth="1"/>
    <col min="14" max="14" width="20.109375" style="4" bestFit="1" customWidth="1"/>
    <col min="15" max="15" width="13.88671875" style="4" bestFit="1" customWidth="1"/>
    <col min="16" max="16384" width="12.5546875" style="4"/>
  </cols>
  <sheetData>
    <row r="1" spans="1:15" x14ac:dyDescent="0.3">
      <c r="A1" s="19" t="s">
        <v>190</v>
      </c>
      <c r="B1" s="19" t="s">
        <v>170</v>
      </c>
      <c r="D1" s="19" t="s">
        <v>233</v>
      </c>
      <c r="E1" s="19" t="s">
        <v>234</v>
      </c>
      <c r="F1" s="19" t="s">
        <v>173</v>
      </c>
      <c r="G1" s="19" t="s">
        <v>174</v>
      </c>
      <c r="H1" s="19" t="s">
        <v>175</v>
      </c>
      <c r="I1" s="26" t="s">
        <v>176</v>
      </c>
      <c r="J1" s="26" t="s">
        <v>177</v>
      </c>
      <c r="K1" s="26" t="s">
        <v>178</v>
      </c>
      <c r="L1" s="26" t="s">
        <v>235</v>
      </c>
      <c r="M1" s="26" t="s">
        <v>236</v>
      </c>
      <c r="N1" s="26" t="s">
        <v>237</v>
      </c>
    </row>
    <row r="2" spans="1:15" x14ac:dyDescent="0.3">
      <c r="E2" s="10">
        <v>6179610.5999999996</v>
      </c>
      <c r="F2" s="10">
        <v>2358271.6781267775</v>
      </c>
      <c r="G2" s="13">
        <v>5356907.0999999996</v>
      </c>
      <c r="H2" s="13">
        <v>5747386.7999999998</v>
      </c>
      <c r="I2" s="13">
        <v>677471.7</v>
      </c>
      <c r="J2" s="13">
        <v>1101433.05</v>
      </c>
      <c r="K2" s="13">
        <v>1101433.05</v>
      </c>
      <c r="L2" s="13">
        <v>1402316.8499999999</v>
      </c>
      <c r="M2" s="13">
        <v>1402316.8499999999</v>
      </c>
      <c r="N2" s="13">
        <v>1402316.8499999999</v>
      </c>
    </row>
    <row r="4" spans="1:15" x14ac:dyDescent="0.3">
      <c r="A4" s="36">
        <v>0.25</v>
      </c>
      <c r="E4" s="9">
        <f>E2*0.25</f>
        <v>1544902.65</v>
      </c>
      <c r="F4" s="9">
        <f t="shared" ref="F4:N4" si="0">F2*0.25</f>
        <v>589567.91953169438</v>
      </c>
      <c r="G4" s="9">
        <f t="shared" si="0"/>
        <v>1339226.7749999999</v>
      </c>
      <c r="H4" s="9">
        <f t="shared" si="0"/>
        <v>1436846.7</v>
      </c>
      <c r="I4" s="9">
        <f t="shared" si="0"/>
        <v>169367.92499999999</v>
      </c>
      <c r="J4" s="9">
        <f t="shared" si="0"/>
        <v>275358.26250000001</v>
      </c>
      <c r="K4" s="9">
        <f t="shared" si="0"/>
        <v>275358.26250000001</v>
      </c>
      <c r="L4" s="9">
        <f t="shared" si="0"/>
        <v>350579.21249999997</v>
      </c>
      <c r="M4" s="9">
        <f t="shared" si="0"/>
        <v>350579.21249999997</v>
      </c>
      <c r="N4" s="9">
        <f t="shared" si="0"/>
        <v>350579.21249999997</v>
      </c>
    </row>
    <row r="5" spans="1:15" x14ac:dyDescent="0.3">
      <c r="A5" s="4" t="s">
        <v>190</v>
      </c>
      <c r="B5" s="4" t="s">
        <v>192</v>
      </c>
      <c r="C5" s="4" t="s">
        <v>238</v>
      </c>
      <c r="D5" s="4" t="s">
        <v>233</v>
      </c>
      <c r="E5" s="9" t="s">
        <v>234</v>
      </c>
      <c r="F5" s="9" t="s">
        <v>173</v>
      </c>
      <c r="G5" s="9" t="s">
        <v>174</v>
      </c>
      <c r="H5" s="9" t="s">
        <v>175</v>
      </c>
      <c r="I5" s="9" t="s">
        <v>176</v>
      </c>
      <c r="J5" s="9" t="s">
        <v>177</v>
      </c>
      <c r="K5" s="9" t="s">
        <v>178</v>
      </c>
      <c r="L5" s="9" t="s">
        <v>235</v>
      </c>
      <c r="M5" s="9" t="s">
        <v>236</v>
      </c>
      <c r="N5" s="9" t="s">
        <v>237</v>
      </c>
      <c r="O5" s="9" t="s">
        <v>156</v>
      </c>
    </row>
    <row r="6" spans="1:15" x14ac:dyDescent="0.3">
      <c r="A6" s="4" t="s">
        <v>53</v>
      </c>
      <c r="B6" s="4">
        <v>0.7</v>
      </c>
      <c r="C6" s="4">
        <v>51</v>
      </c>
      <c r="E6" s="9">
        <f t="shared" ref="E6:N6" si="1">E4*0.7</f>
        <v>1081431.855</v>
      </c>
      <c r="F6" s="9">
        <f t="shared" si="1"/>
        <v>412697.54367218603</v>
      </c>
      <c r="G6" s="9">
        <f t="shared" si="1"/>
        <v>937458.74249999982</v>
      </c>
      <c r="H6" s="9">
        <f t="shared" si="1"/>
        <v>1005792.69</v>
      </c>
      <c r="I6" s="9">
        <f t="shared" si="1"/>
        <v>118557.54749999999</v>
      </c>
      <c r="J6" s="9">
        <f t="shared" si="1"/>
        <v>192750.78375</v>
      </c>
      <c r="K6" s="9">
        <f t="shared" si="1"/>
        <v>192750.78375</v>
      </c>
      <c r="L6" s="9">
        <f t="shared" si="1"/>
        <v>245405.44874999995</v>
      </c>
      <c r="M6" s="9">
        <f t="shared" si="1"/>
        <v>245405.44874999995</v>
      </c>
      <c r="N6" s="9">
        <f t="shared" si="1"/>
        <v>245405.44874999995</v>
      </c>
      <c r="O6" s="9">
        <f>SUM(Table4[[#This Row],[Payment 2 - 12/15/22]:[Payment 11 -2031]])</f>
        <v>4677656.2924221847</v>
      </c>
    </row>
    <row r="7" spans="1:15" x14ac:dyDescent="0.3">
      <c r="A7" s="4" t="s">
        <v>25</v>
      </c>
      <c r="B7" s="4">
        <v>0.25</v>
      </c>
      <c r="C7" s="4">
        <v>23</v>
      </c>
      <c r="E7" s="9">
        <f t="shared" ref="E7:N7" si="2">E4*0.25</f>
        <v>386225.66249999998</v>
      </c>
      <c r="F7" s="9">
        <f t="shared" si="2"/>
        <v>147391.9798829236</v>
      </c>
      <c r="G7" s="9">
        <f t="shared" si="2"/>
        <v>334806.69374999998</v>
      </c>
      <c r="H7" s="9">
        <f t="shared" si="2"/>
        <v>359211.67499999999</v>
      </c>
      <c r="I7" s="9">
        <f t="shared" si="2"/>
        <v>42341.981249999997</v>
      </c>
      <c r="J7" s="9">
        <f t="shared" si="2"/>
        <v>68839.565625000003</v>
      </c>
      <c r="K7" s="9">
        <f t="shared" si="2"/>
        <v>68839.565625000003</v>
      </c>
      <c r="L7" s="9">
        <f t="shared" si="2"/>
        <v>87644.803124999991</v>
      </c>
      <c r="M7" s="9">
        <f t="shared" si="2"/>
        <v>87644.803124999991</v>
      </c>
      <c r="N7" s="9">
        <f t="shared" si="2"/>
        <v>87644.803124999991</v>
      </c>
      <c r="O7" s="9">
        <f>SUM(Table4[[#This Row],[Payment 2 - 12/15/22]:[Payment 11 -2031]])</f>
        <v>1670591.5330079237</v>
      </c>
    </row>
    <row r="8" spans="1:15" x14ac:dyDescent="0.3">
      <c r="A8" s="4" t="s">
        <v>15</v>
      </c>
      <c r="B8" s="4">
        <v>0.05</v>
      </c>
      <c r="C8" s="4">
        <v>13</v>
      </c>
      <c r="E8" s="9">
        <f t="shared" ref="E8:N8" si="3">E4*0.05</f>
        <v>77245.132499999992</v>
      </c>
      <c r="F8" s="9">
        <f t="shared" si="3"/>
        <v>29478.395976584721</v>
      </c>
      <c r="G8" s="9">
        <f t="shared" si="3"/>
        <v>66961.338749999995</v>
      </c>
      <c r="H8" s="9">
        <f t="shared" si="3"/>
        <v>71842.335000000006</v>
      </c>
      <c r="I8" s="9">
        <f t="shared" si="3"/>
        <v>8468.3962499999998</v>
      </c>
      <c r="J8" s="9">
        <f t="shared" si="3"/>
        <v>13767.913125000001</v>
      </c>
      <c r="K8" s="9">
        <f t="shared" si="3"/>
        <v>13767.913125000001</v>
      </c>
      <c r="L8" s="9">
        <f t="shared" si="3"/>
        <v>17528.960625</v>
      </c>
      <c r="M8" s="9">
        <f t="shared" si="3"/>
        <v>17528.960625</v>
      </c>
      <c r="N8" s="9">
        <f t="shared" si="3"/>
        <v>17528.960625</v>
      </c>
      <c r="O8" s="9">
        <f>SUM(Table4[[#This Row],[Payment 2 - 12/15/22]:[Payment 11 -2031]])</f>
        <v>334118.30660158477</v>
      </c>
    </row>
    <row r="9" spans="1:15" x14ac:dyDescent="0.3">
      <c r="A9" s="36">
        <v>0.75</v>
      </c>
      <c r="E9" s="9">
        <f t="shared" ref="E9:N9" si="4">E2*0.75</f>
        <v>4634707.9499999993</v>
      </c>
      <c r="F9" s="9">
        <f t="shared" si="4"/>
        <v>1768703.7585950831</v>
      </c>
      <c r="G9" s="9">
        <f t="shared" si="4"/>
        <v>4017680.3249999997</v>
      </c>
      <c r="H9" s="9">
        <f t="shared" si="4"/>
        <v>4310540.0999999996</v>
      </c>
      <c r="I9" s="9">
        <f t="shared" si="4"/>
        <v>508103.77499999997</v>
      </c>
      <c r="J9" s="9">
        <f t="shared" si="4"/>
        <v>826074.78750000009</v>
      </c>
      <c r="K9" s="9">
        <f t="shared" si="4"/>
        <v>826074.78750000009</v>
      </c>
      <c r="L9" s="9">
        <f t="shared" si="4"/>
        <v>1051737.6375</v>
      </c>
      <c r="M9" s="9">
        <f t="shared" si="4"/>
        <v>1051737.6375</v>
      </c>
      <c r="N9" s="9">
        <f t="shared" si="4"/>
        <v>1051737.6375</v>
      </c>
    </row>
    <row r="11" spans="1:15" x14ac:dyDescent="0.3">
      <c r="A11" s="4" t="s">
        <v>190</v>
      </c>
      <c r="B11" s="4" t="s">
        <v>192</v>
      </c>
      <c r="C11" s="4" t="s">
        <v>191</v>
      </c>
      <c r="D11" s="4" t="s">
        <v>233</v>
      </c>
      <c r="E11" s="9" t="s">
        <v>234</v>
      </c>
      <c r="F11" s="9" t="s">
        <v>173</v>
      </c>
      <c r="G11" s="9" t="s">
        <v>174</v>
      </c>
      <c r="H11" s="9" t="s">
        <v>175</v>
      </c>
      <c r="I11" s="9" t="s">
        <v>176</v>
      </c>
      <c r="J11" s="9" t="s">
        <v>177</v>
      </c>
      <c r="K11" s="9" t="s">
        <v>178</v>
      </c>
      <c r="L11" s="9" t="s">
        <v>235</v>
      </c>
      <c r="M11" s="9" t="s">
        <v>236</v>
      </c>
      <c r="N11" s="9" t="s">
        <v>237</v>
      </c>
      <c r="O11" s="9" t="s">
        <v>156</v>
      </c>
    </row>
    <row r="12" spans="1:15" x14ac:dyDescent="0.3">
      <c r="A12" s="4" t="s">
        <v>194</v>
      </c>
      <c r="B12" s="4">
        <v>8.8888888888888906E-3</v>
      </c>
      <c r="C12" s="4">
        <v>1</v>
      </c>
      <c r="E12" s="9">
        <f t="shared" ref="E12:E75" si="5">B12*$E$9</f>
        <v>41197.404000000002</v>
      </c>
      <c r="F12" s="9">
        <f t="shared" ref="F12:F75" si="6">B12*$F$9</f>
        <v>15721.811187511854</v>
      </c>
      <c r="G12" s="9">
        <f t="shared" ref="G12:G75" si="7">B12*$G$9</f>
        <v>35712.714000000007</v>
      </c>
      <c r="H12" s="9">
        <f t="shared" ref="H12:H75" si="8">B12*$H$9</f>
        <v>38315.912000000004</v>
      </c>
      <c r="I12" s="9">
        <f t="shared" ref="I12:I75" si="9">B12*$I$9</f>
        <v>4516.478000000001</v>
      </c>
      <c r="J12" s="9">
        <f t="shared" ref="J12:J75" si="10">B12*$J$9</f>
        <v>7342.8870000000024</v>
      </c>
      <c r="K12" s="9">
        <f t="shared" ref="K12:K75" si="11">B12*$K$9</f>
        <v>7342.8870000000024</v>
      </c>
      <c r="L12" s="9">
        <f t="shared" ref="L12:L75" si="12">B12*$L$9</f>
        <v>9348.7790000000023</v>
      </c>
      <c r="M12" s="9">
        <f t="shared" ref="M12:M75" si="13">B12*$M$9</f>
        <v>9348.7790000000023</v>
      </c>
      <c r="N12" s="9">
        <f t="shared" ref="N12:N75" si="14">B12*$N$9</f>
        <v>9348.7790000000023</v>
      </c>
      <c r="O12" s="9">
        <f>SUM(Table311[[#This Row],[Payment 2 - 12/15/22]:[Payment 11 -2031]])</f>
        <v>178196.43018751187</v>
      </c>
    </row>
    <row r="13" spans="1:15" x14ac:dyDescent="0.3">
      <c r="A13" s="4" t="s">
        <v>195</v>
      </c>
      <c r="B13" s="4">
        <v>8.3307205013187738E-2</v>
      </c>
      <c r="C13" s="4">
        <v>2</v>
      </c>
      <c r="E13" s="9">
        <f t="shared" si="5"/>
        <v>386104.56536690099</v>
      </c>
      <c r="F13" s="9">
        <f t="shared" si="6"/>
        <v>147345.7666248763</v>
      </c>
      <c r="G13" s="9">
        <f t="shared" si="7"/>
        <v>334701.71851222572</v>
      </c>
      <c r="H13" s="9">
        <f t="shared" si="8"/>
        <v>359099.04782826675</v>
      </c>
      <c r="I13" s="9">
        <f t="shared" si="9"/>
        <v>42328.705351899611</v>
      </c>
      <c r="J13" s="9">
        <f t="shared" si="10"/>
        <v>68817.981678488009</v>
      </c>
      <c r="K13" s="9">
        <f t="shared" si="11"/>
        <v>68817.981678488009</v>
      </c>
      <c r="L13" s="9">
        <f t="shared" si="12"/>
        <v>87617.322987298219</v>
      </c>
      <c r="M13" s="9">
        <f t="shared" si="13"/>
        <v>87617.322987298219</v>
      </c>
      <c r="N13" s="9">
        <f t="shared" si="14"/>
        <v>87617.322987298219</v>
      </c>
      <c r="O13" s="9">
        <f>SUM(Table311[[#This Row],[Payment 2 - 12/15/22]:[Payment 11 -2031]])</f>
        <v>1670067.7360030399</v>
      </c>
    </row>
    <row r="14" spans="1:15" x14ac:dyDescent="0.3">
      <c r="A14" s="4" t="s">
        <v>196</v>
      </c>
      <c r="B14" s="4">
        <v>4.4444444444444453E-3</v>
      </c>
      <c r="C14" s="4">
        <v>3</v>
      </c>
      <c r="E14" s="9">
        <f t="shared" si="5"/>
        <v>20598.702000000001</v>
      </c>
      <c r="F14" s="9">
        <f t="shared" si="6"/>
        <v>7860.9055937559269</v>
      </c>
      <c r="G14" s="9">
        <f t="shared" si="7"/>
        <v>17856.357000000004</v>
      </c>
      <c r="H14" s="9">
        <f t="shared" si="8"/>
        <v>19157.956000000002</v>
      </c>
      <c r="I14" s="9">
        <f t="shared" si="9"/>
        <v>2258.2390000000005</v>
      </c>
      <c r="J14" s="9">
        <f t="shared" si="10"/>
        <v>3671.4435000000012</v>
      </c>
      <c r="K14" s="9">
        <f t="shared" si="11"/>
        <v>3671.4435000000012</v>
      </c>
      <c r="L14" s="9">
        <f t="shared" si="12"/>
        <v>4674.3895000000011</v>
      </c>
      <c r="M14" s="9">
        <f t="shared" si="13"/>
        <v>4674.3895000000011</v>
      </c>
      <c r="N14" s="9">
        <f t="shared" si="14"/>
        <v>4674.3895000000011</v>
      </c>
      <c r="O14" s="9">
        <f>SUM(Table311[[#This Row],[Payment 2 - 12/15/22]:[Payment 11 -2031]])</f>
        <v>89098.215093755935</v>
      </c>
    </row>
    <row r="15" spans="1:15" x14ac:dyDescent="0.3">
      <c r="A15" s="4" t="s">
        <v>197</v>
      </c>
      <c r="B15" s="4">
        <v>1.1205635707083744E-2</v>
      </c>
      <c r="C15" s="4">
        <v>4</v>
      </c>
      <c r="E15" s="9">
        <f t="shared" si="5"/>
        <v>51934.84889642489</v>
      </c>
      <c r="F15" s="9">
        <f t="shared" si="6"/>
        <v>19819.449992566289</v>
      </c>
      <c r="G15" s="9">
        <f t="shared" si="7"/>
        <v>45020.662109467819</v>
      </c>
      <c r="H15" s="9">
        <f t="shared" si="8"/>
        <v>48302.34206137633</v>
      </c>
      <c r="I15" s="9">
        <f t="shared" si="9"/>
        <v>5693.6258040440443</v>
      </c>
      <c r="J15" s="9">
        <f t="shared" si="10"/>
        <v>9256.6931355316174</v>
      </c>
      <c r="K15" s="9">
        <f t="shared" si="11"/>
        <v>9256.6931355316174</v>
      </c>
      <c r="L15" s="9">
        <f t="shared" si="12"/>
        <v>11785.388825253898</v>
      </c>
      <c r="M15" s="9">
        <f t="shared" si="13"/>
        <v>11785.388825253898</v>
      </c>
      <c r="N15" s="9">
        <f t="shared" si="14"/>
        <v>11785.388825253898</v>
      </c>
      <c r="O15" s="9">
        <f>SUM(Table311[[#This Row],[Payment 2 - 12/15/22]:[Payment 11 -2031]])</f>
        <v>224640.48161070433</v>
      </c>
    </row>
    <row r="16" spans="1:15" x14ac:dyDescent="0.3">
      <c r="A16" s="4" t="s">
        <v>198</v>
      </c>
      <c r="B16" s="4">
        <v>3.1693400115086249E-3</v>
      </c>
      <c r="C16" s="4">
        <v>5</v>
      </c>
      <c r="E16" s="9">
        <f t="shared" si="5"/>
        <v>14688.965347592113</v>
      </c>
      <c r="F16" s="9">
        <f t="shared" si="6"/>
        <v>5605.6235906210886</v>
      </c>
      <c r="G16" s="9">
        <f t="shared" si="7"/>
        <v>12733.395007473475</v>
      </c>
      <c r="H16" s="9">
        <f t="shared" si="8"/>
        <v>13661.567210142388</v>
      </c>
      <c r="I16" s="9">
        <f t="shared" si="9"/>
        <v>1610.3536241060756</v>
      </c>
      <c r="J16" s="9">
        <f t="shared" si="10"/>
        <v>2618.111876522235</v>
      </c>
      <c r="K16" s="9">
        <f t="shared" si="11"/>
        <v>2618.111876522235</v>
      </c>
      <c r="L16" s="9">
        <f t="shared" si="12"/>
        <v>3333.314176138304</v>
      </c>
      <c r="M16" s="9">
        <f t="shared" si="13"/>
        <v>3333.314176138304</v>
      </c>
      <c r="N16" s="9">
        <f t="shared" si="14"/>
        <v>3333.314176138304</v>
      </c>
      <c r="O16" s="9">
        <f>SUM(Table311[[#This Row],[Payment 2 - 12/15/22]:[Payment 11 -2031]])</f>
        <v>63536.071061394512</v>
      </c>
    </row>
    <row r="17" spans="1:15" x14ac:dyDescent="0.3">
      <c r="A17" s="4" t="s">
        <v>199</v>
      </c>
      <c r="B17" s="4">
        <v>2.2222222222222227E-3</v>
      </c>
      <c r="C17" s="4">
        <v>8</v>
      </c>
      <c r="E17" s="9">
        <f t="shared" si="5"/>
        <v>10299.351000000001</v>
      </c>
      <c r="F17" s="9">
        <f t="shared" si="6"/>
        <v>3930.4527968779635</v>
      </c>
      <c r="G17" s="9">
        <f t="shared" si="7"/>
        <v>8928.1785000000018</v>
      </c>
      <c r="H17" s="9">
        <f t="shared" si="8"/>
        <v>9578.978000000001</v>
      </c>
      <c r="I17" s="9">
        <f t="shared" si="9"/>
        <v>1129.1195000000002</v>
      </c>
      <c r="J17" s="9">
        <f t="shared" si="10"/>
        <v>1835.7217500000006</v>
      </c>
      <c r="K17" s="9">
        <f t="shared" si="11"/>
        <v>1835.7217500000006</v>
      </c>
      <c r="L17" s="9">
        <f t="shared" si="12"/>
        <v>2337.1947500000006</v>
      </c>
      <c r="M17" s="9">
        <f t="shared" si="13"/>
        <v>2337.1947500000006</v>
      </c>
      <c r="N17" s="9">
        <f t="shared" si="14"/>
        <v>2337.1947500000006</v>
      </c>
      <c r="O17" s="9">
        <f>SUM(Table311[[#This Row],[Payment 2 - 12/15/22]:[Payment 11 -2031]])</f>
        <v>44549.107546877967</v>
      </c>
    </row>
    <row r="18" spans="1:15" x14ac:dyDescent="0.3">
      <c r="A18" s="4" t="s">
        <v>200</v>
      </c>
      <c r="B18" s="4">
        <v>4.3069103818247544E-2</v>
      </c>
      <c r="C18" s="4">
        <v>9</v>
      </c>
      <c r="E18" s="9">
        <f t="shared" si="5"/>
        <v>199612.71786580721</v>
      </c>
      <c r="F18" s="9">
        <f t="shared" si="6"/>
        <v>76176.485802656272</v>
      </c>
      <c r="G18" s="9">
        <f t="shared" si="7"/>
        <v>173037.89102595553</v>
      </c>
      <c r="H18" s="9">
        <f t="shared" si="8"/>
        <v>185651.09907961913</v>
      </c>
      <c r="I18" s="9">
        <f t="shared" si="9"/>
        <v>21883.574235918488</v>
      </c>
      <c r="J18" s="9">
        <f t="shared" si="10"/>
        <v>35578.300784474282</v>
      </c>
      <c r="K18" s="9">
        <f t="shared" si="11"/>
        <v>35578.300784474282</v>
      </c>
      <c r="L18" s="9">
        <f t="shared" si="12"/>
        <v>45297.397499045896</v>
      </c>
      <c r="M18" s="9">
        <f t="shared" si="13"/>
        <v>45297.397499045896</v>
      </c>
      <c r="N18" s="9">
        <f t="shared" si="14"/>
        <v>45297.397499045896</v>
      </c>
      <c r="O18" s="9">
        <f>SUM(Table311[[#This Row],[Payment 2 - 12/15/22]:[Payment 11 -2031]])</f>
        <v>863410.56207604299</v>
      </c>
    </row>
    <row r="19" spans="1:15" x14ac:dyDescent="0.3">
      <c r="A19" s="4" t="s">
        <v>201</v>
      </c>
      <c r="B19" s="4">
        <v>8.8888888888888906E-3</v>
      </c>
      <c r="C19" s="4">
        <v>11</v>
      </c>
      <c r="E19" s="9">
        <f t="shared" si="5"/>
        <v>41197.404000000002</v>
      </c>
      <c r="F19" s="9">
        <f t="shared" si="6"/>
        <v>15721.811187511854</v>
      </c>
      <c r="G19" s="9">
        <f t="shared" si="7"/>
        <v>35712.714000000007</v>
      </c>
      <c r="H19" s="9">
        <f t="shared" si="8"/>
        <v>38315.912000000004</v>
      </c>
      <c r="I19" s="9">
        <f t="shared" si="9"/>
        <v>4516.478000000001</v>
      </c>
      <c r="J19" s="9">
        <f t="shared" si="10"/>
        <v>7342.8870000000024</v>
      </c>
      <c r="K19" s="9">
        <f t="shared" si="11"/>
        <v>7342.8870000000024</v>
      </c>
      <c r="L19" s="9">
        <f t="shared" si="12"/>
        <v>9348.7790000000023</v>
      </c>
      <c r="M19" s="9">
        <f t="shared" si="13"/>
        <v>9348.7790000000023</v>
      </c>
      <c r="N19" s="9">
        <f t="shared" si="14"/>
        <v>9348.7790000000023</v>
      </c>
      <c r="O19" s="9">
        <f>SUM(Table311[[#This Row],[Payment 2 - 12/15/22]:[Payment 11 -2031]])</f>
        <v>178196.43018751187</v>
      </c>
    </row>
    <row r="20" spans="1:15" x14ac:dyDescent="0.3">
      <c r="A20" s="4" t="s">
        <v>202</v>
      </c>
      <c r="B20" s="4">
        <v>4.4444444444444453E-3</v>
      </c>
      <c r="C20" s="4">
        <v>13</v>
      </c>
      <c r="E20" s="9">
        <f t="shared" si="5"/>
        <v>20598.702000000001</v>
      </c>
      <c r="F20" s="9">
        <f t="shared" si="6"/>
        <v>7860.9055937559269</v>
      </c>
      <c r="G20" s="9">
        <f t="shared" si="7"/>
        <v>17856.357000000004</v>
      </c>
      <c r="H20" s="9">
        <f t="shared" si="8"/>
        <v>19157.956000000002</v>
      </c>
      <c r="I20" s="9">
        <f t="shared" si="9"/>
        <v>2258.2390000000005</v>
      </c>
      <c r="J20" s="9">
        <f t="shared" si="10"/>
        <v>3671.4435000000012</v>
      </c>
      <c r="K20" s="9">
        <f t="shared" si="11"/>
        <v>3671.4435000000012</v>
      </c>
      <c r="L20" s="9">
        <f t="shared" si="12"/>
        <v>4674.3895000000011</v>
      </c>
      <c r="M20" s="9">
        <f t="shared" si="13"/>
        <v>4674.3895000000011</v>
      </c>
      <c r="N20" s="9">
        <f t="shared" si="14"/>
        <v>4674.3895000000011</v>
      </c>
      <c r="O20" s="9">
        <f>SUM(Table311[[#This Row],[Payment 2 - 12/15/22]:[Payment 11 -2031]])</f>
        <v>89098.215093755935</v>
      </c>
    </row>
    <row r="21" spans="1:15" x14ac:dyDescent="0.3">
      <c r="A21" s="4" t="s">
        <v>203</v>
      </c>
      <c r="B21" s="4">
        <v>3.5599901287814678E-2</v>
      </c>
      <c r="C21" s="4">
        <v>15</v>
      </c>
      <c r="E21" s="9">
        <f t="shared" si="5"/>
        <v>164995.14551784989</v>
      </c>
      <c r="F21" s="9">
        <f t="shared" si="6"/>
        <v>62965.679213371761</v>
      </c>
      <c r="G21" s="9">
        <f t="shared" si="7"/>
        <v>143029.02297599518</v>
      </c>
      <c r="H21" s="9">
        <f t="shared" si="8"/>
        <v>153454.80205716679</v>
      </c>
      <c r="I21" s="9">
        <f t="shared" si="9"/>
        <v>18088.444233965998</v>
      </c>
      <c r="J21" s="9">
        <f t="shared" si="10"/>
        <v>29408.180891352491</v>
      </c>
      <c r="K21" s="9">
        <f t="shared" si="11"/>
        <v>29408.180891352491</v>
      </c>
      <c r="L21" s="9">
        <f t="shared" si="12"/>
        <v>37441.756075679412</v>
      </c>
      <c r="M21" s="9">
        <f t="shared" si="13"/>
        <v>37441.756075679412</v>
      </c>
      <c r="N21" s="9">
        <f t="shared" si="14"/>
        <v>37441.756075679412</v>
      </c>
      <c r="O21" s="9">
        <f>SUM(Table311[[#This Row],[Payment 2 - 12/15/22]:[Payment 11 -2031]])</f>
        <v>713674.72400809289</v>
      </c>
    </row>
    <row r="22" spans="1:15" x14ac:dyDescent="0.3">
      <c r="A22" s="4" t="s">
        <v>204</v>
      </c>
      <c r="B22" s="4">
        <v>2.4808077720031257E-3</v>
      </c>
      <c r="C22" s="4">
        <v>16</v>
      </c>
      <c r="E22" s="9">
        <f t="shared" si="5"/>
        <v>11497.819503324672</v>
      </c>
      <c r="F22" s="9">
        <f t="shared" si="6"/>
        <v>4387.8140306938221</v>
      </c>
      <c r="G22" s="9">
        <f t="shared" si="7"/>
        <v>9967.0925756840443</v>
      </c>
      <c r="H22" s="9">
        <f t="shared" si="8"/>
        <v>10693.62138161113</v>
      </c>
      <c r="I22" s="9">
        <f t="shared" si="9"/>
        <v>1260.5077940041274</v>
      </c>
      <c r="J22" s="9">
        <f t="shared" si="10"/>
        <v>2049.332753085831</v>
      </c>
      <c r="K22" s="9">
        <f t="shared" si="11"/>
        <v>2049.332753085831</v>
      </c>
      <c r="L22" s="9">
        <f t="shared" si="12"/>
        <v>2609.1589052182062</v>
      </c>
      <c r="M22" s="9">
        <f t="shared" si="13"/>
        <v>2609.1589052182062</v>
      </c>
      <c r="N22" s="9">
        <f t="shared" si="14"/>
        <v>2609.1589052182062</v>
      </c>
      <c r="O22" s="9">
        <f>SUM(Table311[[#This Row],[Payment 2 - 12/15/22]:[Payment 11 -2031]])</f>
        <v>49732.997507144086</v>
      </c>
    </row>
    <row r="23" spans="1:15" x14ac:dyDescent="0.3">
      <c r="A23" s="4" t="s">
        <v>205</v>
      </c>
      <c r="B23" s="4">
        <v>5.3666345084212507E-3</v>
      </c>
      <c r="C23" s="4">
        <v>17</v>
      </c>
      <c r="E23" s="9">
        <f t="shared" si="5"/>
        <v>24872.783620924311</v>
      </c>
      <c r="F23" s="9">
        <f t="shared" si="6"/>
        <v>9491.9866260507424</v>
      </c>
      <c r="G23" s="9">
        <f t="shared" si="7"/>
        <v>21561.421875950105</v>
      </c>
      <c r="H23" s="9">
        <f t="shared" si="8"/>
        <v>23133.093250593585</v>
      </c>
      <c r="I23" s="9">
        <f t="shared" si="9"/>
        <v>2726.8072527741065</v>
      </c>
      <c r="J23" s="9">
        <f t="shared" si="10"/>
        <v>4433.2414611342519</v>
      </c>
      <c r="K23" s="9">
        <f t="shared" si="11"/>
        <v>4433.2414611342519</v>
      </c>
      <c r="L23" s="9">
        <f t="shared" si="12"/>
        <v>5644.2914992129399</v>
      </c>
      <c r="M23" s="9">
        <f t="shared" si="13"/>
        <v>5644.2914992129399</v>
      </c>
      <c r="N23" s="9">
        <f t="shared" si="14"/>
        <v>5644.2914992129399</v>
      </c>
      <c r="O23" s="9">
        <f>SUM(Table311[[#This Row],[Payment 2 - 12/15/22]:[Payment 11 -2031]])</f>
        <v>107585.45004620016</v>
      </c>
    </row>
    <row r="24" spans="1:15" x14ac:dyDescent="0.3">
      <c r="A24" s="4" t="s">
        <v>206</v>
      </c>
      <c r="B24" s="4">
        <v>2.494730298904891E-3</v>
      </c>
      <c r="C24" s="4">
        <v>18</v>
      </c>
      <c r="E24" s="9">
        <f t="shared" si="5"/>
        <v>11562.346349440373</v>
      </c>
      <c r="F24" s="9">
        <f t="shared" si="6"/>
        <v>4412.4388563541161</v>
      </c>
      <c r="G24" s="9">
        <f t="shared" si="7"/>
        <v>10023.028838091548</v>
      </c>
      <c r="H24" s="9">
        <f t="shared" si="8"/>
        <v>10753.634992114517</v>
      </c>
      <c r="I24" s="9">
        <f t="shared" si="9"/>
        <v>1267.5818824804535</v>
      </c>
      <c r="J24" s="9">
        <f t="shared" si="10"/>
        <v>2060.8338015376694</v>
      </c>
      <c r="K24" s="9">
        <f t="shared" si="11"/>
        <v>2060.8338015376694</v>
      </c>
      <c r="L24" s="9">
        <f t="shared" si="12"/>
        <v>2623.8017507698987</v>
      </c>
      <c r="M24" s="9">
        <f t="shared" si="13"/>
        <v>2623.8017507698987</v>
      </c>
      <c r="N24" s="9">
        <f t="shared" si="14"/>
        <v>2623.8017507698987</v>
      </c>
      <c r="O24" s="9">
        <f>SUM(Table311[[#This Row],[Payment 2 - 12/15/22]:[Payment 11 -2031]])</f>
        <v>50012.103773866038</v>
      </c>
    </row>
    <row r="25" spans="1:15" x14ac:dyDescent="0.3">
      <c r="A25" s="4" t="s">
        <v>207</v>
      </c>
      <c r="B25" s="4">
        <v>4.4444444444444453E-3</v>
      </c>
      <c r="C25" s="4">
        <v>19</v>
      </c>
      <c r="E25" s="9">
        <f t="shared" si="5"/>
        <v>20598.702000000001</v>
      </c>
      <c r="F25" s="9">
        <f t="shared" si="6"/>
        <v>7860.9055937559269</v>
      </c>
      <c r="G25" s="9">
        <f t="shared" si="7"/>
        <v>17856.357000000004</v>
      </c>
      <c r="H25" s="9">
        <f t="shared" si="8"/>
        <v>19157.956000000002</v>
      </c>
      <c r="I25" s="9">
        <f t="shared" si="9"/>
        <v>2258.2390000000005</v>
      </c>
      <c r="J25" s="9">
        <f t="shared" si="10"/>
        <v>3671.4435000000012</v>
      </c>
      <c r="K25" s="9">
        <f t="shared" si="11"/>
        <v>3671.4435000000012</v>
      </c>
      <c r="L25" s="9">
        <f t="shared" si="12"/>
        <v>4674.3895000000011</v>
      </c>
      <c r="M25" s="9">
        <f t="shared" si="13"/>
        <v>4674.3895000000011</v>
      </c>
      <c r="N25" s="9">
        <f t="shared" si="14"/>
        <v>4674.3895000000011</v>
      </c>
      <c r="O25" s="9">
        <f>SUM(Table311[[#This Row],[Payment 2 - 12/15/22]:[Payment 11 -2031]])</f>
        <v>89098.215093755935</v>
      </c>
    </row>
    <row r="26" spans="1:15" x14ac:dyDescent="0.3">
      <c r="A26" s="4" t="s">
        <v>208</v>
      </c>
      <c r="B26" s="4">
        <v>1.7284517381216374E-2</v>
      </c>
      <c r="C26" s="4">
        <v>21</v>
      </c>
      <c r="E26" s="9">
        <f t="shared" si="5"/>
        <v>80108.690118636689</v>
      </c>
      <c r="F26" s="9">
        <f t="shared" si="6"/>
        <v>30571.190857659443</v>
      </c>
      <c r="G26" s="9">
        <f t="shared" si="7"/>
        <v>69443.665409633541</v>
      </c>
      <c r="H26" s="9">
        <f t="shared" si="8"/>
        <v>74505.605280880161</v>
      </c>
      <c r="I26" s="9">
        <f t="shared" si="9"/>
        <v>8782.3285304491528</v>
      </c>
      <c r="J26" s="9">
        <f t="shared" si="10"/>
        <v>14278.304022728375</v>
      </c>
      <c r="K26" s="9">
        <f t="shared" si="11"/>
        <v>14278.304022728375</v>
      </c>
      <c r="L26" s="9">
        <f t="shared" si="12"/>
        <v>18178.777475848194</v>
      </c>
      <c r="M26" s="9">
        <f t="shared" si="13"/>
        <v>18178.777475848194</v>
      </c>
      <c r="N26" s="9">
        <f t="shared" si="14"/>
        <v>18178.777475848194</v>
      </c>
      <c r="O26" s="9">
        <f>SUM(Table311[[#This Row],[Payment 2 - 12/15/22]:[Payment 11 -2031]])</f>
        <v>346504.42067026033</v>
      </c>
    </row>
    <row r="27" spans="1:15" x14ac:dyDescent="0.3">
      <c r="A27" s="4" t="s">
        <v>239</v>
      </c>
      <c r="B27" s="4">
        <v>1.9078591517667817E-2</v>
      </c>
      <c r="C27" s="4">
        <v>22</v>
      </c>
      <c r="E27" s="9">
        <f t="shared" si="5"/>
        <v>88423.699781737581</v>
      </c>
      <c r="F27" s="9">
        <f t="shared" si="6"/>
        <v>33744.376525999338</v>
      </c>
      <c r="G27" s="9">
        <f t="shared" si="7"/>
        <v>76651.681769245872</v>
      </c>
      <c r="H27" s="9">
        <f t="shared" si="8"/>
        <v>82239.033788426983</v>
      </c>
      <c r="I27" s="9">
        <f t="shared" si="9"/>
        <v>9693.9043718099965</v>
      </c>
      <c r="J27" s="9">
        <f t="shared" si="10"/>
        <v>15760.343433756747</v>
      </c>
      <c r="K27" s="9">
        <f t="shared" si="11"/>
        <v>15760.343433756747</v>
      </c>
      <c r="L27" s="9">
        <f t="shared" si="12"/>
        <v>20065.67276961949</v>
      </c>
      <c r="M27" s="9">
        <f t="shared" si="13"/>
        <v>20065.67276961949</v>
      </c>
      <c r="N27" s="9">
        <f t="shared" si="14"/>
        <v>20065.67276961949</v>
      </c>
      <c r="O27" s="9">
        <f>SUM(Table311[[#This Row],[Payment 2 - 12/15/22]:[Payment 11 -2031]])</f>
        <v>382470.40141359175</v>
      </c>
    </row>
    <row r="28" spans="1:15" x14ac:dyDescent="0.3">
      <c r="A28" s="4" t="s">
        <v>209</v>
      </c>
      <c r="B28" s="4">
        <v>3.8425508099260569E-2</v>
      </c>
      <c r="C28" s="4">
        <v>23</v>
      </c>
      <c r="E28" s="9">
        <f t="shared" si="5"/>
        <v>178091.00787043231</v>
      </c>
      <c r="F28" s="9">
        <f t="shared" si="6"/>
        <v>67963.340601087984</v>
      </c>
      <c r="G28" s="9">
        <f t="shared" si="7"/>
        <v>154381.40786852731</v>
      </c>
      <c r="H28" s="9">
        <f t="shared" si="8"/>
        <v>165634.69352473743</v>
      </c>
      <c r="I28" s="9">
        <f t="shared" si="9"/>
        <v>19524.145721527369</v>
      </c>
      <c r="J28" s="9">
        <f t="shared" si="10"/>
        <v>31742.343437676209</v>
      </c>
      <c r="K28" s="9">
        <f t="shared" si="11"/>
        <v>31742.343437676209</v>
      </c>
      <c r="L28" s="9">
        <f t="shared" si="12"/>
        <v>40413.553108053427</v>
      </c>
      <c r="M28" s="9">
        <f t="shared" si="13"/>
        <v>40413.553108053427</v>
      </c>
      <c r="N28" s="9">
        <f t="shared" si="14"/>
        <v>40413.553108053427</v>
      </c>
      <c r="O28" s="9">
        <f>SUM(Table311[[#This Row],[Payment 2 - 12/15/22]:[Payment 11 -2031]])</f>
        <v>770319.94178582495</v>
      </c>
    </row>
    <row r="29" spans="1:15" x14ac:dyDescent="0.3">
      <c r="A29" s="4" t="s">
        <v>210</v>
      </c>
      <c r="B29" s="4">
        <v>1.8044394244223265E-2</v>
      </c>
      <c r="C29" s="4">
        <v>25</v>
      </c>
      <c r="E29" s="9">
        <f t="shared" si="5"/>
        <v>83630.4974566358</v>
      </c>
      <c r="F29" s="9">
        <f t="shared" si="6"/>
        <v>31915.187921329172</v>
      </c>
      <c r="G29" s="9">
        <f t="shared" si="7"/>
        <v>72496.607731559052</v>
      </c>
      <c r="H29" s="9">
        <f t="shared" si="8"/>
        <v>77781.084969933567</v>
      </c>
      <c r="I29" s="9">
        <f t="shared" si="9"/>
        <v>9168.424833078112</v>
      </c>
      <c r="J29" s="9">
        <f t="shared" si="10"/>
        <v>14906.019140862958</v>
      </c>
      <c r="K29" s="9">
        <f t="shared" si="11"/>
        <v>14906.019140862958</v>
      </c>
      <c r="L29" s="9">
        <f t="shared" si="12"/>
        <v>18977.968572537975</v>
      </c>
      <c r="M29" s="9">
        <f t="shared" si="13"/>
        <v>18977.968572537975</v>
      </c>
      <c r="N29" s="9">
        <f t="shared" si="14"/>
        <v>18977.968572537975</v>
      </c>
      <c r="O29" s="9">
        <f>SUM(Table311[[#This Row],[Payment 2 - 12/15/22]:[Payment 11 -2031]])</f>
        <v>361737.74691187561</v>
      </c>
    </row>
    <row r="30" spans="1:15" x14ac:dyDescent="0.3">
      <c r="A30" s="4" t="s">
        <v>211</v>
      </c>
      <c r="B30" s="4">
        <v>8.8888888888888906E-3</v>
      </c>
      <c r="C30" s="4">
        <v>26</v>
      </c>
      <c r="E30" s="9">
        <f t="shared" si="5"/>
        <v>41197.404000000002</v>
      </c>
      <c r="F30" s="9">
        <f t="shared" si="6"/>
        <v>15721.811187511854</v>
      </c>
      <c r="G30" s="9">
        <f t="shared" si="7"/>
        <v>35712.714000000007</v>
      </c>
      <c r="H30" s="9">
        <f t="shared" si="8"/>
        <v>38315.912000000004</v>
      </c>
      <c r="I30" s="9">
        <f t="shared" si="9"/>
        <v>4516.478000000001</v>
      </c>
      <c r="J30" s="9">
        <f t="shared" si="10"/>
        <v>7342.8870000000024</v>
      </c>
      <c r="K30" s="9">
        <f t="shared" si="11"/>
        <v>7342.8870000000024</v>
      </c>
      <c r="L30" s="9">
        <f t="shared" si="12"/>
        <v>9348.7790000000023</v>
      </c>
      <c r="M30" s="9">
        <f t="shared" si="13"/>
        <v>9348.7790000000023</v>
      </c>
      <c r="N30" s="9">
        <f t="shared" si="14"/>
        <v>9348.7790000000023</v>
      </c>
      <c r="O30" s="9">
        <f>SUM(Table311[[#This Row],[Payment 2 - 12/15/22]:[Payment 11 -2031]])</f>
        <v>178196.43018751187</v>
      </c>
    </row>
    <row r="31" spans="1:15" x14ac:dyDescent="0.3">
      <c r="A31" s="4" t="s">
        <v>212</v>
      </c>
      <c r="B31" s="4">
        <v>1.0387404138019692E-2</v>
      </c>
      <c r="C31" s="4">
        <v>28</v>
      </c>
      <c r="E31" s="9">
        <f t="shared" si="5"/>
        <v>48142.584538342759</v>
      </c>
      <c r="F31" s="9">
        <f t="shared" si="6"/>
        <v>18372.240740961548</v>
      </c>
      <c r="G31" s="9">
        <f t="shared" si="7"/>
        <v>41733.2692331453</v>
      </c>
      <c r="H31" s="9">
        <f t="shared" si="8"/>
        <v>44775.322071839815</v>
      </c>
      <c r="I31" s="9">
        <f t="shared" si="9"/>
        <v>5277.8792549784266</v>
      </c>
      <c r="J31" s="9">
        <f t="shared" si="10"/>
        <v>8580.7726659912387</v>
      </c>
      <c r="K31" s="9">
        <f t="shared" si="11"/>
        <v>8580.7726659912387</v>
      </c>
      <c r="L31" s="9">
        <f t="shared" si="12"/>
        <v>10924.823887878554</v>
      </c>
      <c r="M31" s="9">
        <f t="shared" si="13"/>
        <v>10924.823887878554</v>
      </c>
      <c r="N31" s="9">
        <f t="shared" si="14"/>
        <v>10924.823887878554</v>
      </c>
      <c r="O31" s="9">
        <f>SUM(Table311[[#This Row],[Payment 2 - 12/15/22]:[Payment 11 -2031]])</f>
        <v>208237.31283488602</v>
      </c>
    </row>
    <row r="32" spans="1:15" x14ac:dyDescent="0.3">
      <c r="A32" s="4" t="s">
        <v>213</v>
      </c>
      <c r="B32" s="4">
        <v>2.3950743168712008E-3</v>
      </c>
      <c r="C32" s="4">
        <v>30</v>
      </c>
      <c r="E32" s="9">
        <f t="shared" si="5"/>
        <v>11100.469977243773</v>
      </c>
      <c r="F32" s="9">
        <f t="shared" si="6"/>
        <v>4236.1769463646442</v>
      </c>
      <c r="G32" s="9">
        <f t="shared" si="7"/>
        <v>9622.6429598062387</v>
      </c>
      <c r="H32" s="9">
        <f t="shared" si="8"/>
        <v>10324.063885353416</v>
      </c>
      <c r="I32" s="9">
        <f t="shared" si="9"/>
        <v>1216.9463018078031</v>
      </c>
      <c r="J32" s="9">
        <f t="shared" si="10"/>
        <v>1978.5105073560851</v>
      </c>
      <c r="K32" s="9">
        <f t="shared" si="11"/>
        <v>1978.5105073560851</v>
      </c>
      <c r="L32" s="9">
        <f t="shared" si="12"/>
        <v>2518.9898036630429</v>
      </c>
      <c r="M32" s="9">
        <f t="shared" si="13"/>
        <v>2518.9898036630429</v>
      </c>
      <c r="N32" s="9">
        <f t="shared" si="14"/>
        <v>2518.9898036630429</v>
      </c>
      <c r="O32" s="9">
        <f>SUM(Table311[[#This Row],[Payment 2 - 12/15/22]:[Payment 11 -2031]])</f>
        <v>48014.290496277164</v>
      </c>
    </row>
    <row r="33" spans="1:15" x14ac:dyDescent="0.3">
      <c r="A33" s="4" t="s">
        <v>214</v>
      </c>
      <c r="B33" s="4">
        <v>2.9371868715437773E-3</v>
      </c>
      <c r="C33" s="4">
        <v>31</v>
      </c>
      <c r="E33" s="9">
        <f t="shared" si="5"/>
        <v>13613.003344179571</v>
      </c>
      <c r="F33" s="9">
        <f t="shared" si="6"/>
        <v>5195.0134593956127</v>
      </c>
      <c r="G33" s="9">
        <f t="shared" si="7"/>
        <v>11800.677904649736</v>
      </c>
      <c r="H33" s="9">
        <f t="shared" si="8"/>
        <v>12660.861790982999</v>
      </c>
      <c r="I33" s="9">
        <f t="shared" si="9"/>
        <v>1492.3957373118333</v>
      </c>
      <c r="J33" s="9">
        <f t="shared" si="10"/>
        <v>2426.336020758316</v>
      </c>
      <c r="K33" s="9">
        <f t="shared" si="11"/>
        <v>2426.336020758316</v>
      </c>
      <c r="L33" s="9">
        <f t="shared" si="12"/>
        <v>3089.1499811734684</v>
      </c>
      <c r="M33" s="9">
        <f t="shared" si="13"/>
        <v>3089.1499811734684</v>
      </c>
      <c r="N33" s="9">
        <f t="shared" si="14"/>
        <v>3089.1499811734684</v>
      </c>
      <c r="O33" s="9">
        <f>SUM(Table311[[#This Row],[Payment 2 - 12/15/22]:[Payment 11 -2031]])</f>
        <v>58882.074221556788</v>
      </c>
    </row>
    <row r="34" spans="1:15" x14ac:dyDescent="0.3">
      <c r="A34" s="4" t="s">
        <v>215</v>
      </c>
      <c r="B34" s="4">
        <v>5.5454290644228717E-3</v>
      </c>
      <c r="C34" s="4">
        <v>32</v>
      </c>
      <c r="E34" s="9">
        <f t="shared" si="5"/>
        <v>25701.444171041741</v>
      </c>
      <c r="F34" s="9">
        <f t="shared" si="6"/>
        <v>9808.2212292671484</v>
      </c>
      <c r="G34" s="9">
        <f t="shared" si="7"/>
        <v>22279.761245814927</v>
      </c>
      <c r="H34" s="9">
        <f t="shared" si="8"/>
        <v>23903.79435390027</v>
      </c>
      <c r="I34" s="9">
        <f t="shared" si="9"/>
        <v>2817.6534416279792</v>
      </c>
      <c r="J34" s="9">
        <f t="shared" si="10"/>
        <v>4580.939135989448</v>
      </c>
      <c r="K34" s="9">
        <f t="shared" si="11"/>
        <v>4580.939135989448</v>
      </c>
      <c r="L34" s="9">
        <f t="shared" si="12"/>
        <v>5832.3364631399463</v>
      </c>
      <c r="M34" s="9">
        <f t="shared" si="13"/>
        <v>5832.3364631399463</v>
      </c>
      <c r="N34" s="9">
        <f t="shared" si="14"/>
        <v>5832.3364631399463</v>
      </c>
      <c r="O34" s="9">
        <f>SUM(Table311[[#This Row],[Payment 2 - 12/15/22]:[Payment 11 -2031]])</f>
        <v>111169.7621030508</v>
      </c>
    </row>
    <row r="35" spans="1:15" x14ac:dyDescent="0.3">
      <c r="A35" s="4" t="s">
        <v>216</v>
      </c>
      <c r="B35" s="4">
        <v>1.4381903674562628E-2</v>
      </c>
      <c r="C35" s="4">
        <v>35</v>
      </c>
      <c r="E35" s="9">
        <f t="shared" si="5"/>
        <v>66655.923296629611</v>
      </c>
      <c r="F35" s="9">
        <f t="shared" si="6"/>
        <v>25437.327084951357</v>
      </c>
      <c r="G35" s="9">
        <f t="shared" si="7"/>
        <v>57781.891429335468</v>
      </c>
      <c r="H35" s="9">
        <f t="shared" si="8"/>
        <v>61993.772503539549</v>
      </c>
      <c r="I35" s="9">
        <f t="shared" si="9"/>
        <v>7307.4995487316419</v>
      </c>
      <c r="J35" s="9">
        <f t="shared" si="10"/>
        <v>11880.528021809792</v>
      </c>
      <c r="K35" s="9">
        <f t="shared" si="11"/>
        <v>11880.528021809792</v>
      </c>
      <c r="L35" s="9">
        <f t="shared" si="12"/>
        <v>15125.989393437067</v>
      </c>
      <c r="M35" s="9">
        <f t="shared" si="13"/>
        <v>15125.989393437067</v>
      </c>
      <c r="N35" s="9">
        <f t="shared" si="14"/>
        <v>15125.989393437067</v>
      </c>
      <c r="O35" s="9">
        <f>SUM(Table311[[#This Row],[Payment 2 - 12/15/22]:[Payment 11 -2031]])</f>
        <v>288315.43808711838</v>
      </c>
    </row>
    <row r="36" spans="1:15" x14ac:dyDescent="0.3">
      <c r="A36" s="4" t="s">
        <v>217</v>
      </c>
      <c r="B36" s="4">
        <v>5.733549714999839E-3</v>
      </c>
      <c r="C36" s="4">
        <v>37</v>
      </c>
      <c r="E36" s="9">
        <f t="shared" si="5"/>
        <v>26573.328445829982</v>
      </c>
      <c r="F36" s="9">
        <f t="shared" si="6"/>
        <v>10140.950931011983</v>
      </c>
      <c r="G36" s="9">
        <f t="shared" si="7"/>
        <v>23035.569882364209</v>
      </c>
      <c r="H36" s="9">
        <f t="shared" si="8"/>
        <v>24714.695961850375</v>
      </c>
      <c r="I36" s="9">
        <f t="shared" si="9"/>
        <v>2913.238254341592</v>
      </c>
      <c r="J36" s="9">
        <f t="shared" si="10"/>
        <v>4736.3408624391777</v>
      </c>
      <c r="K36" s="9">
        <f t="shared" si="11"/>
        <v>4736.3408624391777</v>
      </c>
      <c r="L36" s="9">
        <f t="shared" si="12"/>
        <v>6030.1900317427289</v>
      </c>
      <c r="M36" s="9">
        <f t="shared" si="13"/>
        <v>6030.1900317427289</v>
      </c>
      <c r="N36" s="9">
        <f t="shared" si="14"/>
        <v>6030.1900317427289</v>
      </c>
      <c r="O36" s="9">
        <f>SUM(Table311[[#This Row],[Payment 2 - 12/15/22]:[Payment 11 -2031]])</f>
        <v>114941.0352955047</v>
      </c>
    </row>
    <row r="37" spans="1:15" x14ac:dyDescent="0.3">
      <c r="A37" s="4" t="s">
        <v>218</v>
      </c>
      <c r="B37" s="4">
        <v>2.4951100041840302E-2</v>
      </c>
      <c r="C37" s="4">
        <v>39</v>
      </c>
      <c r="E37" s="9">
        <f t="shared" si="5"/>
        <v>115641.06172516257</v>
      </c>
      <c r="F37" s="9">
        <f t="shared" si="6"/>
        <v>44131.104425084879</v>
      </c>
      <c r="G37" s="9">
        <f t="shared" si="7"/>
        <v>100245.54372520845</v>
      </c>
      <c r="H37" s="9">
        <f t="shared" si="8"/>
        <v>107552.71726946429</v>
      </c>
      <c r="I37" s="9">
        <f t="shared" si="9"/>
        <v>12677.748121661714</v>
      </c>
      <c r="J37" s="9">
        <f t="shared" si="10"/>
        <v>20611.474664954472</v>
      </c>
      <c r="K37" s="9">
        <f t="shared" si="11"/>
        <v>20611.474664954472</v>
      </c>
      <c r="L37" s="9">
        <f t="shared" si="12"/>
        <v>26242.011011031271</v>
      </c>
      <c r="M37" s="9">
        <f t="shared" si="13"/>
        <v>26242.011011031271</v>
      </c>
      <c r="N37" s="9">
        <f t="shared" si="14"/>
        <v>26242.011011031271</v>
      </c>
      <c r="O37" s="9">
        <f>SUM(Table311[[#This Row],[Payment 2 - 12/15/22]:[Payment 11 -2031]])</f>
        <v>500197.15762958466</v>
      </c>
    </row>
    <row r="38" spans="1:15" x14ac:dyDescent="0.3">
      <c r="A38" s="4" t="s">
        <v>219</v>
      </c>
      <c r="B38" s="4">
        <v>2.1689431694035758E-2</v>
      </c>
      <c r="C38" s="4">
        <v>40</v>
      </c>
      <c r="E38" s="9">
        <f t="shared" si="5"/>
        <v>100524.18150332948</v>
      </c>
      <c r="F38" s="9">
        <f t="shared" si="6"/>
        <v>38362.179359032365</v>
      </c>
      <c r="G38" s="9">
        <f t="shared" si="7"/>
        <v>87141.202977558874</v>
      </c>
      <c r="H38" s="9">
        <f t="shared" si="8"/>
        <v>93493.165063352062</v>
      </c>
      <c r="I38" s="9">
        <f t="shared" si="9"/>
        <v>11020.482121344214</v>
      </c>
      <c r="J38" s="9">
        <f t="shared" si="10"/>
        <v>17917.092677646357</v>
      </c>
      <c r="K38" s="9">
        <f t="shared" si="11"/>
        <v>17917.092677646357</v>
      </c>
      <c r="L38" s="9">
        <f t="shared" si="12"/>
        <v>22811.591648602789</v>
      </c>
      <c r="M38" s="9">
        <f t="shared" si="13"/>
        <v>22811.591648602789</v>
      </c>
      <c r="N38" s="9">
        <f t="shared" si="14"/>
        <v>22811.591648602789</v>
      </c>
      <c r="O38" s="9">
        <f>SUM(Table311[[#This Row],[Payment 2 - 12/15/22]:[Payment 11 -2031]])</f>
        <v>434810.17132571811</v>
      </c>
    </row>
    <row r="39" spans="1:15" x14ac:dyDescent="0.3">
      <c r="A39" s="4" t="s">
        <v>220</v>
      </c>
      <c r="B39" s="4">
        <v>8.8888888888888906E-3</v>
      </c>
      <c r="C39" s="4">
        <v>41</v>
      </c>
      <c r="E39" s="9">
        <f t="shared" si="5"/>
        <v>41197.404000000002</v>
      </c>
      <c r="F39" s="9">
        <f t="shared" si="6"/>
        <v>15721.811187511854</v>
      </c>
      <c r="G39" s="9">
        <f t="shared" si="7"/>
        <v>35712.714000000007</v>
      </c>
      <c r="H39" s="9">
        <f t="shared" si="8"/>
        <v>38315.912000000004</v>
      </c>
      <c r="I39" s="9">
        <f t="shared" si="9"/>
        <v>4516.478000000001</v>
      </c>
      <c r="J39" s="9">
        <f t="shared" si="10"/>
        <v>7342.8870000000024</v>
      </c>
      <c r="K39" s="9">
        <f t="shared" si="11"/>
        <v>7342.8870000000024</v>
      </c>
      <c r="L39" s="9">
        <f t="shared" si="12"/>
        <v>9348.7790000000023</v>
      </c>
      <c r="M39" s="9">
        <f t="shared" si="13"/>
        <v>9348.7790000000023</v>
      </c>
      <c r="N39" s="9">
        <f t="shared" si="14"/>
        <v>9348.7790000000023</v>
      </c>
      <c r="O39" s="9">
        <f>SUM(Table311[[#This Row],[Payment 2 - 12/15/22]:[Payment 11 -2031]])</f>
        <v>178196.43018751187</v>
      </c>
    </row>
    <row r="40" spans="1:15" x14ac:dyDescent="0.3">
      <c r="A40" s="4" t="s">
        <v>221</v>
      </c>
      <c r="B40" s="4">
        <v>8.8888888888888906E-3</v>
      </c>
      <c r="C40" s="4">
        <v>43</v>
      </c>
      <c r="E40" s="9">
        <f t="shared" si="5"/>
        <v>41197.404000000002</v>
      </c>
      <c r="F40" s="9">
        <f t="shared" si="6"/>
        <v>15721.811187511854</v>
      </c>
      <c r="G40" s="9">
        <f t="shared" si="7"/>
        <v>35712.714000000007</v>
      </c>
      <c r="H40" s="9">
        <f t="shared" si="8"/>
        <v>38315.912000000004</v>
      </c>
      <c r="I40" s="9">
        <f t="shared" si="9"/>
        <v>4516.478000000001</v>
      </c>
      <c r="J40" s="9">
        <f t="shared" si="10"/>
        <v>7342.8870000000024</v>
      </c>
      <c r="K40" s="9">
        <f t="shared" si="11"/>
        <v>7342.8870000000024</v>
      </c>
      <c r="L40" s="9">
        <f t="shared" si="12"/>
        <v>9348.7790000000023</v>
      </c>
      <c r="M40" s="9">
        <f t="shared" si="13"/>
        <v>9348.7790000000023</v>
      </c>
      <c r="N40" s="9">
        <f t="shared" si="14"/>
        <v>9348.7790000000023</v>
      </c>
      <c r="O40" s="9">
        <f>SUM(Table311[[#This Row],[Payment 2 - 12/15/22]:[Payment 11 -2031]])</f>
        <v>178196.43018751187</v>
      </c>
    </row>
    <row r="41" spans="1:15" x14ac:dyDescent="0.3">
      <c r="A41" s="4" t="s">
        <v>222</v>
      </c>
      <c r="B41" s="4">
        <v>1.1213096582744022E-2</v>
      </c>
      <c r="C41" s="4">
        <v>45</v>
      </c>
      <c r="E41" s="9">
        <f t="shared" si="5"/>
        <v>51969.427876161542</v>
      </c>
      <c r="F41" s="9">
        <f t="shared" si="6"/>
        <v>19832.646071389034</v>
      </c>
      <c r="G41" s="9">
        <f t="shared" si="7"/>
        <v>45050.637522815392</v>
      </c>
      <c r="H41" s="9">
        <f t="shared" si="8"/>
        <v>48334.502465091071</v>
      </c>
      <c r="I41" s="9">
        <f t="shared" si="9"/>
        <v>5697.4167031318366</v>
      </c>
      <c r="J41" s="9">
        <f t="shared" si="10"/>
        <v>9262.8563768072454</v>
      </c>
      <c r="K41" s="9">
        <f t="shared" si="11"/>
        <v>9262.8563768072454</v>
      </c>
      <c r="L41" s="9">
        <f t="shared" si="12"/>
        <v>11793.23570899452</v>
      </c>
      <c r="M41" s="9">
        <f t="shared" si="13"/>
        <v>11793.23570899452</v>
      </c>
      <c r="N41" s="9">
        <f t="shared" si="14"/>
        <v>11793.23570899452</v>
      </c>
      <c r="O41" s="9">
        <f>SUM(Table311[[#This Row],[Payment 2 - 12/15/22]:[Payment 11 -2031]])</f>
        <v>224790.05051918695</v>
      </c>
    </row>
    <row r="42" spans="1:15" x14ac:dyDescent="0.3">
      <c r="A42" s="4" t="s">
        <v>240</v>
      </c>
      <c r="B42" s="4">
        <v>2.0847218738920818E-2</v>
      </c>
      <c r="C42" s="4">
        <v>48</v>
      </c>
      <c r="E42" s="9">
        <f t="shared" si="5"/>
        <v>96620.770424665272</v>
      </c>
      <c r="F42" s="9">
        <f t="shared" si="6"/>
        <v>36872.554139783097</v>
      </c>
      <c r="G42" s="9">
        <f t="shared" si="7"/>
        <v>83757.460558333478</v>
      </c>
      <c r="H42" s="9">
        <f t="shared" si="8"/>
        <v>89862.772347589605</v>
      </c>
      <c r="I42" s="9">
        <f t="shared" si="9"/>
        <v>10592.550539496406</v>
      </c>
      <c r="J42" s="9">
        <f t="shared" si="10"/>
        <v>17221.361789720035</v>
      </c>
      <c r="K42" s="9">
        <f t="shared" si="11"/>
        <v>17221.361789720035</v>
      </c>
      <c r="L42" s="9">
        <f t="shared" si="12"/>
        <v>21925.804584918307</v>
      </c>
      <c r="M42" s="9">
        <f t="shared" si="13"/>
        <v>21925.804584918307</v>
      </c>
      <c r="N42" s="9">
        <f t="shared" si="14"/>
        <v>21925.804584918307</v>
      </c>
      <c r="O42" s="9">
        <f>SUM(Table311[[#This Row],[Payment 2 - 12/15/22]:[Payment 11 -2031]])</f>
        <v>417926.24534406286</v>
      </c>
    </row>
    <row r="43" spans="1:15" x14ac:dyDescent="0.3">
      <c r="A43" s="4" t="s">
        <v>223</v>
      </c>
      <c r="B43" s="4">
        <v>6.1050613539048483E-3</v>
      </c>
      <c r="C43" s="4">
        <v>49</v>
      </c>
      <c r="E43" s="9">
        <f t="shared" si="5"/>
        <v>28295.176392180558</v>
      </c>
      <c r="F43" s="9">
        <f t="shared" si="6"/>
        <v>10798.044963105092</v>
      </c>
      <c r="G43" s="9">
        <f t="shared" si="7"/>
        <v>24528.18488450137</v>
      </c>
      <c r="H43" s="9">
        <f t="shared" si="8"/>
        <v>26316.111778967137</v>
      </c>
      <c r="I43" s="9">
        <f t="shared" si="9"/>
        <v>3102.0047205256642</v>
      </c>
      <c r="J43" s="9">
        <f t="shared" si="10"/>
        <v>5043.2372606014105</v>
      </c>
      <c r="K43" s="9">
        <f t="shared" si="11"/>
        <v>5043.2372606014105</v>
      </c>
      <c r="L43" s="9">
        <f t="shared" si="12"/>
        <v>6420.9228051484361</v>
      </c>
      <c r="M43" s="9">
        <f t="shared" si="13"/>
        <v>6420.9228051484361</v>
      </c>
      <c r="N43" s="9">
        <f t="shared" si="14"/>
        <v>6420.9228051484361</v>
      </c>
      <c r="O43" s="9">
        <f>SUM(Table311[[#This Row],[Payment 2 - 12/15/22]:[Payment 11 -2031]])</f>
        <v>122388.76567592796</v>
      </c>
    </row>
    <row r="44" spans="1:15" x14ac:dyDescent="0.3">
      <c r="A44" s="4" t="s">
        <v>224</v>
      </c>
      <c r="B44" s="4">
        <v>0.10683687501182292</v>
      </c>
      <c r="C44" s="4">
        <v>51</v>
      </c>
      <c r="E44" s="9">
        <f t="shared" si="5"/>
        <v>495157.71397045191</v>
      </c>
      <c r="F44" s="9">
        <f t="shared" si="6"/>
        <v>188962.7823899643</v>
      </c>
      <c r="G44" s="9">
        <f t="shared" si="7"/>
        <v>429236.41071948502</v>
      </c>
      <c r="H44" s="9">
        <f t="shared" si="8"/>
        <v>460524.63389715063</v>
      </c>
      <c r="I44" s="9">
        <f t="shared" si="9"/>
        <v>54284.219502710388</v>
      </c>
      <c r="J44" s="9">
        <f t="shared" si="10"/>
        <v>88255.248822555688</v>
      </c>
      <c r="K44" s="9">
        <f t="shared" si="11"/>
        <v>88255.248822555688</v>
      </c>
      <c r="L44" s="9">
        <f t="shared" si="12"/>
        <v>112364.36252281741</v>
      </c>
      <c r="M44" s="9">
        <f t="shared" si="13"/>
        <v>112364.36252281741</v>
      </c>
      <c r="N44" s="9">
        <f t="shared" si="14"/>
        <v>112364.36252281741</v>
      </c>
      <c r="O44" s="9">
        <f>SUM(Table311[[#This Row],[Payment 2 - 12/15/22]:[Payment 11 -2031]])</f>
        <v>2141769.3456933256</v>
      </c>
    </row>
    <row r="45" spans="1:15" x14ac:dyDescent="0.3">
      <c r="A45" s="4" t="s">
        <v>225</v>
      </c>
      <c r="B45" s="4">
        <v>4.4444444444444453E-3</v>
      </c>
      <c r="C45" s="4">
        <v>52</v>
      </c>
      <c r="E45" s="9">
        <f t="shared" si="5"/>
        <v>20598.702000000001</v>
      </c>
      <c r="F45" s="9">
        <f t="shared" si="6"/>
        <v>7860.9055937559269</v>
      </c>
      <c r="G45" s="9">
        <f t="shared" si="7"/>
        <v>17856.357000000004</v>
      </c>
      <c r="H45" s="9">
        <f t="shared" si="8"/>
        <v>19157.956000000002</v>
      </c>
      <c r="I45" s="9">
        <f t="shared" si="9"/>
        <v>2258.2390000000005</v>
      </c>
      <c r="J45" s="9">
        <f t="shared" si="10"/>
        <v>3671.4435000000012</v>
      </c>
      <c r="K45" s="9">
        <f t="shared" si="11"/>
        <v>3671.4435000000012</v>
      </c>
      <c r="L45" s="9">
        <f t="shared" si="12"/>
        <v>4674.3895000000011</v>
      </c>
      <c r="M45" s="9">
        <f t="shared" si="13"/>
        <v>4674.3895000000011</v>
      </c>
      <c r="N45" s="9">
        <f t="shared" si="14"/>
        <v>4674.3895000000011</v>
      </c>
      <c r="O45" s="9">
        <f>SUM(Table311[[#This Row],[Payment 2 - 12/15/22]:[Payment 11 -2031]])</f>
        <v>89098.215093755935</v>
      </c>
    </row>
    <row r="46" spans="1:15" x14ac:dyDescent="0.3">
      <c r="A46" s="4" t="s">
        <v>226</v>
      </c>
      <c r="B46" s="4">
        <v>9.529203592204159E-3</v>
      </c>
      <c r="C46" s="4">
        <v>54</v>
      </c>
      <c r="E46" s="9">
        <f t="shared" si="5"/>
        <v>44165.075645957164</v>
      </c>
      <c r="F46" s="9">
        <f t="shared" si="6"/>
        <v>16854.338209949263</v>
      </c>
      <c r="G46" s="9">
        <f t="shared" si="7"/>
        <v>38285.293785317968</v>
      </c>
      <c r="H46" s="9">
        <f t="shared" si="8"/>
        <v>41076.014205260071</v>
      </c>
      <c r="I46" s="9">
        <f t="shared" si="9"/>
        <v>4841.8243179424935</v>
      </c>
      <c r="J46" s="9">
        <f t="shared" si="10"/>
        <v>7871.8348324742883</v>
      </c>
      <c r="K46" s="9">
        <f t="shared" si="11"/>
        <v>7871.8348324742883</v>
      </c>
      <c r="L46" s="9">
        <f t="shared" si="12"/>
        <v>10022.222073321314</v>
      </c>
      <c r="M46" s="9">
        <f t="shared" si="13"/>
        <v>10022.222073321314</v>
      </c>
      <c r="N46" s="9">
        <f t="shared" si="14"/>
        <v>10022.222073321314</v>
      </c>
      <c r="O46" s="9">
        <f>SUM(Table311[[#This Row],[Payment 2 - 12/15/22]:[Payment 11 -2031]])</f>
        <v>191032.8820493395</v>
      </c>
    </row>
    <row r="47" spans="1:15" x14ac:dyDescent="0.3">
      <c r="A47" s="4" t="s">
        <v>227</v>
      </c>
      <c r="B47" s="4">
        <v>2.7342110846075101E-3</v>
      </c>
      <c r="C47" s="4">
        <v>59</v>
      </c>
      <c r="E47" s="9">
        <f t="shared" si="5"/>
        <v>12672.269850808547</v>
      </c>
      <c r="F47" s="9">
        <f t="shared" si="6"/>
        <v>4836.0094221376421</v>
      </c>
      <c r="G47" s="9">
        <f t="shared" si="7"/>
        <v>10985.186079024503</v>
      </c>
      <c r="H47" s="9">
        <f t="shared" si="8"/>
        <v>11785.926522065163</v>
      </c>
      <c r="I47" s="9">
        <f t="shared" si="9"/>
        <v>1389.2629737359202</v>
      </c>
      <c r="J47" s="9">
        <f t="shared" si="10"/>
        <v>2258.6628406972936</v>
      </c>
      <c r="K47" s="9">
        <f t="shared" si="11"/>
        <v>2258.6628406972936</v>
      </c>
      <c r="L47" s="9">
        <f t="shared" si="12"/>
        <v>2875.6727065514151</v>
      </c>
      <c r="M47" s="9">
        <f t="shared" si="13"/>
        <v>2875.6727065514151</v>
      </c>
      <c r="N47" s="9">
        <f t="shared" si="14"/>
        <v>2875.6727065514151</v>
      </c>
      <c r="O47" s="9">
        <f>SUM(Table311[[#This Row],[Payment 2 - 12/15/22]:[Payment 11 -2031]])</f>
        <v>54812.998648820605</v>
      </c>
    </row>
    <row r="48" spans="1:15" x14ac:dyDescent="0.3">
      <c r="A48" s="4" t="s">
        <v>228</v>
      </c>
      <c r="B48" s="4">
        <v>1.3945775523242724E-2</v>
      </c>
      <c r="C48" s="4">
        <v>63</v>
      </c>
      <c r="E48" s="9">
        <f t="shared" si="5"/>
        <v>64634.596686488454</v>
      </c>
      <c r="F48" s="9">
        <f t="shared" si="6"/>
        <v>24665.945584482717</v>
      </c>
      <c r="G48" s="9">
        <f t="shared" si="7"/>
        <v>56029.667936598868</v>
      </c>
      <c r="H48" s="9">
        <f t="shared" si="8"/>
        <v>60113.824618536237</v>
      </c>
      <c r="I48" s="9">
        <f t="shared" si="9"/>
        <v>7085.9011886622275</v>
      </c>
      <c r="J48" s="9">
        <f t="shared" si="10"/>
        <v>11520.253551885437</v>
      </c>
      <c r="K48" s="9">
        <f t="shared" si="11"/>
        <v>11520.253551885437</v>
      </c>
      <c r="L48" s="9">
        <f t="shared" si="12"/>
        <v>14667.297001920628</v>
      </c>
      <c r="M48" s="9">
        <f t="shared" si="13"/>
        <v>14667.297001920628</v>
      </c>
      <c r="N48" s="9">
        <f t="shared" si="14"/>
        <v>14667.297001920628</v>
      </c>
      <c r="O48" s="9">
        <f>SUM(Table311[[#This Row],[Payment 2 - 12/15/22]:[Payment 11 -2031]])</f>
        <v>279572.33412430127</v>
      </c>
    </row>
    <row r="49" spans="1:15" x14ac:dyDescent="0.3">
      <c r="A49" s="4" t="s">
        <v>229</v>
      </c>
      <c r="B49" s="4">
        <v>2.3625862002683726E-2</v>
      </c>
      <c r="C49" s="4">
        <v>65</v>
      </c>
      <c r="E49" s="9">
        <f t="shared" si="5"/>
        <v>109498.97044944117</v>
      </c>
      <c r="F49" s="9">
        <f t="shared" si="6"/>
        <v>41787.150924195463</v>
      </c>
      <c r="G49" s="9">
        <f t="shared" si="7"/>
        <v>94921.16092934749</v>
      </c>
      <c r="H49" s="9">
        <f t="shared" si="8"/>
        <v>101840.22555963451</v>
      </c>
      <c r="I49" s="9">
        <f t="shared" si="9"/>
        <v>12004.389671192661</v>
      </c>
      <c r="J49" s="9">
        <f t="shared" si="10"/>
        <v>19516.728933371287</v>
      </c>
      <c r="K49" s="9">
        <f t="shared" si="11"/>
        <v>19516.728933371287</v>
      </c>
      <c r="L49" s="9">
        <f t="shared" si="12"/>
        <v>24848.2082866036</v>
      </c>
      <c r="M49" s="9">
        <f t="shared" si="13"/>
        <v>24848.2082866036</v>
      </c>
      <c r="N49" s="9">
        <f t="shared" si="14"/>
        <v>24848.2082866036</v>
      </c>
      <c r="O49" s="9">
        <f>SUM(Table311[[#This Row],[Payment 2 - 12/15/22]:[Payment 11 -2031]])</f>
        <v>473629.98026036483</v>
      </c>
    </row>
    <row r="50" spans="1:15" x14ac:dyDescent="0.3">
      <c r="A50" s="4" t="s">
        <v>230</v>
      </c>
      <c r="B50" s="4">
        <v>2.2222222222222227E-3</v>
      </c>
      <c r="C50" s="4">
        <v>66</v>
      </c>
      <c r="E50" s="9">
        <f t="shared" si="5"/>
        <v>10299.351000000001</v>
      </c>
      <c r="F50" s="9">
        <f t="shared" si="6"/>
        <v>3930.4527968779635</v>
      </c>
      <c r="G50" s="9">
        <f t="shared" si="7"/>
        <v>8928.1785000000018</v>
      </c>
      <c r="H50" s="9">
        <f t="shared" si="8"/>
        <v>9578.978000000001</v>
      </c>
      <c r="I50" s="9">
        <f t="shared" si="9"/>
        <v>1129.1195000000002</v>
      </c>
      <c r="J50" s="9">
        <f t="shared" si="10"/>
        <v>1835.7217500000006</v>
      </c>
      <c r="K50" s="9">
        <f t="shared" si="11"/>
        <v>1835.7217500000006</v>
      </c>
      <c r="L50" s="9">
        <f t="shared" si="12"/>
        <v>2337.1947500000006</v>
      </c>
      <c r="M50" s="9">
        <f t="shared" si="13"/>
        <v>2337.1947500000006</v>
      </c>
      <c r="N50" s="9">
        <f t="shared" si="14"/>
        <v>2337.1947500000006</v>
      </c>
      <c r="O50" s="9">
        <f>SUM(Table311[[#This Row],[Payment 2 - 12/15/22]:[Payment 11 -2031]])</f>
        <v>44549.107546877967</v>
      </c>
    </row>
    <row r="51" spans="1:15" x14ac:dyDescent="0.3">
      <c r="A51" s="4" t="s">
        <v>231</v>
      </c>
      <c r="B51" s="4">
        <v>3.0405599684153559E-2</v>
      </c>
      <c r="C51" s="4">
        <v>67</v>
      </c>
      <c r="E51" s="9">
        <f t="shared" si="5"/>
        <v>140921.07458066396</v>
      </c>
      <c r="F51" s="9">
        <f t="shared" si="6"/>
        <v>53778.498443699871</v>
      </c>
      <c r="G51" s="9">
        <f t="shared" si="7"/>
        <v>122159.97962084996</v>
      </c>
      <c r="H51" s="9">
        <f t="shared" si="8"/>
        <v>131064.55670309124</v>
      </c>
      <c r="I51" s="9">
        <f t="shared" si="9"/>
        <v>15449.199980657229</v>
      </c>
      <c r="J51" s="9">
        <f t="shared" si="10"/>
        <v>25117.299297897222</v>
      </c>
      <c r="K51" s="9">
        <f t="shared" si="11"/>
        <v>25117.299297897222</v>
      </c>
      <c r="L51" s="9">
        <f t="shared" si="12"/>
        <v>31978.71357858241</v>
      </c>
      <c r="M51" s="9">
        <f t="shared" si="13"/>
        <v>31978.71357858241</v>
      </c>
      <c r="N51" s="9">
        <f t="shared" si="14"/>
        <v>31978.71357858241</v>
      </c>
      <c r="O51" s="9">
        <f>SUM(Table311[[#This Row],[Payment 2 - 12/15/22]:[Payment 11 -2031]])</f>
        <v>609544.04866050393</v>
      </c>
    </row>
    <row r="52" spans="1:15" x14ac:dyDescent="0.3">
      <c r="A52" s="4" t="s">
        <v>71</v>
      </c>
      <c r="B52" s="4">
        <v>3.7431457946075969E-2</v>
      </c>
      <c r="C52" s="4">
        <v>68</v>
      </c>
      <c r="E52" s="9">
        <f t="shared" si="5"/>
        <v>173483.87572276895</v>
      </c>
      <c r="F52" s="9">
        <f t="shared" si="6"/>
        <v>66205.160358918351</v>
      </c>
      <c r="G52" s="9">
        <f t="shared" si="7"/>
        <v>150387.63212601433</v>
      </c>
      <c r="H52" s="9">
        <f t="shared" si="8"/>
        <v>161349.80047802409</v>
      </c>
      <c r="I52" s="9">
        <f t="shared" si="9"/>
        <v>19019.065086154944</v>
      </c>
      <c r="J52" s="9">
        <f t="shared" si="10"/>
        <v>30921.183668619895</v>
      </c>
      <c r="K52" s="9">
        <f t="shared" si="11"/>
        <v>30921.183668619895</v>
      </c>
      <c r="L52" s="9">
        <f t="shared" si="12"/>
        <v>39368.073148386538</v>
      </c>
      <c r="M52" s="9">
        <f t="shared" si="13"/>
        <v>39368.073148386538</v>
      </c>
      <c r="N52" s="9">
        <f t="shared" si="14"/>
        <v>39368.073148386538</v>
      </c>
      <c r="O52" s="9">
        <f>SUM(Table311[[#This Row],[Payment 2 - 12/15/22]:[Payment 11 -2031]])</f>
        <v>750392.12055428023</v>
      </c>
    </row>
    <row r="53" spans="1:15" x14ac:dyDescent="0.3">
      <c r="A53" s="4" t="s">
        <v>72</v>
      </c>
      <c r="B53" s="4">
        <v>3.3395698144633425E-2</v>
      </c>
      <c r="C53" s="4">
        <v>69</v>
      </c>
      <c r="E53" s="9">
        <f t="shared" si="5"/>
        <v>154779.30768673276</v>
      </c>
      <c r="F53" s="9">
        <f t="shared" si="6"/>
        <v>59067.096829319984</v>
      </c>
      <c r="G53" s="9">
        <f t="shared" si="7"/>
        <v>134173.23937533272</v>
      </c>
      <c r="H53" s="9">
        <f t="shared" si="8"/>
        <v>143953.49601993797</v>
      </c>
      <c r="I53" s="9">
        <f t="shared" si="9"/>
        <v>16968.48029604874</v>
      </c>
      <c r="J53" s="9">
        <f t="shared" si="10"/>
        <v>27587.344248242203</v>
      </c>
      <c r="K53" s="9">
        <f t="shared" si="11"/>
        <v>27587.344248242203</v>
      </c>
      <c r="L53" s="9">
        <f t="shared" si="12"/>
        <v>35123.512669299889</v>
      </c>
      <c r="M53" s="9">
        <f t="shared" si="13"/>
        <v>35123.512669299889</v>
      </c>
      <c r="N53" s="9">
        <f t="shared" si="14"/>
        <v>35123.512669299889</v>
      </c>
      <c r="O53" s="9">
        <f>SUM(Table311[[#This Row],[Payment 2 - 12/15/22]:[Payment 11 -2031]])</f>
        <v>669486.84671175608</v>
      </c>
    </row>
    <row r="54" spans="1:15" x14ac:dyDescent="0.3">
      <c r="A54" s="4" t="s">
        <v>73</v>
      </c>
      <c r="B54" s="4">
        <v>2.168511676864519E-2</v>
      </c>
      <c r="C54" s="4">
        <v>70</v>
      </c>
      <c r="E54" s="9">
        <f t="shared" si="5"/>
        <v>100504.18308431815</v>
      </c>
      <c r="F54" s="9">
        <f t="shared" si="6"/>
        <v>38354.547534276011</v>
      </c>
      <c r="G54" s="9">
        <f t="shared" si="7"/>
        <v>87123.866986713358</v>
      </c>
      <c r="H54" s="9">
        <f t="shared" si="8"/>
        <v>93474.5654044275</v>
      </c>
      <c r="I54" s="9">
        <f t="shared" si="9"/>
        <v>11018.289691464423</v>
      </c>
      <c r="J54" s="9">
        <f t="shared" si="10"/>
        <v>17913.528226571263</v>
      </c>
      <c r="K54" s="9">
        <f t="shared" si="11"/>
        <v>17913.528226571263</v>
      </c>
      <c r="L54" s="9">
        <f t="shared" si="12"/>
        <v>22807.053479166527</v>
      </c>
      <c r="M54" s="9">
        <f t="shared" si="13"/>
        <v>22807.053479166527</v>
      </c>
      <c r="N54" s="9">
        <f t="shared" si="14"/>
        <v>22807.053479166527</v>
      </c>
      <c r="O54" s="9">
        <f>SUM(Table311[[#This Row],[Payment 2 - 12/15/22]:[Payment 11 -2031]])</f>
        <v>434723.66959184158</v>
      </c>
    </row>
    <row r="55" spans="1:15" x14ac:dyDescent="0.3">
      <c r="A55" s="4" t="s">
        <v>74</v>
      </c>
      <c r="B55" s="4">
        <v>2.053334931742154E-2</v>
      </c>
      <c r="C55" s="4">
        <v>71</v>
      </c>
      <c r="E55" s="9">
        <f t="shared" si="5"/>
        <v>95166.077321580669</v>
      </c>
      <c r="F55" s="9">
        <f t="shared" si="6"/>
        <v>36317.41211426926</v>
      </c>
      <c r="G55" s="9">
        <f t="shared" si="7"/>
        <v>82496.433558956691</v>
      </c>
      <c r="H55" s="9">
        <f t="shared" si="8"/>
        <v>88509.825620053161</v>
      </c>
      <c r="I55" s="9">
        <f t="shared" si="9"/>
        <v>10433.072301575558</v>
      </c>
      <c r="J55" s="9">
        <f t="shared" si="10"/>
        <v>16962.08217405227</v>
      </c>
      <c r="K55" s="9">
        <f t="shared" si="11"/>
        <v>16962.08217405227</v>
      </c>
      <c r="L55" s="9">
        <f t="shared" si="12"/>
        <v>21595.696301067168</v>
      </c>
      <c r="M55" s="9">
        <f t="shared" si="13"/>
        <v>21595.696301067168</v>
      </c>
      <c r="N55" s="9">
        <f t="shared" si="14"/>
        <v>21595.696301067168</v>
      </c>
      <c r="O55" s="9">
        <f>SUM(Table311[[#This Row],[Payment 2 - 12/15/22]:[Payment 11 -2031]])</f>
        <v>411634.0741677414</v>
      </c>
    </row>
    <row r="56" spans="1:15" x14ac:dyDescent="0.3">
      <c r="A56" s="4" t="s">
        <v>75</v>
      </c>
      <c r="B56" s="4">
        <v>1.5682424857628285E-2</v>
      </c>
      <c r="C56" s="4">
        <v>72</v>
      </c>
      <c r="E56" s="9">
        <f t="shared" si="5"/>
        <v>72683.459162927422</v>
      </c>
      <c r="F56" s="9">
        <f t="shared" si="6"/>
        <v>27737.563789572108</v>
      </c>
      <c r="G56" s="9">
        <f t="shared" si="7"/>
        <v>63006.969798784085</v>
      </c>
      <c r="H56" s="9">
        <f t="shared" si="8"/>
        <v>67599.7212140435</v>
      </c>
      <c r="I56" s="9">
        <f t="shared" si="9"/>
        <v>7968.2992713147687</v>
      </c>
      <c r="J56" s="9">
        <f t="shared" si="10"/>
        <v>12954.855781750004</v>
      </c>
      <c r="K56" s="9">
        <f t="shared" si="11"/>
        <v>12954.855781750004</v>
      </c>
      <c r="L56" s="9">
        <f t="shared" si="12"/>
        <v>16493.796470033245</v>
      </c>
      <c r="M56" s="9">
        <f t="shared" si="13"/>
        <v>16493.796470033245</v>
      </c>
      <c r="N56" s="9">
        <f t="shared" si="14"/>
        <v>16493.796470033245</v>
      </c>
      <c r="O56" s="9">
        <f>SUM(Table311[[#This Row],[Payment 2 - 12/15/22]:[Payment 11 -2031]])</f>
        <v>314387.11421024159</v>
      </c>
    </row>
    <row r="57" spans="1:15" x14ac:dyDescent="0.3">
      <c r="A57" s="4" t="s">
        <v>76</v>
      </c>
      <c r="B57" s="4">
        <v>3.0940014611351919E-2</v>
      </c>
      <c r="C57" s="4">
        <v>73</v>
      </c>
      <c r="E57" s="9">
        <f t="shared" si="5"/>
        <v>143397.93169234888</v>
      </c>
      <c r="F57" s="9">
        <f t="shared" si="6"/>
        <v>54723.720134084928</v>
      </c>
      <c r="G57" s="9">
        <f t="shared" si="7"/>
        <v>124307.08795924112</v>
      </c>
      <c r="H57" s="9">
        <f t="shared" si="8"/>
        <v>133368.17367681835</v>
      </c>
      <c r="I57" s="9">
        <f t="shared" si="9"/>
        <v>15720.738222583066</v>
      </c>
      <c r="J57" s="9">
        <f t="shared" si="10"/>
        <v>25558.765995319434</v>
      </c>
      <c r="K57" s="9">
        <f t="shared" si="11"/>
        <v>25558.765995319434</v>
      </c>
      <c r="L57" s="9">
        <f t="shared" si="12"/>
        <v>32540.777871558745</v>
      </c>
      <c r="M57" s="9">
        <f t="shared" si="13"/>
        <v>32540.777871558745</v>
      </c>
      <c r="N57" s="9">
        <f t="shared" si="14"/>
        <v>32540.777871558745</v>
      </c>
      <c r="O57" s="9">
        <f>SUM(Table311[[#This Row],[Payment 2 - 12/15/22]:[Payment 11 -2031]])</f>
        <v>620257.51729039161</v>
      </c>
    </row>
    <row r="58" spans="1:15" x14ac:dyDescent="0.3">
      <c r="A58" s="4" t="s">
        <v>77</v>
      </c>
      <c r="B58" s="4">
        <v>1.8118424017057572E-2</v>
      </c>
      <c r="C58" s="4">
        <v>74</v>
      </c>
      <c r="E58" s="9">
        <f t="shared" si="5"/>
        <v>83973.603833327652</v>
      </c>
      <c r="F58" s="9">
        <f t="shared" si="6"/>
        <v>32046.124658789151</v>
      </c>
      <c r="G58" s="9">
        <f t="shared" si="7"/>
        <v>72794.035693339669</v>
      </c>
      <c r="H58" s="9">
        <f t="shared" si="8"/>
        <v>78100.193274329737</v>
      </c>
      <c r="I58" s="9">
        <f t="shared" si="9"/>
        <v>9206.0396401176167</v>
      </c>
      <c r="J58" s="9">
        <f t="shared" si="10"/>
        <v>14967.173269725732</v>
      </c>
      <c r="K58" s="9">
        <f t="shared" si="11"/>
        <v>14967.173269725732</v>
      </c>
      <c r="L58" s="9">
        <f t="shared" si="12"/>
        <v>19055.828470923389</v>
      </c>
      <c r="M58" s="9">
        <f t="shared" si="13"/>
        <v>19055.828470923389</v>
      </c>
      <c r="N58" s="9">
        <f t="shared" si="14"/>
        <v>19055.828470923389</v>
      </c>
      <c r="O58" s="9">
        <f>SUM(Table311[[#This Row],[Payment 2 - 12/15/22]:[Payment 11 -2031]])</f>
        <v>363221.82905212557</v>
      </c>
    </row>
    <row r="59" spans="1:15" x14ac:dyDescent="0.3">
      <c r="A59" s="4" t="s">
        <v>78</v>
      </c>
      <c r="B59" s="4">
        <v>1.6581306000068134E-2</v>
      </c>
      <c r="C59" s="4">
        <v>75</v>
      </c>
      <c r="E59" s="9">
        <f t="shared" si="5"/>
        <v>76849.510739898469</v>
      </c>
      <c r="F59" s="9">
        <f t="shared" si="6"/>
        <v>29327.418244735713</v>
      </c>
      <c r="G59" s="9">
        <f t="shared" si="7"/>
        <v>66618.386879278187</v>
      </c>
      <c r="H59" s="9">
        <f t="shared" si="8"/>
        <v>71474.384423664291</v>
      </c>
      <c r="I59" s="9">
        <f t="shared" si="9"/>
        <v>8425.0241730647685</v>
      </c>
      <c r="J59" s="9">
        <f t="shared" si="10"/>
        <v>13697.39883047876</v>
      </c>
      <c r="K59" s="9">
        <f t="shared" si="11"/>
        <v>13697.39883047876</v>
      </c>
      <c r="L59" s="9">
        <f t="shared" si="12"/>
        <v>17439.183599176235</v>
      </c>
      <c r="M59" s="9">
        <f t="shared" si="13"/>
        <v>17439.183599176235</v>
      </c>
      <c r="N59" s="9">
        <f t="shared" si="14"/>
        <v>17439.183599176235</v>
      </c>
      <c r="O59" s="9">
        <f>SUM(Table311[[#This Row],[Payment 2 - 12/15/22]:[Payment 11 -2031]])</f>
        <v>332407.07291912765</v>
      </c>
    </row>
    <row r="60" spans="1:15" x14ac:dyDescent="0.3">
      <c r="A60" s="4" t="s">
        <v>79</v>
      </c>
      <c r="B60" s="4">
        <v>2.4828363901541257E-2</v>
      </c>
      <c r="C60" s="4">
        <v>76</v>
      </c>
      <c r="E60" s="9">
        <f t="shared" si="5"/>
        <v>115072.21555996627</v>
      </c>
      <c r="F60" s="9">
        <f t="shared" si="6"/>
        <v>43914.020552422502</v>
      </c>
      <c r="G60" s="9">
        <f t="shared" si="7"/>
        <v>99752.429149162534</v>
      </c>
      <c r="H60" s="9">
        <f t="shared" si="8"/>
        <v>107023.65821498603</v>
      </c>
      <c r="I60" s="9">
        <f t="shared" si="9"/>
        <v>12615.385425446841</v>
      </c>
      <c r="J60" s="9">
        <f t="shared" si="10"/>
        <v>20510.085433938366</v>
      </c>
      <c r="K60" s="9">
        <f t="shared" si="11"/>
        <v>20510.085433938366</v>
      </c>
      <c r="L60" s="9">
        <f t="shared" si="12"/>
        <v>26112.924792797283</v>
      </c>
      <c r="M60" s="9">
        <f t="shared" si="13"/>
        <v>26112.924792797283</v>
      </c>
      <c r="N60" s="9">
        <f t="shared" si="14"/>
        <v>26112.924792797283</v>
      </c>
      <c r="O60" s="9">
        <f>SUM(Table311[[#This Row],[Payment 2 - 12/15/22]:[Payment 11 -2031]])</f>
        <v>497736.65414825286</v>
      </c>
    </row>
    <row r="61" spans="1:15" x14ac:dyDescent="0.3">
      <c r="A61" s="4" t="s">
        <v>80</v>
      </c>
      <c r="B61" s="4">
        <v>4.6641544890660292E-3</v>
      </c>
      <c r="C61" s="4">
        <v>77</v>
      </c>
      <c r="E61" s="9">
        <f t="shared" si="5"/>
        <v>21616.993890502512</v>
      </c>
      <c r="F61" s="9">
        <f t="shared" si="6"/>
        <v>8249.507575479216</v>
      </c>
      <c r="G61" s="9">
        <f t="shared" si="7"/>
        <v>18739.081723481013</v>
      </c>
      <c r="H61" s="9">
        <f t="shared" si="8"/>
        <v>20105.024957714129</v>
      </c>
      <c r="I61" s="9">
        <f t="shared" si="9"/>
        <v>2369.8745030776454</v>
      </c>
      <c r="J61" s="9">
        <f t="shared" si="10"/>
        <v>3852.9404284223915</v>
      </c>
      <c r="K61" s="9">
        <f t="shared" si="11"/>
        <v>3852.9404284223915</v>
      </c>
      <c r="L61" s="9">
        <f t="shared" si="12"/>
        <v>4905.4668232653248</v>
      </c>
      <c r="M61" s="9">
        <f t="shared" si="13"/>
        <v>4905.4668232653248</v>
      </c>
      <c r="N61" s="9">
        <f t="shared" si="14"/>
        <v>4905.4668232653248</v>
      </c>
      <c r="O61" s="9">
        <f>SUM(Table311[[#This Row],[Payment 2 - 12/15/22]:[Payment 11 -2031]])</f>
        <v>93502.76397689525</v>
      </c>
    </row>
    <row r="62" spans="1:15" x14ac:dyDescent="0.3">
      <c r="A62" s="4" t="s">
        <v>82</v>
      </c>
      <c r="B62" s="4">
        <v>8.8888888888888904E-4</v>
      </c>
      <c r="C62" s="4">
        <v>78</v>
      </c>
      <c r="E62" s="9">
        <f t="shared" si="5"/>
        <v>4119.7403999999997</v>
      </c>
      <c r="F62" s="9">
        <f t="shared" si="6"/>
        <v>1572.1811187511853</v>
      </c>
      <c r="G62" s="9">
        <f t="shared" si="7"/>
        <v>3571.2714000000005</v>
      </c>
      <c r="H62" s="9">
        <f t="shared" si="8"/>
        <v>3831.5912000000003</v>
      </c>
      <c r="I62" s="9">
        <f t="shared" si="9"/>
        <v>451.64780000000002</v>
      </c>
      <c r="J62" s="9">
        <f t="shared" si="10"/>
        <v>734.28870000000018</v>
      </c>
      <c r="K62" s="9">
        <f t="shared" si="11"/>
        <v>734.28870000000018</v>
      </c>
      <c r="L62" s="9">
        <f t="shared" si="12"/>
        <v>934.87790000000007</v>
      </c>
      <c r="M62" s="9">
        <f t="shared" si="13"/>
        <v>934.87790000000007</v>
      </c>
      <c r="N62" s="9">
        <f t="shared" si="14"/>
        <v>934.87790000000007</v>
      </c>
      <c r="O62" s="9">
        <f>SUM(Table311[[#This Row],[Payment 2 - 12/15/22]:[Payment 11 -2031]])</f>
        <v>17819.643018751187</v>
      </c>
    </row>
    <row r="63" spans="1:15" x14ac:dyDescent="0.3">
      <c r="A63" s="4" t="s">
        <v>83</v>
      </c>
      <c r="B63" s="4">
        <v>8.8888888888888906E-3</v>
      </c>
      <c r="C63" s="4">
        <v>79</v>
      </c>
      <c r="E63" s="9">
        <f t="shared" si="5"/>
        <v>41197.404000000002</v>
      </c>
      <c r="F63" s="9">
        <f t="shared" si="6"/>
        <v>15721.811187511854</v>
      </c>
      <c r="G63" s="9">
        <f t="shared" si="7"/>
        <v>35712.714000000007</v>
      </c>
      <c r="H63" s="9">
        <f t="shared" si="8"/>
        <v>38315.912000000004</v>
      </c>
      <c r="I63" s="9">
        <f t="shared" si="9"/>
        <v>4516.478000000001</v>
      </c>
      <c r="J63" s="9">
        <f t="shared" si="10"/>
        <v>7342.8870000000024</v>
      </c>
      <c r="K63" s="9">
        <f t="shared" si="11"/>
        <v>7342.8870000000024</v>
      </c>
      <c r="L63" s="9">
        <f t="shared" si="12"/>
        <v>9348.7790000000023</v>
      </c>
      <c r="M63" s="9">
        <f t="shared" si="13"/>
        <v>9348.7790000000023</v>
      </c>
      <c r="N63" s="9">
        <f t="shared" si="14"/>
        <v>9348.7790000000023</v>
      </c>
      <c r="O63" s="9">
        <f>SUM(Table311[[#This Row],[Payment 2 - 12/15/22]:[Payment 11 -2031]])</f>
        <v>178196.43018751187</v>
      </c>
    </row>
    <row r="64" spans="1:15" x14ac:dyDescent="0.3">
      <c r="A64" s="4" t="s">
        <v>84</v>
      </c>
      <c r="B64" s="4">
        <v>4.4444444444444453E-3</v>
      </c>
      <c r="C64" s="4">
        <v>80</v>
      </c>
      <c r="E64" s="9">
        <f t="shared" si="5"/>
        <v>20598.702000000001</v>
      </c>
      <c r="F64" s="9">
        <f t="shared" si="6"/>
        <v>7860.9055937559269</v>
      </c>
      <c r="G64" s="9">
        <f t="shared" si="7"/>
        <v>17856.357000000004</v>
      </c>
      <c r="H64" s="9">
        <f t="shared" si="8"/>
        <v>19157.956000000002</v>
      </c>
      <c r="I64" s="9">
        <f t="shared" si="9"/>
        <v>2258.2390000000005</v>
      </c>
      <c r="J64" s="9">
        <f t="shared" si="10"/>
        <v>3671.4435000000012</v>
      </c>
      <c r="K64" s="9">
        <f t="shared" si="11"/>
        <v>3671.4435000000012</v>
      </c>
      <c r="L64" s="9">
        <f t="shared" si="12"/>
        <v>4674.3895000000011</v>
      </c>
      <c r="M64" s="9">
        <f t="shared" si="13"/>
        <v>4674.3895000000011</v>
      </c>
      <c r="N64" s="9">
        <f t="shared" si="14"/>
        <v>4674.3895000000011</v>
      </c>
      <c r="O64" s="9">
        <f>SUM(Table311[[#This Row],[Payment 2 - 12/15/22]:[Payment 11 -2031]])</f>
        <v>89098.215093755935</v>
      </c>
    </row>
    <row r="65" spans="1:15" x14ac:dyDescent="0.3">
      <c r="A65" s="4" t="s">
        <v>85</v>
      </c>
      <c r="B65" s="4">
        <v>4.4444444444444453E-3</v>
      </c>
      <c r="C65" s="4">
        <v>81</v>
      </c>
      <c r="E65" s="9">
        <f t="shared" si="5"/>
        <v>20598.702000000001</v>
      </c>
      <c r="F65" s="9">
        <f t="shared" si="6"/>
        <v>7860.9055937559269</v>
      </c>
      <c r="G65" s="9">
        <f t="shared" si="7"/>
        <v>17856.357000000004</v>
      </c>
      <c r="H65" s="9">
        <f t="shared" si="8"/>
        <v>19157.956000000002</v>
      </c>
      <c r="I65" s="9">
        <f t="shared" si="9"/>
        <v>2258.2390000000005</v>
      </c>
      <c r="J65" s="9">
        <f t="shared" si="10"/>
        <v>3671.4435000000012</v>
      </c>
      <c r="K65" s="9">
        <f t="shared" si="11"/>
        <v>3671.4435000000012</v>
      </c>
      <c r="L65" s="9">
        <f t="shared" si="12"/>
        <v>4674.3895000000011</v>
      </c>
      <c r="M65" s="9">
        <f t="shared" si="13"/>
        <v>4674.3895000000011</v>
      </c>
      <c r="N65" s="9">
        <f t="shared" si="14"/>
        <v>4674.3895000000011</v>
      </c>
      <c r="O65" s="9">
        <f>SUM(Table311[[#This Row],[Payment 2 - 12/15/22]:[Payment 11 -2031]])</f>
        <v>89098.215093755935</v>
      </c>
    </row>
    <row r="66" spans="1:15" x14ac:dyDescent="0.3">
      <c r="A66" s="4" t="s">
        <v>86</v>
      </c>
      <c r="B66" s="4">
        <v>8.8888888888888904E-4</v>
      </c>
      <c r="C66" s="4">
        <v>82</v>
      </c>
      <c r="E66" s="9">
        <f t="shared" si="5"/>
        <v>4119.7403999999997</v>
      </c>
      <c r="F66" s="9">
        <f t="shared" si="6"/>
        <v>1572.1811187511853</v>
      </c>
      <c r="G66" s="9">
        <f t="shared" si="7"/>
        <v>3571.2714000000005</v>
      </c>
      <c r="H66" s="9">
        <f t="shared" si="8"/>
        <v>3831.5912000000003</v>
      </c>
      <c r="I66" s="9">
        <f t="shared" si="9"/>
        <v>451.64780000000002</v>
      </c>
      <c r="J66" s="9">
        <f t="shared" si="10"/>
        <v>734.28870000000018</v>
      </c>
      <c r="K66" s="9">
        <f t="shared" si="11"/>
        <v>734.28870000000018</v>
      </c>
      <c r="L66" s="9">
        <f t="shared" si="12"/>
        <v>934.87790000000007</v>
      </c>
      <c r="M66" s="9">
        <f t="shared" si="13"/>
        <v>934.87790000000007</v>
      </c>
      <c r="N66" s="9">
        <f t="shared" si="14"/>
        <v>934.87790000000007</v>
      </c>
      <c r="O66" s="9">
        <f>SUM(Table311[[#This Row],[Payment 2 - 12/15/22]:[Payment 11 -2031]])</f>
        <v>17819.643018751187</v>
      </c>
    </row>
    <row r="67" spans="1:15" x14ac:dyDescent="0.3">
      <c r="A67" s="4" t="s">
        <v>87</v>
      </c>
      <c r="B67" s="4">
        <v>2.2222222222222227E-3</v>
      </c>
      <c r="C67" s="4">
        <v>83</v>
      </c>
      <c r="E67" s="9">
        <f t="shared" si="5"/>
        <v>10299.351000000001</v>
      </c>
      <c r="F67" s="9">
        <f t="shared" si="6"/>
        <v>3930.4527968779635</v>
      </c>
      <c r="G67" s="9">
        <f t="shared" si="7"/>
        <v>8928.1785000000018</v>
      </c>
      <c r="H67" s="9">
        <f t="shared" si="8"/>
        <v>9578.978000000001</v>
      </c>
      <c r="I67" s="9">
        <f t="shared" si="9"/>
        <v>1129.1195000000002</v>
      </c>
      <c r="J67" s="9">
        <f t="shared" si="10"/>
        <v>1835.7217500000006</v>
      </c>
      <c r="K67" s="9">
        <f t="shared" si="11"/>
        <v>1835.7217500000006</v>
      </c>
      <c r="L67" s="9">
        <f t="shared" si="12"/>
        <v>2337.1947500000006</v>
      </c>
      <c r="M67" s="9">
        <f t="shared" si="13"/>
        <v>2337.1947500000006</v>
      </c>
      <c r="N67" s="9">
        <f t="shared" si="14"/>
        <v>2337.1947500000006</v>
      </c>
      <c r="O67" s="9">
        <f>SUM(Table311[[#This Row],[Payment 2 - 12/15/22]:[Payment 11 -2031]])</f>
        <v>44549.107546877967</v>
      </c>
    </row>
    <row r="68" spans="1:15" x14ac:dyDescent="0.3">
      <c r="A68" s="4" t="s">
        <v>88</v>
      </c>
      <c r="B68" s="4">
        <v>8.8888888888888904E-4</v>
      </c>
      <c r="C68" s="4">
        <v>84</v>
      </c>
      <c r="E68" s="9">
        <f t="shared" si="5"/>
        <v>4119.7403999999997</v>
      </c>
      <c r="F68" s="9">
        <f t="shared" si="6"/>
        <v>1572.1811187511853</v>
      </c>
      <c r="G68" s="9">
        <f t="shared" si="7"/>
        <v>3571.2714000000005</v>
      </c>
      <c r="H68" s="9">
        <f t="shared" si="8"/>
        <v>3831.5912000000003</v>
      </c>
      <c r="I68" s="9">
        <f t="shared" si="9"/>
        <v>451.64780000000002</v>
      </c>
      <c r="J68" s="9">
        <f t="shared" si="10"/>
        <v>734.28870000000018</v>
      </c>
      <c r="K68" s="9">
        <f t="shared" si="11"/>
        <v>734.28870000000018</v>
      </c>
      <c r="L68" s="9">
        <f t="shared" si="12"/>
        <v>934.87790000000007</v>
      </c>
      <c r="M68" s="9">
        <f t="shared" si="13"/>
        <v>934.87790000000007</v>
      </c>
      <c r="N68" s="9">
        <f t="shared" si="14"/>
        <v>934.87790000000007</v>
      </c>
      <c r="O68" s="9">
        <f>SUM(Table311[[#This Row],[Payment 2 - 12/15/22]:[Payment 11 -2031]])</f>
        <v>17819.643018751187</v>
      </c>
    </row>
    <row r="69" spans="1:15" x14ac:dyDescent="0.3">
      <c r="A69" s="4" t="s">
        <v>89</v>
      </c>
      <c r="B69" s="4">
        <v>8.8888888888888904E-4</v>
      </c>
      <c r="C69" s="4">
        <v>85</v>
      </c>
      <c r="E69" s="9">
        <f t="shared" si="5"/>
        <v>4119.7403999999997</v>
      </c>
      <c r="F69" s="9">
        <f t="shared" si="6"/>
        <v>1572.1811187511853</v>
      </c>
      <c r="G69" s="9">
        <f t="shared" si="7"/>
        <v>3571.2714000000005</v>
      </c>
      <c r="H69" s="9">
        <f t="shared" si="8"/>
        <v>3831.5912000000003</v>
      </c>
      <c r="I69" s="9">
        <f t="shared" si="9"/>
        <v>451.64780000000002</v>
      </c>
      <c r="J69" s="9">
        <f t="shared" si="10"/>
        <v>734.28870000000018</v>
      </c>
      <c r="K69" s="9">
        <f t="shared" si="11"/>
        <v>734.28870000000018</v>
      </c>
      <c r="L69" s="9">
        <f t="shared" si="12"/>
        <v>934.87790000000007</v>
      </c>
      <c r="M69" s="9">
        <f t="shared" si="13"/>
        <v>934.87790000000007</v>
      </c>
      <c r="N69" s="9">
        <f t="shared" si="14"/>
        <v>934.87790000000007</v>
      </c>
      <c r="O69" s="9">
        <f>SUM(Table311[[#This Row],[Payment 2 - 12/15/22]:[Payment 11 -2031]])</f>
        <v>17819.643018751187</v>
      </c>
    </row>
    <row r="70" spans="1:15" x14ac:dyDescent="0.3">
      <c r="A70" s="4" t="s">
        <v>232</v>
      </c>
      <c r="B70" s="4">
        <v>2.2222222222222227E-3</v>
      </c>
      <c r="C70" s="4">
        <v>86</v>
      </c>
      <c r="E70" s="9">
        <f t="shared" si="5"/>
        <v>10299.351000000001</v>
      </c>
      <c r="F70" s="9">
        <f t="shared" si="6"/>
        <v>3930.4527968779635</v>
      </c>
      <c r="G70" s="9">
        <f t="shared" si="7"/>
        <v>8928.1785000000018</v>
      </c>
      <c r="H70" s="9">
        <f t="shared" si="8"/>
        <v>9578.978000000001</v>
      </c>
      <c r="I70" s="9">
        <f t="shared" si="9"/>
        <v>1129.1195000000002</v>
      </c>
      <c r="J70" s="9">
        <f t="shared" si="10"/>
        <v>1835.7217500000006</v>
      </c>
      <c r="K70" s="9">
        <f t="shared" si="11"/>
        <v>1835.7217500000006</v>
      </c>
      <c r="L70" s="9">
        <f t="shared" si="12"/>
        <v>2337.1947500000006</v>
      </c>
      <c r="M70" s="9">
        <f t="shared" si="13"/>
        <v>2337.1947500000006</v>
      </c>
      <c r="N70" s="9">
        <f t="shared" si="14"/>
        <v>2337.1947500000006</v>
      </c>
      <c r="O70" s="9">
        <f>SUM(Table311[[#This Row],[Payment 2 - 12/15/22]:[Payment 11 -2031]])</f>
        <v>44549.107546877967</v>
      </c>
    </row>
    <row r="71" spans="1:15" x14ac:dyDescent="0.3">
      <c r="A71" s="4" t="s">
        <v>91</v>
      </c>
      <c r="B71" s="4">
        <v>8.8888888888888904E-4</v>
      </c>
      <c r="C71" s="4">
        <v>87</v>
      </c>
      <c r="E71" s="9">
        <f t="shared" si="5"/>
        <v>4119.7403999999997</v>
      </c>
      <c r="F71" s="9">
        <f t="shared" si="6"/>
        <v>1572.1811187511853</v>
      </c>
      <c r="G71" s="9">
        <f t="shared" si="7"/>
        <v>3571.2714000000005</v>
      </c>
      <c r="H71" s="9">
        <f t="shared" si="8"/>
        <v>3831.5912000000003</v>
      </c>
      <c r="I71" s="9">
        <f t="shared" si="9"/>
        <v>451.64780000000002</v>
      </c>
      <c r="J71" s="9">
        <f t="shared" si="10"/>
        <v>734.28870000000018</v>
      </c>
      <c r="K71" s="9">
        <f t="shared" si="11"/>
        <v>734.28870000000018</v>
      </c>
      <c r="L71" s="9">
        <f t="shared" si="12"/>
        <v>934.87790000000007</v>
      </c>
      <c r="M71" s="9">
        <f t="shared" si="13"/>
        <v>934.87790000000007</v>
      </c>
      <c r="N71" s="9">
        <f t="shared" si="14"/>
        <v>934.87790000000007</v>
      </c>
      <c r="O71" s="9">
        <f>SUM(Table311[[#This Row],[Payment 2 - 12/15/22]:[Payment 11 -2031]])</f>
        <v>17819.643018751187</v>
      </c>
    </row>
    <row r="72" spans="1:15" x14ac:dyDescent="0.3">
      <c r="A72" s="4" t="s">
        <v>92</v>
      </c>
      <c r="B72" s="4">
        <v>2.2222222222222227E-3</v>
      </c>
      <c r="C72" s="4">
        <v>88</v>
      </c>
      <c r="E72" s="9">
        <f t="shared" si="5"/>
        <v>10299.351000000001</v>
      </c>
      <c r="F72" s="9">
        <f t="shared" si="6"/>
        <v>3930.4527968779635</v>
      </c>
      <c r="G72" s="9">
        <f t="shared" si="7"/>
        <v>8928.1785000000018</v>
      </c>
      <c r="H72" s="9">
        <f t="shared" si="8"/>
        <v>9578.978000000001</v>
      </c>
      <c r="I72" s="9">
        <f t="shared" si="9"/>
        <v>1129.1195000000002</v>
      </c>
      <c r="J72" s="9">
        <f t="shared" si="10"/>
        <v>1835.7217500000006</v>
      </c>
      <c r="K72" s="9">
        <f t="shared" si="11"/>
        <v>1835.7217500000006</v>
      </c>
      <c r="L72" s="9">
        <f t="shared" si="12"/>
        <v>2337.1947500000006</v>
      </c>
      <c r="M72" s="9">
        <f t="shared" si="13"/>
        <v>2337.1947500000006</v>
      </c>
      <c r="N72" s="9">
        <f t="shared" si="14"/>
        <v>2337.1947500000006</v>
      </c>
      <c r="O72" s="9">
        <f>SUM(Table311[[#This Row],[Payment 2 - 12/15/22]:[Payment 11 -2031]])</f>
        <v>44549.107546877967</v>
      </c>
    </row>
    <row r="73" spans="1:15" x14ac:dyDescent="0.3">
      <c r="A73" s="4" t="s">
        <v>93</v>
      </c>
      <c r="B73" s="4">
        <v>2.2222222222222227E-3</v>
      </c>
      <c r="C73" s="4">
        <v>89</v>
      </c>
      <c r="E73" s="9">
        <f t="shared" si="5"/>
        <v>10299.351000000001</v>
      </c>
      <c r="F73" s="9">
        <f t="shared" si="6"/>
        <v>3930.4527968779635</v>
      </c>
      <c r="G73" s="9">
        <f t="shared" si="7"/>
        <v>8928.1785000000018</v>
      </c>
      <c r="H73" s="9">
        <f t="shared" si="8"/>
        <v>9578.978000000001</v>
      </c>
      <c r="I73" s="9">
        <f t="shared" si="9"/>
        <v>1129.1195000000002</v>
      </c>
      <c r="J73" s="9">
        <f t="shared" si="10"/>
        <v>1835.7217500000006</v>
      </c>
      <c r="K73" s="9">
        <f t="shared" si="11"/>
        <v>1835.7217500000006</v>
      </c>
      <c r="L73" s="9">
        <f t="shared" si="12"/>
        <v>2337.1947500000006</v>
      </c>
      <c r="M73" s="9">
        <f t="shared" si="13"/>
        <v>2337.1947500000006</v>
      </c>
      <c r="N73" s="9">
        <f t="shared" si="14"/>
        <v>2337.1947500000006</v>
      </c>
      <c r="O73" s="9">
        <f>SUM(Table311[[#This Row],[Payment 2 - 12/15/22]:[Payment 11 -2031]])</f>
        <v>44549.107546877967</v>
      </c>
    </row>
    <row r="74" spans="1:15" x14ac:dyDescent="0.3">
      <c r="A74" s="4" t="s">
        <v>94</v>
      </c>
      <c r="B74" s="4">
        <v>2.2222222222222227E-3</v>
      </c>
      <c r="C74" s="4">
        <v>90</v>
      </c>
      <c r="E74" s="9">
        <f t="shared" si="5"/>
        <v>10299.351000000001</v>
      </c>
      <c r="F74" s="9">
        <f t="shared" si="6"/>
        <v>3930.4527968779635</v>
      </c>
      <c r="G74" s="9">
        <f t="shared" si="7"/>
        <v>8928.1785000000018</v>
      </c>
      <c r="H74" s="9">
        <f t="shared" si="8"/>
        <v>9578.978000000001</v>
      </c>
      <c r="I74" s="9">
        <f t="shared" si="9"/>
        <v>1129.1195000000002</v>
      </c>
      <c r="J74" s="9">
        <f t="shared" si="10"/>
        <v>1835.7217500000006</v>
      </c>
      <c r="K74" s="9">
        <f t="shared" si="11"/>
        <v>1835.7217500000006</v>
      </c>
      <c r="L74" s="9">
        <f t="shared" si="12"/>
        <v>2337.1947500000006</v>
      </c>
      <c r="M74" s="9">
        <f t="shared" si="13"/>
        <v>2337.1947500000006</v>
      </c>
      <c r="N74" s="9">
        <f t="shared" si="14"/>
        <v>2337.1947500000006</v>
      </c>
      <c r="O74" s="9">
        <f>SUM(Table311[[#This Row],[Payment 2 - 12/15/22]:[Payment 11 -2031]])</f>
        <v>44549.107546877967</v>
      </c>
    </row>
    <row r="75" spans="1:15" x14ac:dyDescent="0.3">
      <c r="A75" s="4" t="s">
        <v>95</v>
      </c>
      <c r="B75" s="4">
        <v>2.2222222222222227E-3</v>
      </c>
      <c r="C75" s="4">
        <v>91</v>
      </c>
      <c r="E75" s="9">
        <f t="shared" si="5"/>
        <v>10299.351000000001</v>
      </c>
      <c r="F75" s="9">
        <f t="shared" si="6"/>
        <v>3930.4527968779635</v>
      </c>
      <c r="G75" s="9">
        <f t="shared" si="7"/>
        <v>8928.1785000000018</v>
      </c>
      <c r="H75" s="9">
        <f t="shared" si="8"/>
        <v>9578.978000000001</v>
      </c>
      <c r="I75" s="9">
        <f t="shared" si="9"/>
        <v>1129.1195000000002</v>
      </c>
      <c r="J75" s="9">
        <f t="shared" si="10"/>
        <v>1835.7217500000006</v>
      </c>
      <c r="K75" s="9">
        <f t="shared" si="11"/>
        <v>1835.7217500000006</v>
      </c>
      <c r="L75" s="9">
        <f t="shared" si="12"/>
        <v>2337.1947500000006</v>
      </c>
      <c r="M75" s="9">
        <f t="shared" si="13"/>
        <v>2337.1947500000006</v>
      </c>
      <c r="N75" s="9">
        <f t="shared" si="14"/>
        <v>2337.1947500000006</v>
      </c>
      <c r="O75" s="9">
        <f>SUM(Table311[[#This Row],[Payment 2 - 12/15/22]:[Payment 11 -2031]])</f>
        <v>44549.107546877967</v>
      </c>
    </row>
    <row r="76" spans="1:15" x14ac:dyDescent="0.3">
      <c r="A76" s="4" t="s">
        <v>96</v>
      </c>
      <c r="B76" s="4">
        <v>2.2222222222222227E-3</v>
      </c>
      <c r="C76" s="4">
        <v>92</v>
      </c>
      <c r="E76" s="9">
        <f t="shared" ref="E76:E97" si="15">B76*$E$9</f>
        <v>10299.351000000001</v>
      </c>
      <c r="F76" s="9">
        <f t="shared" ref="F76:F97" si="16">B76*$F$9</f>
        <v>3930.4527968779635</v>
      </c>
      <c r="G76" s="9">
        <f t="shared" ref="G76:G97" si="17">B76*$G$9</f>
        <v>8928.1785000000018</v>
      </c>
      <c r="H76" s="9">
        <f t="shared" ref="H76:H97" si="18">B76*$H$9</f>
        <v>9578.978000000001</v>
      </c>
      <c r="I76" s="9">
        <f t="shared" ref="I76:I97" si="19">B76*$I$9</f>
        <v>1129.1195000000002</v>
      </c>
      <c r="J76" s="9">
        <f t="shared" ref="J76:J97" si="20">B76*$J$9</f>
        <v>1835.7217500000006</v>
      </c>
      <c r="K76" s="9">
        <f t="shared" ref="K76:K97" si="21">B76*$K$9</f>
        <v>1835.7217500000006</v>
      </c>
      <c r="L76" s="9">
        <f t="shared" ref="L76:L97" si="22">B76*$L$9</f>
        <v>2337.1947500000006</v>
      </c>
      <c r="M76" s="9">
        <f t="shared" ref="M76:M97" si="23">B76*$M$9</f>
        <v>2337.1947500000006</v>
      </c>
      <c r="N76" s="9">
        <f t="shared" ref="N76:N97" si="24">B76*$N$9</f>
        <v>2337.1947500000006</v>
      </c>
      <c r="O76" s="9">
        <f>SUM(Table311[[#This Row],[Payment 2 - 12/15/22]:[Payment 11 -2031]])</f>
        <v>44549.107546877967</v>
      </c>
    </row>
    <row r="77" spans="1:15" x14ac:dyDescent="0.3">
      <c r="A77" s="4" t="s">
        <v>241</v>
      </c>
      <c r="B77" s="4">
        <v>8.8888888888888904E-4</v>
      </c>
      <c r="C77" s="4">
        <v>93</v>
      </c>
      <c r="E77" s="9">
        <f t="shared" si="15"/>
        <v>4119.7403999999997</v>
      </c>
      <c r="F77" s="9">
        <f t="shared" si="16"/>
        <v>1572.1811187511853</v>
      </c>
      <c r="G77" s="9">
        <f t="shared" si="17"/>
        <v>3571.2714000000005</v>
      </c>
      <c r="H77" s="9">
        <f t="shared" si="18"/>
        <v>3831.5912000000003</v>
      </c>
      <c r="I77" s="9">
        <f t="shared" si="19"/>
        <v>451.64780000000002</v>
      </c>
      <c r="J77" s="9">
        <f t="shared" si="20"/>
        <v>734.28870000000018</v>
      </c>
      <c r="K77" s="9">
        <f t="shared" si="21"/>
        <v>734.28870000000018</v>
      </c>
      <c r="L77" s="9">
        <f t="shared" si="22"/>
        <v>934.87790000000007</v>
      </c>
      <c r="M77" s="9">
        <f t="shared" si="23"/>
        <v>934.87790000000007</v>
      </c>
      <c r="N77" s="9">
        <f t="shared" si="24"/>
        <v>934.87790000000007</v>
      </c>
      <c r="O77" s="9">
        <f>SUM(Table311[[#This Row],[Payment 2 - 12/15/22]:[Payment 11 -2031]])</f>
        <v>17819.643018751187</v>
      </c>
    </row>
    <row r="78" spans="1:15" x14ac:dyDescent="0.3">
      <c r="A78" s="4" t="s">
        <v>97</v>
      </c>
      <c r="B78" s="4">
        <v>3.0669528160635834E-3</v>
      </c>
      <c r="C78" s="4">
        <v>94</v>
      </c>
      <c r="E78" s="9">
        <f t="shared" si="15"/>
        <v>14214.430598884775</v>
      </c>
      <c r="F78" s="9">
        <f t="shared" si="16"/>
        <v>5424.5309732054347</v>
      </c>
      <c r="G78" s="9">
        <f t="shared" si="17"/>
        <v>12322.035986802002</v>
      </c>
      <c r="H78" s="9">
        <f t="shared" si="18"/>
        <v>13220.22309845</v>
      </c>
      <c r="I78" s="9">
        <f t="shared" si="19"/>
        <v>1558.3303035887873</v>
      </c>
      <c r="J78" s="9">
        <f t="shared" si="20"/>
        <v>2533.5323958022514</v>
      </c>
      <c r="K78" s="9">
        <f t="shared" si="21"/>
        <v>2533.5323958022514</v>
      </c>
      <c r="L78" s="9">
        <f t="shared" si="22"/>
        <v>3225.6297090906851</v>
      </c>
      <c r="M78" s="9">
        <f t="shared" si="23"/>
        <v>3225.6297090906851</v>
      </c>
      <c r="N78" s="9">
        <f t="shared" si="24"/>
        <v>3225.6297090906851</v>
      </c>
      <c r="O78" s="9">
        <f>SUM(Table311[[#This Row],[Payment 2 - 12/15/22]:[Payment 11 -2031]])</f>
        <v>61483.504879807566</v>
      </c>
    </row>
    <row r="79" spans="1:15" x14ac:dyDescent="0.3">
      <c r="A79" s="4" t="s">
        <v>98</v>
      </c>
      <c r="B79" s="4">
        <v>8.8888888888888904E-4</v>
      </c>
      <c r="C79" s="4">
        <v>95</v>
      </c>
      <c r="E79" s="9">
        <f t="shared" si="15"/>
        <v>4119.7403999999997</v>
      </c>
      <c r="F79" s="9">
        <f t="shared" si="16"/>
        <v>1572.1811187511853</v>
      </c>
      <c r="G79" s="9">
        <f t="shared" si="17"/>
        <v>3571.2714000000005</v>
      </c>
      <c r="H79" s="9">
        <f t="shared" si="18"/>
        <v>3831.5912000000003</v>
      </c>
      <c r="I79" s="9">
        <f t="shared" si="19"/>
        <v>451.64780000000002</v>
      </c>
      <c r="J79" s="9">
        <f t="shared" si="20"/>
        <v>734.28870000000018</v>
      </c>
      <c r="K79" s="9">
        <f t="shared" si="21"/>
        <v>734.28870000000018</v>
      </c>
      <c r="L79" s="9">
        <f t="shared" si="22"/>
        <v>934.87790000000007</v>
      </c>
      <c r="M79" s="9">
        <f t="shared" si="23"/>
        <v>934.87790000000007</v>
      </c>
      <c r="N79" s="9">
        <f t="shared" si="24"/>
        <v>934.87790000000007</v>
      </c>
      <c r="O79" s="9">
        <f>SUM(Table311[[#This Row],[Payment 2 - 12/15/22]:[Payment 11 -2031]])</f>
        <v>17819.643018751187</v>
      </c>
    </row>
    <row r="80" spans="1:15" x14ac:dyDescent="0.3">
      <c r="A80" s="4" t="s">
        <v>99</v>
      </c>
      <c r="B80" s="4">
        <v>2.2222222222222227E-3</v>
      </c>
      <c r="C80" s="4">
        <v>96</v>
      </c>
      <c r="E80" s="9">
        <f t="shared" si="15"/>
        <v>10299.351000000001</v>
      </c>
      <c r="F80" s="9">
        <f t="shared" si="16"/>
        <v>3930.4527968779635</v>
      </c>
      <c r="G80" s="9">
        <f t="shared" si="17"/>
        <v>8928.1785000000018</v>
      </c>
      <c r="H80" s="9">
        <f t="shared" si="18"/>
        <v>9578.978000000001</v>
      </c>
      <c r="I80" s="9">
        <f t="shared" si="19"/>
        <v>1129.1195000000002</v>
      </c>
      <c r="J80" s="9">
        <f t="shared" si="20"/>
        <v>1835.7217500000006</v>
      </c>
      <c r="K80" s="9">
        <f t="shared" si="21"/>
        <v>1835.7217500000006</v>
      </c>
      <c r="L80" s="9">
        <f t="shared" si="22"/>
        <v>2337.1947500000006</v>
      </c>
      <c r="M80" s="9">
        <f t="shared" si="23"/>
        <v>2337.1947500000006</v>
      </c>
      <c r="N80" s="9">
        <f t="shared" si="24"/>
        <v>2337.1947500000006</v>
      </c>
      <c r="O80" s="9">
        <f>SUM(Table311[[#This Row],[Payment 2 - 12/15/22]:[Payment 11 -2031]])</f>
        <v>44549.107546877967</v>
      </c>
    </row>
    <row r="81" spans="1:15" x14ac:dyDescent="0.3">
      <c r="A81" s="4" t="s">
        <v>100</v>
      </c>
      <c r="B81" s="4">
        <v>2.2222222222222227E-3</v>
      </c>
      <c r="C81" s="4">
        <v>97</v>
      </c>
      <c r="E81" s="9">
        <f t="shared" si="15"/>
        <v>10299.351000000001</v>
      </c>
      <c r="F81" s="9">
        <f t="shared" si="16"/>
        <v>3930.4527968779635</v>
      </c>
      <c r="G81" s="9">
        <f t="shared" si="17"/>
        <v>8928.1785000000018</v>
      </c>
      <c r="H81" s="9">
        <f t="shared" si="18"/>
        <v>9578.978000000001</v>
      </c>
      <c r="I81" s="9">
        <f t="shared" si="19"/>
        <v>1129.1195000000002</v>
      </c>
      <c r="J81" s="9">
        <f t="shared" si="20"/>
        <v>1835.7217500000006</v>
      </c>
      <c r="K81" s="9">
        <f t="shared" si="21"/>
        <v>1835.7217500000006</v>
      </c>
      <c r="L81" s="9">
        <f t="shared" si="22"/>
        <v>2337.1947500000006</v>
      </c>
      <c r="M81" s="9">
        <f t="shared" si="23"/>
        <v>2337.1947500000006</v>
      </c>
      <c r="N81" s="9">
        <f t="shared" si="24"/>
        <v>2337.1947500000006</v>
      </c>
      <c r="O81" s="9">
        <f>SUM(Table311[[#This Row],[Payment 2 - 12/15/22]:[Payment 11 -2031]])</f>
        <v>44549.107546877967</v>
      </c>
    </row>
    <row r="82" spans="1:15" x14ac:dyDescent="0.3">
      <c r="A82" s="4" t="s">
        <v>101</v>
      </c>
      <c r="B82" s="4">
        <v>2.2222222222222227E-3</v>
      </c>
      <c r="C82" s="4">
        <v>98</v>
      </c>
      <c r="E82" s="9">
        <f t="shared" si="15"/>
        <v>10299.351000000001</v>
      </c>
      <c r="F82" s="9">
        <f t="shared" si="16"/>
        <v>3930.4527968779635</v>
      </c>
      <c r="G82" s="9">
        <f t="shared" si="17"/>
        <v>8928.1785000000018</v>
      </c>
      <c r="H82" s="9">
        <f t="shared" si="18"/>
        <v>9578.978000000001</v>
      </c>
      <c r="I82" s="9">
        <f t="shared" si="19"/>
        <v>1129.1195000000002</v>
      </c>
      <c r="J82" s="9">
        <f t="shared" si="20"/>
        <v>1835.7217500000006</v>
      </c>
      <c r="K82" s="9">
        <f t="shared" si="21"/>
        <v>1835.7217500000006</v>
      </c>
      <c r="L82" s="9">
        <f t="shared" si="22"/>
        <v>2337.1947500000006</v>
      </c>
      <c r="M82" s="9">
        <f t="shared" si="23"/>
        <v>2337.1947500000006</v>
      </c>
      <c r="N82" s="9">
        <f t="shared" si="24"/>
        <v>2337.1947500000006</v>
      </c>
      <c r="O82" s="9">
        <f>SUM(Table311[[#This Row],[Payment 2 - 12/15/22]:[Payment 11 -2031]])</f>
        <v>44549.107546877967</v>
      </c>
    </row>
    <row r="83" spans="1:15" x14ac:dyDescent="0.3">
      <c r="A83" s="4" t="s">
        <v>102</v>
      </c>
      <c r="B83" s="4">
        <v>2.3813516348531925E-3</v>
      </c>
      <c r="C83" s="4">
        <v>99</v>
      </c>
      <c r="E83" s="9">
        <f t="shared" si="15"/>
        <v>11036.869353799586</v>
      </c>
      <c r="F83" s="9">
        <f t="shared" si="16"/>
        <v>4211.905587101387</v>
      </c>
      <c r="G83" s="9">
        <f t="shared" si="17"/>
        <v>9567.5096102562547</v>
      </c>
      <c r="H83" s="9">
        <f t="shared" si="18"/>
        <v>10264.911714235242</v>
      </c>
      <c r="I83" s="9">
        <f t="shared" si="19"/>
        <v>1209.9737552713286</v>
      </c>
      <c r="J83" s="9">
        <f t="shared" si="20"/>
        <v>1967.1745457241288</v>
      </c>
      <c r="K83" s="9">
        <f t="shared" si="21"/>
        <v>1967.1745457241288</v>
      </c>
      <c r="L83" s="9">
        <f t="shared" si="22"/>
        <v>2504.5571424972591</v>
      </c>
      <c r="M83" s="9">
        <f t="shared" si="23"/>
        <v>2504.5571424972591</v>
      </c>
      <c r="N83" s="9">
        <f t="shared" si="24"/>
        <v>2504.5571424972591</v>
      </c>
      <c r="O83" s="9">
        <f>SUM(Table311[[#This Row],[Payment 2 - 12/15/22]:[Payment 11 -2031]])</f>
        <v>47739.190539603827</v>
      </c>
    </row>
    <row r="84" spans="1:15" x14ac:dyDescent="0.3">
      <c r="A84" s="4" t="s">
        <v>103</v>
      </c>
      <c r="B84" s="4">
        <v>2.0182401425621197E-2</v>
      </c>
      <c r="C84" s="4">
        <v>100</v>
      </c>
      <c r="E84" s="9">
        <f t="shared" si="15"/>
        <v>93539.536337417885</v>
      </c>
      <c r="F84" s="9">
        <f t="shared" si="16"/>
        <v>35696.689258970975</v>
      </c>
      <c r="G84" s="9">
        <f t="shared" si="17"/>
        <v>81086.437118970236</v>
      </c>
      <c r="H84" s="9">
        <f t="shared" si="18"/>
        <v>86997.050659437329</v>
      </c>
      <c r="I84" s="9">
        <f t="shared" si="19"/>
        <v>10254.754352923512</v>
      </c>
      <c r="J84" s="9">
        <f t="shared" si="20"/>
        <v>16672.17296890973</v>
      </c>
      <c r="K84" s="9">
        <f t="shared" si="21"/>
        <v>16672.17296890973</v>
      </c>
      <c r="L84" s="9">
        <f t="shared" si="22"/>
        <v>21226.59119445947</v>
      </c>
      <c r="M84" s="9">
        <f t="shared" si="23"/>
        <v>21226.59119445947</v>
      </c>
      <c r="N84" s="9">
        <f t="shared" si="24"/>
        <v>21226.59119445947</v>
      </c>
      <c r="O84" s="9">
        <f>SUM(Table311[[#This Row],[Payment 2 - 12/15/22]:[Payment 11 -2031]])</f>
        <v>404598.58724891779</v>
      </c>
    </row>
    <row r="85" spans="1:15" x14ac:dyDescent="0.3">
      <c r="A85" s="4" t="s">
        <v>104</v>
      </c>
      <c r="B85" s="4">
        <v>8.8888888888888904E-4</v>
      </c>
      <c r="C85" s="4">
        <v>101</v>
      </c>
      <c r="E85" s="9">
        <f t="shared" si="15"/>
        <v>4119.7403999999997</v>
      </c>
      <c r="F85" s="9">
        <f t="shared" si="16"/>
        <v>1572.1811187511853</v>
      </c>
      <c r="G85" s="9">
        <f t="shared" si="17"/>
        <v>3571.2714000000005</v>
      </c>
      <c r="H85" s="9">
        <f t="shared" si="18"/>
        <v>3831.5912000000003</v>
      </c>
      <c r="I85" s="9">
        <f t="shared" si="19"/>
        <v>451.64780000000002</v>
      </c>
      <c r="J85" s="9">
        <f t="shared" si="20"/>
        <v>734.28870000000018</v>
      </c>
      <c r="K85" s="9">
        <f t="shared" si="21"/>
        <v>734.28870000000018</v>
      </c>
      <c r="L85" s="9">
        <f t="shared" si="22"/>
        <v>934.87790000000007</v>
      </c>
      <c r="M85" s="9">
        <f t="shared" si="23"/>
        <v>934.87790000000007</v>
      </c>
      <c r="N85" s="9">
        <f t="shared" si="24"/>
        <v>934.87790000000007</v>
      </c>
      <c r="O85" s="9">
        <f>SUM(Table311[[#This Row],[Payment 2 - 12/15/22]:[Payment 11 -2031]])</f>
        <v>17819.643018751187</v>
      </c>
    </row>
    <row r="86" spans="1:15" x14ac:dyDescent="0.3">
      <c r="A86" s="4" t="s">
        <v>105</v>
      </c>
      <c r="B86" s="4">
        <v>2.8099056650786883E-2</v>
      </c>
      <c r="C86" s="4">
        <v>102</v>
      </c>
      <c r="E86" s="9">
        <f t="shared" si="15"/>
        <v>130230.92124690232</v>
      </c>
      <c r="F86" s="9">
        <f t="shared" si="16"/>
        <v>49698.907111222929</v>
      </c>
      <c r="G86" s="9">
        <f t="shared" si="17"/>
        <v>112893.02705692685</v>
      </c>
      <c r="H86" s="9">
        <f t="shared" si="18"/>
        <v>121122.11046538854</v>
      </c>
      <c r="I86" s="9">
        <f t="shared" si="19"/>
        <v>14277.236758203671</v>
      </c>
      <c r="J86" s="9">
        <f t="shared" si="20"/>
        <v>23211.922251749238</v>
      </c>
      <c r="K86" s="9">
        <f t="shared" si="21"/>
        <v>23211.922251749238</v>
      </c>
      <c r="L86" s="9">
        <f t="shared" si="22"/>
        <v>29552.83545787726</v>
      </c>
      <c r="M86" s="9">
        <f t="shared" si="23"/>
        <v>29552.83545787726</v>
      </c>
      <c r="N86" s="9">
        <f t="shared" si="24"/>
        <v>29552.83545787726</v>
      </c>
      <c r="O86" s="9">
        <f>SUM(Table311[[#This Row],[Payment 2 - 12/15/22]:[Payment 11 -2031]])</f>
        <v>563304.55351577466</v>
      </c>
    </row>
    <row r="87" spans="1:15" x14ac:dyDescent="0.3">
      <c r="A87" s="4" t="s">
        <v>106</v>
      </c>
      <c r="B87" s="4">
        <v>8.8888888888888904E-4</v>
      </c>
      <c r="C87" s="4">
        <v>103</v>
      </c>
      <c r="E87" s="9">
        <f t="shared" si="15"/>
        <v>4119.7403999999997</v>
      </c>
      <c r="F87" s="9">
        <f t="shared" si="16"/>
        <v>1572.1811187511853</v>
      </c>
      <c r="G87" s="9">
        <f t="shared" si="17"/>
        <v>3571.2714000000005</v>
      </c>
      <c r="H87" s="9">
        <f t="shared" si="18"/>
        <v>3831.5912000000003</v>
      </c>
      <c r="I87" s="9">
        <f t="shared" si="19"/>
        <v>451.64780000000002</v>
      </c>
      <c r="J87" s="9">
        <f t="shared" si="20"/>
        <v>734.28870000000018</v>
      </c>
      <c r="K87" s="9">
        <f t="shared" si="21"/>
        <v>734.28870000000018</v>
      </c>
      <c r="L87" s="9">
        <f t="shared" si="22"/>
        <v>934.87790000000007</v>
      </c>
      <c r="M87" s="9">
        <f t="shared" si="23"/>
        <v>934.87790000000007</v>
      </c>
      <c r="N87" s="9">
        <f t="shared" si="24"/>
        <v>934.87790000000007</v>
      </c>
      <c r="O87" s="9">
        <f>SUM(Table311[[#This Row],[Payment 2 - 12/15/22]:[Payment 11 -2031]])</f>
        <v>17819.643018751187</v>
      </c>
    </row>
    <row r="88" spans="1:15" x14ac:dyDescent="0.3">
      <c r="A88" s="4" t="s">
        <v>298</v>
      </c>
      <c r="B88" s="4">
        <v>8.8888888888888904E-4</v>
      </c>
      <c r="C88" s="4">
        <v>104</v>
      </c>
      <c r="E88" s="9">
        <f t="shared" si="15"/>
        <v>4119.7403999999997</v>
      </c>
      <c r="F88" s="9">
        <f t="shared" si="16"/>
        <v>1572.1811187511853</v>
      </c>
      <c r="G88" s="9">
        <f t="shared" si="17"/>
        <v>3571.2714000000005</v>
      </c>
      <c r="H88" s="9">
        <f t="shared" si="18"/>
        <v>3831.5912000000003</v>
      </c>
      <c r="I88" s="9">
        <f t="shared" si="19"/>
        <v>451.64780000000002</v>
      </c>
      <c r="J88" s="9">
        <f t="shared" si="20"/>
        <v>734.28870000000018</v>
      </c>
      <c r="K88" s="9">
        <f t="shared" si="21"/>
        <v>734.28870000000018</v>
      </c>
      <c r="L88" s="9">
        <f t="shared" si="22"/>
        <v>934.87790000000007</v>
      </c>
      <c r="M88" s="9">
        <f t="shared" si="23"/>
        <v>934.87790000000007</v>
      </c>
      <c r="N88" s="9">
        <f t="shared" si="24"/>
        <v>934.87790000000007</v>
      </c>
      <c r="O88" s="9">
        <f>SUM(Table311[[#This Row],[Payment 2 - 12/15/22]:[Payment 11 -2031]])</f>
        <v>17819.643018751187</v>
      </c>
    </row>
    <row r="89" spans="1:15" x14ac:dyDescent="0.3">
      <c r="A89" s="4" t="s">
        <v>108</v>
      </c>
      <c r="B89" s="4">
        <v>8.8888888888888904E-4</v>
      </c>
      <c r="C89" s="4">
        <v>105</v>
      </c>
      <c r="E89" s="9">
        <f t="shared" si="15"/>
        <v>4119.7403999999997</v>
      </c>
      <c r="F89" s="9">
        <f t="shared" si="16"/>
        <v>1572.1811187511853</v>
      </c>
      <c r="G89" s="9">
        <f t="shared" si="17"/>
        <v>3571.2714000000005</v>
      </c>
      <c r="H89" s="9">
        <f t="shared" si="18"/>
        <v>3831.5912000000003</v>
      </c>
      <c r="I89" s="9">
        <f t="shared" si="19"/>
        <v>451.64780000000002</v>
      </c>
      <c r="J89" s="9">
        <f t="shared" si="20"/>
        <v>734.28870000000018</v>
      </c>
      <c r="K89" s="9">
        <f t="shared" si="21"/>
        <v>734.28870000000018</v>
      </c>
      <c r="L89" s="9">
        <f t="shared" si="22"/>
        <v>934.87790000000007</v>
      </c>
      <c r="M89" s="9">
        <f t="shared" si="23"/>
        <v>934.87790000000007</v>
      </c>
      <c r="N89" s="9">
        <f t="shared" si="24"/>
        <v>934.87790000000007</v>
      </c>
      <c r="O89" s="9">
        <f>SUM(Table311[[#This Row],[Payment 2 - 12/15/22]:[Payment 11 -2031]])</f>
        <v>17819.643018751187</v>
      </c>
    </row>
    <row r="90" spans="1:15" x14ac:dyDescent="0.3">
      <c r="A90" s="4" t="s">
        <v>109</v>
      </c>
      <c r="B90" s="4">
        <v>2.2222222222222227E-3</v>
      </c>
      <c r="C90" s="4">
        <v>106</v>
      </c>
      <c r="E90" s="9">
        <f t="shared" si="15"/>
        <v>10299.351000000001</v>
      </c>
      <c r="F90" s="9">
        <f t="shared" si="16"/>
        <v>3930.4527968779635</v>
      </c>
      <c r="G90" s="9">
        <f t="shared" si="17"/>
        <v>8928.1785000000018</v>
      </c>
      <c r="H90" s="9">
        <f t="shared" si="18"/>
        <v>9578.978000000001</v>
      </c>
      <c r="I90" s="9">
        <f t="shared" si="19"/>
        <v>1129.1195000000002</v>
      </c>
      <c r="J90" s="9">
        <f t="shared" si="20"/>
        <v>1835.7217500000006</v>
      </c>
      <c r="K90" s="9">
        <f t="shared" si="21"/>
        <v>1835.7217500000006</v>
      </c>
      <c r="L90" s="9">
        <f t="shared" si="22"/>
        <v>2337.1947500000006</v>
      </c>
      <c r="M90" s="9">
        <f t="shared" si="23"/>
        <v>2337.1947500000006</v>
      </c>
      <c r="N90" s="9">
        <f t="shared" si="24"/>
        <v>2337.1947500000006</v>
      </c>
      <c r="O90" s="9">
        <f>SUM(Table311[[#This Row],[Payment 2 - 12/15/22]:[Payment 11 -2031]])</f>
        <v>44549.107546877967</v>
      </c>
    </row>
    <row r="91" spans="1:15" x14ac:dyDescent="0.3">
      <c r="A91" s="4" t="s">
        <v>110</v>
      </c>
      <c r="B91" s="4">
        <v>2.2222222222222227E-3</v>
      </c>
      <c r="C91" s="4">
        <v>107</v>
      </c>
      <c r="E91" s="9">
        <f t="shared" si="15"/>
        <v>10299.351000000001</v>
      </c>
      <c r="F91" s="9">
        <f t="shared" si="16"/>
        <v>3930.4527968779635</v>
      </c>
      <c r="G91" s="9">
        <f t="shared" si="17"/>
        <v>8928.1785000000018</v>
      </c>
      <c r="H91" s="9">
        <f t="shared" si="18"/>
        <v>9578.978000000001</v>
      </c>
      <c r="I91" s="9">
        <f t="shared" si="19"/>
        <v>1129.1195000000002</v>
      </c>
      <c r="J91" s="9">
        <f t="shared" si="20"/>
        <v>1835.7217500000006</v>
      </c>
      <c r="K91" s="9">
        <f t="shared" si="21"/>
        <v>1835.7217500000006</v>
      </c>
      <c r="L91" s="9">
        <f t="shared" si="22"/>
        <v>2337.1947500000006</v>
      </c>
      <c r="M91" s="9">
        <f t="shared" si="23"/>
        <v>2337.1947500000006</v>
      </c>
      <c r="N91" s="9">
        <f t="shared" si="24"/>
        <v>2337.1947500000006</v>
      </c>
      <c r="O91" s="9">
        <f>SUM(Table311[[#This Row],[Payment 2 - 12/15/22]:[Payment 11 -2031]])</f>
        <v>44549.107546877967</v>
      </c>
    </row>
    <row r="92" spans="1:15" x14ac:dyDescent="0.3">
      <c r="A92" s="4" t="s">
        <v>111</v>
      </c>
      <c r="B92" s="4">
        <v>2.2222222222222227E-3</v>
      </c>
      <c r="C92" s="4">
        <v>108</v>
      </c>
      <c r="E92" s="9">
        <f t="shared" si="15"/>
        <v>10299.351000000001</v>
      </c>
      <c r="F92" s="9">
        <f t="shared" si="16"/>
        <v>3930.4527968779635</v>
      </c>
      <c r="G92" s="9">
        <f t="shared" si="17"/>
        <v>8928.1785000000018</v>
      </c>
      <c r="H92" s="9">
        <f t="shared" si="18"/>
        <v>9578.978000000001</v>
      </c>
      <c r="I92" s="9">
        <f t="shared" si="19"/>
        <v>1129.1195000000002</v>
      </c>
      <c r="J92" s="9">
        <f t="shared" si="20"/>
        <v>1835.7217500000006</v>
      </c>
      <c r="K92" s="9">
        <f t="shared" si="21"/>
        <v>1835.7217500000006</v>
      </c>
      <c r="L92" s="9">
        <f t="shared" si="22"/>
        <v>2337.1947500000006</v>
      </c>
      <c r="M92" s="9">
        <f t="shared" si="23"/>
        <v>2337.1947500000006</v>
      </c>
      <c r="N92" s="9">
        <f t="shared" si="24"/>
        <v>2337.1947500000006</v>
      </c>
      <c r="O92" s="9">
        <f>SUM(Table311[[#This Row],[Payment 2 - 12/15/22]:[Payment 11 -2031]])</f>
        <v>44549.107546877967</v>
      </c>
    </row>
    <row r="93" spans="1:15" x14ac:dyDescent="0.3">
      <c r="A93" s="4" t="s">
        <v>112</v>
      </c>
      <c r="B93" s="4">
        <v>8.8888888888888904E-4</v>
      </c>
      <c r="C93" s="4">
        <v>109</v>
      </c>
      <c r="E93" s="9">
        <f t="shared" si="15"/>
        <v>4119.7403999999997</v>
      </c>
      <c r="F93" s="9">
        <f t="shared" si="16"/>
        <v>1572.1811187511853</v>
      </c>
      <c r="G93" s="9">
        <f t="shared" si="17"/>
        <v>3571.2714000000005</v>
      </c>
      <c r="H93" s="9">
        <f t="shared" si="18"/>
        <v>3831.5912000000003</v>
      </c>
      <c r="I93" s="9">
        <f t="shared" si="19"/>
        <v>451.64780000000002</v>
      </c>
      <c r="J93" s="9">
        <f t="shared" si="20"/>
        <v>734.28870000000018</v>
      </c>
      <c r="K93" s="9">
        <f t="shared" si="21"/>
        <v>734.28870000000018</v>
      </c>
      <c r="L93" s="9">
        <f t="shared" si="22"/>
        <v>934.87790000000007</v>
      </c>
      <c r="M93" s="9">
        <f t="shared" si="23"/>
        <v>934.87790000000007</v>
      </c>
      <c r="N93" s="9">
        <f t="shared" si="24"/>
        <v>934.87790000000007</v>
      </c>
      <c r="O93" s="9">
        <f>SUM(Table311[[#This Row],[Payment 2 - 12/15/22]:[Payment 11 -2031]])</f>
        <v>17819.643018751187</v>
      </c>
    </row>
    <row r="94" spans="1:15" x14ac:dyDescent="0.3">
      <c r="A94" s="4" t="s">
        <v>113</v>
      </c>
      <c r="B94" s="4">
        <v>2.9529080023993595E-3</v>
      </c>
      <c r="C94" s="4">
        <v>110</v>
      </c>
      <c r="E94" s="9">
        <f t="shared" si="15"/>
        <v>13685.866194338929</v>
      </c>
      <c r="F94" s="9">
        <f t="shared" si="16"/>
        <v>5222.8194826292456</v>
      </c>
      <c r="G94" s="9">
        <f t="shared" si="17"/>
        <v>11863.840382774959</v>
      </c>
      <c r="H94" s="9">
        <f t="shared" si="18"/>
        <v>12728.628355953335</v>
      </c>
      <c r="I94" s="9">
        <f t="shared" si="19"/>
        <v>1500.3837032468236</v>
      </c>
      <c r="J94" s="9">
        <f t="shared" si="20"/>
        <v>2439.3228505891007</v>
      </c>
      <c r="K94" s="9">
        <f t="shared" si="21"/>
        <v>2439.3228505891007</v>
      </c>
      <c r="L94" s="9">
        <f t="shared" si="22"/>
        <v>3105.6844861983468</v>
      </c>
      <c r="M94" s="9">
        <f t="shared" si="23"/>
        <v>3105.6844861983468</v>
      </c>
      <c r="N94" s="9">
        <f t="shared" si="24"/>
        <v>3105.6844861983468</v>
      </c>
      <c r="O94" s="9">
        <f>SUM(Table311[[#This Row],[Payment 2 - 12/15/22]:[Payment 11 -2031]])</f>
        <v>59197.237278716537</v>
      </c>
    </row>
    <row r="95" spans="1:15" x14ac:dyDescent="0.3">
      <c r="A95" s="4" t="s">
        <v>114</v>
      </c>
      <c r="B95" s="4">
        <v>8.8888888888888904E-4</v>
      </c>
      <c r="C95" s="4">
        <v>111</v>
      </c>
      <c r="E95" s="9">
        <f t="shared" si="15"/>
        <v>4119.7403999999997</v>
      </c>
      <c r="F95" s="9">
        <f t="shared" si="16"/>
        <v>1572.1811187511853</v>
      </c>
      <c r="G95" s="9">
        <f t="shared" si="17"/>
        <v>3571.2714000000005</v>
      </c>
      <c r="H95" s="9">
        <f t="shared" si="18"/>
        <v>3831.5912000000003</v>
      </c>
      <c r="I95" s="9">
        <f t="shared" si="19"/>
        <v>451.64780000000002</v>
      </c>
      <c r="J95" s="9">
        <f t="shared" si="20"/>
        <v>734.28870000000018</v>
      </c>
      <c r="K95" s="9">
        <f t="shared" si="21"/>
        <v>734.28870000000018</v>
      </c>
      <c r="L95" s="9">
        <f t="shared" si="22"/>
        <v>934.87790000000007</v>
      </c>
      <c r="M95" s="9">
        <f t="shared" si="23"/>
        <v>934.87790000000007</v>
      </c>
      <c r="N95" s="9">
        <f t="shared" si="24"/>
        <v>934.87790000000007</v>
      </c>
      <c r="O95" s="9">
        <f>SUM(Table311[[#This Row],[Payment 2 - 12/15/22]:[Payment 11 -2031]])</f>
        <v>17819.643018751187</v>
      </c>
    </row>
    <row r="96" spans="1:15" x14ac:dyDescent="0.3">
      <c r="A96" s="4" t="s">
        <v>115</v>
      </c>
      <c r="B96" s="4">
        <v>8.8888888888888904E-4</v>
      </c>
      <c r="C96" s="4">
        <v>112</v>
      </c>
      <c r="E96" s="9">
        <f t="shared" si="15"/>
        <v>4119.7403999999997</v>
      </c>
      <c r="F96" s="9">
        <f t="shared" si="16"/>
        <v>1572.1811187511853</v>
      </c>
      <c r="G96" s="9">
        <f t="shared" si="17"/>
        <v>3571.2714000000005</v>
      </c>
      <c r="H96" s="9">
        <f t="shared" si="18"/>
        <v>3831.5912000000003</v>
      </c>
      <c r="I96" s="9">
        <f t="shared" si="19"/>
        <v>451.64780000000002</v>
      </c>
      <c r="J96" s="9">
        <f t="shared" si="20"/>
        <v>734.28870000000018</v>
      </c>
      <c r="K96" s="9">
        <f t="shared" si="21"/>
        <v>734.28870000000018</v>
      </c>
      <c r="L96" s="9">
        <f t="shared" si="22"/>
        <v>934.87790000000007</v>
      </c>
      <c r="M96" s="9">
        <f t="shared" si="23"/>
        <v>934.87790000000007</v>
      </c>
      <c r="N96" s="9">
        <f t="shared" si="24"/>
        <v>934.87790000000007</v>
      </c>
      <c r="O96" s="9">
        <f>SUM(Table311[[#This Row],[Payment 2 - 12/15/22]:[Payment 11 -2031]])</f>
        <v>17819.643018751187</v>
      </c>
    </row>
    <row r="97" spans="1:15" x14ac:dyDescent="0.3">
      <c r="A97" s="4" t="s">
        <v>116</v>
      </c>
      <c r="B97" s="4">
        <v>8.8888888888888904E-4</v>
      </c>
      <c r="C97" s="4">
        <v>113</v>
      </c>
      <c r="E97" s="9">
        <f t="shared" si="15"/>
        <v>4119.7403999999997</v>
      </c>
      <c r="F97" s="9">
        <f t="shared" si="16"/>
        <v>1572.1811187511853</v>
      </c>
      <c r="G97" s="9">
        <f t="shared" si="17"/>
        <v>3571.2714000000005</v>
      </c>
      <c r="H97" s="9">
        <f t="shared" si="18"/>
        <v>3831.5912000000003</v>
      </c>
      <c r="I97" s="9">
        <f t="shared" si="19"/>
        <v>451.64780000000002</v>
      </c>
      <c r="J97" s="9">
        <f t="shared" si="20"/>
        <v>734.28870000000018</v>
      </c>
      <c r="K97" s="9">
        <f t="shared" si="21"/>
        <v>734.28870000000018</v>
      </c>
      <c r="L97" s="9">
        <f t="shared" si="22"/>
        <v>934.87790000000007</v>
      </c>
      <c r="M97" s="9">
        <f t="shared" si="23"/>
        <v>934.87790000000007</v>
      </c>
      <c r="N97" s="9">
        <f t="shared" si="24"/>
        <v>934.87790000000007</v>
      </c>
      <c r="O97" s="9">
        <f>SUM(Table311[[#This Row],[Payment 2 - 12/15/22]:[Payment 11 -2031]])</f>
        <v>17819.643018751187</v>
      </c>
    </row>
  </sheetData>
  <sheetProtection algorithmName="SHA-512" hashValue="zPrmFCAE/OuUWJnP7JBw8fq1vWNcaTsa40ddDsInB34zlr1hpenMcuvA3qe3stZ61UYoSD/Oul1c43oj+NQsSw==" saltValue="deYDR9FJoqwDByIHuT3ceg==" spinCount="100000" sheet="1" objects="1" scenarios="1" selectLockedCells="1" selectUnlockedCells="1"/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"/>
  <sheetViews>
    <sheetView workbookViewId="0">
      <selection activeCell="C19" sqref="C19"/>
    </sheetView>
  </sheetViews>
  <sheetFormatPr defaultColWidth="12.5546875" defaultRowHeight="15.6" x14ac:dyDescent="0.3"/>
  <cols>
    <col min="1" max="1" width="13.109375" style="4" bestFit="1" customWidth="1"/>
    <col min="2" max="2" width="15" style="4" bestFit="1" customWidth="1"/>
    <col min="3" max="3" width="18.33203125" style="4" bestFit="1" customWidth="1"/>
    <col min="4" max="4" width="18.21875" style="4" bestFit="1" customWidth="1"/>
    <col min="5" max="5" width="15" style="4" bestFit="1" customWidth="1"/>
    <col min="6" max="6" width="13.88671875" style="4" bestFit="1" customWidth="1"/>
    <col min="7" max="7" width="15" style="4" bestFit="1" customWidth="1"/>
    <col min="8" max="8" width="19.33203125" style="4" customWidth="1"/>
    <col min="9" max="9" width="18.88671875" style="4" customWidth="1"/>
    <col min="10" max="10" width="16.5546875" style="4" customWidth="1"/>
    <col min="11" max="11" width="15.88671875" style="4" customWidth="1"/>
    <col min="12" max="12" width="13.88671875" style="4" bestFit="1" customWidth="1"/>
    <col min="13" max="16384" width="12.5546875" style="4"/>
  </cols>
  <sheetData>
    <row r="1" spans="1:12" x14ac:dyDescent="0.3">
      <c r="A1" s="4" t="s">
        <v>141</v>
      </c>
      <c r="B1" s="4" t="s">
        <v>142</v>
      </c>
      <c r="C1" s="4" t="s">
        <v>243</v>
      </c>
      <c r="D1" s="4" t="s">
        <v>151</v>
      </c>
      <c r="E1" s="4" t="s">
        <v>152</v>
      </c>
      <c r="F1" s="4" t="s">
        <v>153</v>
      </c>
      <c r="G1" s="4" t="s">
        <v>156</v>
      </c>
    </row>
    <row r="2" spans="1:12" x14ac:dyDescent="0.3">
      <c r="A2" s="4" t="s">
        <v>244</v>
      </c>
      <c r="B2" s="8">
        <v>44952</v>
      </c>
      <c r="C2" s="9">
        <v>7020010.1900000004</v>
      </c>
      <c r="D2" s="9">
        <f>Table1422[[#This Row],[PA Mallinckrodt]]*0.15</f>
        <v>1053001.5285</v>
      </c>
      <c r="E2" s="9">
        <f>Table1422[[#This Row],[PA Mallinckrodt]]*0.7</f>
        <v>4914007.1330000004</v>
      </c>
      <c r="F2" s="9">
        <f>Table1422[[#This Row],[PA Mallinckrodt]]*0.15</f>
        <v>1053001.5285</v>
      </c>
      <c r="G2" s="9">
        <f>Table1422[[#This Row],[Commonwealth]]+Table1422[[#This Row],[County]]+Table1422[[#This Row],[Litigating]]</f>
        <v>7020010.1900000004</v>
      </c>
    </row>
    <row r="3" spans="1:12" x14ac:dyDescent="0.3">
      <c r="A3" s="4" t="s">
        <v>305</v>
      </c>
      <c r="B3" s="8">
        <v>45323</v>
      </c>
      <c r="C3" s="40">
        <v>8258835.5199999996</v>
      </c>
      <c r="D3" s="9">
        <f>Table1422[[#This Row],[PA Mallinckrodt]]*0.15</f>
        <v>1238825.328</v>
      </c>
      <c r="E3" s="9">
        <f>Table1422[[#This Row],[PA Mallinckrodt]]*0.7</f>
        <v>5781184.8639999991</v>
      </c>
      <c r="F3" s="9">
        <f>Table1422[[#This Row],[PA Mallinckrodt]]*0.15</f>
        <v>1238825.328</v>
      </c>
      <c r="G3" s="9">
        <f>Table1422[[#This Row],[Commonwealth]]+Table1422[[#This Row],[County]]+Table1422[[#This Row],[Litigating]]</f>
        <v>8258835.5199999986</v>
      </c>
    </row>
    <row r="4" spans="1:12" x14ac:dyDescent="0.3">
      <c r="A4" s="4" t="s">
        <v>156</v>
      </c>
      <c r="C4" s="21">
        <f>SUM(C2:C3)</f>
        <v>15278845.710000001</v>
      </c>
      <c r="D4" s="9">
        <f>Table1422[[#This Row],[PA Mallinckrodt]]*0.15</f>
        <v>2291826.8565000002</v>
      </c>
      <c r="E4" s="9">
        <f>Table1422[[#This Row],[PA Mallinckrodt]]*0.7</f>
        <v>10695191.997</v>
      </c>
      <c r="F4" s="9">
        <f>Table1422[[#This Row],[PA Mallinckrodt]]*0.15</f>
        <v>2291826.8565000002</v>
      </c>
      <c r="G4" s="9">
        <f>SUM(Table1422[[#This Row],[Commonwealth]:[Litigating]])</f>
        <v>15278845.709999999</v>
      </c>
    </row>
    <row r="8" spans="1:12" x14ac:dyDescent="0.3">
      <c r="D8" s="13"/>
      <c r="E8" s="13"/>
      <c r="F8" s="13"/>
      <c r="G8" s="13"/>
      <c r="H8" s="13"/>
      <c r="I8" s="13"/>
    </row>
    <row r="9" spans="1:12" x14ac:dyDescent="0.3">
      <c r="C9" s="9"/>
      <c r="F9" s="13"/>
      <c r="G9" s="13"/>
      <c r="J9" s="15"/>
      <c r="K9" s="15"/>
      <c r="L9" s="13"/>
    </row>
    <row r="10" spans="1:12" x14ac:dyDescent="0.3">
      <c r="C10" s="9"/>
      <c r="D10" s="15"/>
      <c r="E10" s="15"/>
      <c r="F10" s="13"/>
      <c r="G10" s="13"/>
      <c r="H10" s="9"/>
    </row>
    <row r="11" spans="1:12" x14ac:dyDescent="0.3">
      <c r="F11" s="13"/>
      <c r="G11" s="13"/>
    </row>
    <row r="12" spans="1:12" x14ac:dyDescent="0.3">
      <c r="F12" s="9"/>
    </row>
    <row r="13" spans="1:12" x14ac:dyDescent="0.3">
      <c r="F13" s="9"/>
    </row>
    <row r="14" spans="1:12" x14ac:dyDescent="0.3">
      <c r="F14" s="13"/>
    </row>
  </sheetData>
  <sheetProtection algorithmName="SHA-512" hashValue="EoyEmlTdbyOvLx0xoYHrZjoHf2BQm3f21kBHaGFrLQO0ZHqeBLJOCWXYDc9ilneIgVguNkJnt8BdjFDN3eYzJg==" saltValue="5KTU6QGBg3Rn9mOCcimIJA==" spinCount="100000" sheet="1" objects="1" scenarios="1" selectLockedCells="1" selectUnlockedCells="1"/>
  <pageMargins left="0.7" right="0.7" top="0.75" bottom="0.75" header="0.3" footer="0.3"/>
  <pageSetup orientation="portrait" copies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1"/>
  <sheetViews>
    <sheetView workbookViewId="0">
      <selection activeCell="D12" sqref="D12"/>
    </sheetView>
  </sheetViews>
  <sheetFormatPr defaultColWidth="12.5546875" defaultRowHeight="15.6" x14ac:dyDescent="0.3"/>
  <cols>
    <col min="1" max="1" width="15.5546875" style="4" bestFit="1" customWidth="1"/>
    <col min="2" max="2" width="24.21875" style="4" bestFit="1" customWidth="1"/>
    <col min="3" max="3" width="26.44140625" style="25" bestFit="1" customWidth="1"/>
    <col min="4" max="4" width="27.44140625" style="25" bestFit="1" customWidth="1"/>
    <col min="5" max="5" width="15.21875" style="25" bestFit="1" customWidth="1"/>
    <col min="6" max="16384" width="12.5546875" style="4"/>
  </cols>
  <sheetData>
    <row r="1" spans="1:5" x14ac:dyDescent="0.3">
      <c r="A1" s="19" t="s">
        <v>189</v>
      </c>
      <c r="B1" s="19"/>
      <c r="C1" s="3">
        <v>4914007.1330000004</v>
      </c>
      <c r="D1" s="3">
        <v>5781184.8639999991</v>
      </c>
      <c r="E1" s="3">
        <f>SUM(C1:D1)</f>
        <v>10695191.997</v>
      </c>
    </row>
    <row r="3" spans="1:5" x14ac:dyDescent="0.3">
      <c r="A3" s="19" t="s">
        <v>152</v>
      </c>
      <c r="B3" s="19" t="s">
        <v>170</v>
      </c>
      <c r="C3" s="41" t="s">
        <v>245</v>
      </c>
      <c r="D3" s="41" t="s">
        <v>306</v>
      </c>
      <c r="E3" s="42" t="s">
        <v>156</v>
      </c>
    </row>
    <row r="4" spans="1:5" x14ac:dyDescent="0.3">
      <c r="A4" s="37" t="s">
        <v>3</v>
      </c>
      <c r="B4" s="4">
        <v>3.4185894747622387E-3</v>
      </c>
      <c r="C4" s="25">
        <f t="shared" ref="C4:C67" si="0">B4*$C$1</f>
        <v>16798.973063780366</v>
      </c>
      <c r="D4" s="25">
        <f t="shared" ref="D4:D67" si="1">B4*$D$1</f>
        <v>19763.49772772516</v>
      </c>
      <c r="E4" s="25">
        <f t="shared" ref="E4:E35" si="2">SUM(C4:D4)</f>
        <v>36562.470791505526</v>
      </c>
    </row>
    <row r="5" spans="1:5" x14ac:dyDescent="0.3">
      <c r="A5" s="37" t="s">
        <v>4</v>
      </c>
      <c r="B5" s="4">
        <v>0.11452275526177516</v>
      </c>
      <c r="C5" s="43">
        <f t="shared" si="0"/>
        <v>562765.63624717644</v>
      </c>
      <c r="D5" s="43">
        <f t="shared" si="1"/>
        <v>662077.21930295078</v>
      </c>
      <c r="E5" s="43">
        <f t="shared" si="2"/>
        <v>1224842.8555501271</v>
      </c>
    </row>
    <row r="6" spans="1:5" x14ac:dyDescent="0.3">
      <c r="A6" s="37" t="s">
        <v>5</v>
      </c>
      <c r="B6" s="4">
        <v>6.0222831445004236E-3</v>
      </c>
      <c r="C6" s="25">
        <f t="shared" si="0"/>
        <v>29593.542329020755</v>
      </c>
      <c r="D6" s="25">
        <f t="shared" si="1"/>
        <v>34815.932161708166</v>
      </c>
      <c r="E6" s="25">
        <f t="shared" si="2"/>
        <v>64409.474490728921</v>
      </c>
    </row>
    <row r="7" spans="1:5" x14ac:dyDescent="0.3">
      <c r="A7" s="37" t="s">
        <v>6</v>
      </c>
      <c r="B7" s="4">
        <v>1.2660706775723332E-2</v>
      </c>
      <c r="C7" s="25">
        <f t="shared" si="0"/>
        <v>62214.803404725892</v>
      </c>
      <c r="D7" s="25">
        <f t="shared" si="1"/>
        <v>73193.886379353964</v>
      </c>
      <c r="E7" s="25">
        <f t="shared" si="2"/>
        <v>135408.68978407985</v>
      </c>
    </row>
    <row r="8" spans="1:5" x14ac:dyDescent="0.3">
      <c r="A8" s="37" t="s">
        <v>7</v>
      </c>
      <c r="B8" s="4">
        <v>1.9080507699772487E-3</v>
      </c>
      <c r="C8" s="25">
        <f t="shared" si="0"/>
        <v>9376.1750937943434</v>
      </c>
      <c r="D8" s="25">
        <f t="shared" si="1"/>
        <v>11030.794231136015</v>
      </c>
      <c r="E8" s="25">
        <f t="shared" si="2"/>
        <v>20406.96932493036</v>
      </c>
    </row>
    <row r="9" spans="1:5" x14ac:dyDescent="0.3">
      <c r="A9" s="37" t="s">
        <v>8</v>
      </c>
      <c r="B9" s="4">
        <v>1.8792305559577987E-2</v>
      </c>
      <c r="C9" s="25">
        <f t="shared" si="0"/>
        <v>92345.523565281794</v>
      </c>
      <c r="D9" s="25">
        <f t="shared" si="1"/>
        <v>108641.79246069529</v>
      </c>
      <c r="E9" s="25">
        <f t="shared" si="2"/>
        <v>200987.31602597708</v>
      </c>
    </row>
    <row r="10" spans="1:5" x14ac:dyDescent="0.3">
      <c r="A10" s="37" t="s">
        <v>9</v>
      </c>
      <c r="B10" s="4">
        <v>8.0197735934250114E-3</v>
      </c>
      <c r="C10" s="25">
        <f t="shared" si="0"/>
        <v>39409.224643135552</v>
      </c>
      <c r="D10" s="25">
        <f t="shared" si="1"/>
        <v>46363.793711015562</v>
      </c>
      <c r="E10" s="25">
        <f t="shared" si="2"/>
        <v>85773.018354151107</v>
      </c>
    </row>
    <row r="11" spans="1:5" x14ac:dyDescent="0.3">
      <c r="A11" s="37" t="s">
        <v>10</v>
      </c>
      <c r="B11" s="4">
        <v>2.2359962594508242E-3</v>
      </c>
      <c r="C11" s="25">
        <f t="shared" si="0"/>
        <v>10987.701568302669</v>
      </c>
      <c r="D11" s="25">
        <f t="shared" si="1"/>
        <v>12926.70773109772</v>
      </c>
      <c r="E11" s="25">
        <f t="shared" si="2"/>
        <v>23914.409299400388</v>
      </c>
    </row>
    <row r="12" spans="1:5" x14ac:dyDescent="0.3">
      <c r="A12" s="37" t="s">
        <v>11</v>
      </c>
      <c r="B12" s="4">
        <v>5.7668825533399602E-2</v>
      </c>
      <c r="C12" s="25">
        <f t="shared" si="0"/>
        <v>283385.02002285823</v>
      </c>
      <c r="D12" s="25">
        <f t="shared" si="1"/>
        <v>333394.14129834645</v>
      </c>
      <c r="E12" s="25">
        <f t="shared" si="2"/>
        <v>616779.16132120462</v>
      </c>
    </row>
    <row r="13" spans="1:5" x14ac:dyDescent="0.3">
      <c r="A13" s="37" t="s">
        <v>12</v>
      </c>
      <c r="B13" s="4">
        <v>1.3604794180508509E-2</v>
      </c>
      <c r="C13" s="25">
        <f t="shared" si="0"/>
        <v>66854.055646015709</v>
      </c>
      <c r="D13" s="25">
        <f t="shared" si="1"/>
        <v>78651.830194191061</v>
      </c>
      <c r="E13" s="25">
        <f t="shared" si="2"/>
        <v>145505.88584020676</v>
      </c>
    </row>
    <row r="14" spans="1:5" x14ac:dyDescent="0.3">
      <c r="A14" s="37" t="s">
        <v>13</v>
      </c>
      <c r="B14" s="4">
        <v>1.5771226721418889E-2</v>
      </c>
      <c r="C14" s="25">
        <f t="shared" si="0"/>
        <v>77499.920605212625</v>
      </c>
      <c r="D14" s="25">
        <f t="shared" si="1"/>
        <v>91176.377208579215</v>
      </c>
      <c r="E14" s="25">
        <f t="shared" si="2"/>
        <v>168676.29781379184</v>
      </c>
    </row>
    <row r="15" spans="1:5" x14ac:dyDescent="0.3">
      <c r="A15" s="37" t="s">
        <v>14</v>
      </c>
      <c r="B15" s="4">
        <v>1.4285891185863999E-3</v>
      </c>
      <c r="C15" s="25">
        <f t="shared" si="0"/>
        <v>7020.0971188597523</v>
      </c>
      <c r="D15" s="25">
        <f t="shared" si="1"/>
        <v>8258.9377892467946</v>
      </c>
      <c r="E15" s="25">
        <f t="shared" si="2"/>
        <v>15279.034908106547</v>
      </c>
    </row>
    <row r="16" spans="1:5" x14ac:dyDescent="0.3">
      <c r="A16" s="37" t="s">
        <v>15</v>
      </c>
      <c r="B16" s="4">
        <v>6.399917820696671E-3</v>
      </c>
      <c r="C16" s="25">
        <f t="shared" si="0"/>
        <v>31449.241821517258</v>
      </c>
      <c r="D16" s="25">
        <f t="shared" si="1"/>
        <v>36999.108035855454</v>
      </c>
      <c r="E16" s="25">
        <f t="shared" si="2"/>
        <v>68448.349857372712</v>
      </c>
    </row>
    <row r="17" spans="1:5" x14ac:dyDescent="0.3">
      <c r="A17" s="37" t="s">
        <v>16</v>
      </c>
      <c r="B17" s="4">
        <v>2.4844407644750662E-3</v>
      </c>
      <c r="C17" s="25">
        <f t="shared" si="0"/>
        <v>12208.559638146449</v>
      </c>
      <c r="D17" s="25">
        <f t="shared" si="1"/>
        <v>14363.011343087839</v>
      </c>
      <c r="E17" s="25">
        <f t="shared" si="2"/>
        <v>26571.57098123429</v>
      </c>
    </row>
    <row r="18" spans="1:5" x14ac:dyDescent="0.3">
      <c r="A18" s="37" t="s">
        <v>17</v>
      </c>
      <c r="B18" s="4">
        <v>2.2161205847617552E-2</v>
      </c>
      <c r="C18" s="25">
        <f t="shared" si="0"/>
        <v>108900.32361107397</v>
      </c>
      <c r="D18" s="25">
        <f t="shared" si="1"/>
        <v>128118.02781423487</v>
      </c>
      <c r="E18" s="25">
        <f t="shared" si="2"/>
        <v>237018.35142530885</v>
      </c>
    </row>
    <row r="19" spans="1:5" x14ac:dyDescent="0.3">
      <c r="A19" s="37" t="s">
        <v>18</v>
      </c>
      <c r="B19" s="4">
        <v>1.4608509466514366E-3</v>
      </c>
      <c r="C19" s="25">
        <f t="shared" si="0"/>
        <v>7178.6319720949623</v>
      </c>
      <c r="D19" s="25">
        <f t="shared" si="1"/>
        <v>8445.4493813413555</v>
      </c>
      <c r="E19" s="25">
        <f t="shared" si="2"/>
        <v>15624.081353436319</v>
      </c>
    </row>
    <row r="20" spans="1:5" x14ac:dyDescent="0.3">
      <c r="A20" s="37" t="s">
        <v>19</v>
      </c>
      <c r="B20" s="4">
        <v>2.9713910800255451E-3</v>
      </c>
      <c r="C20" s="25">
        <f t="shared" si="0"/>
        <v>14601.436962178104</v>
      </c>
      <c r="D20" s="25">
        <f t="shared" si="1"/>
        <v>17178.16113686829</v>
      </c>
      <c r="E20" s="25">
        <f t="shared" si="2"/>
        <v>31779.598099046394</v>
      </c>
    </row>
    <row r="21" spans="1:5" x14ac:dyDescent="0.3">
      <c r="A21" s="37" t="s">
        <v>20</v>
      </c>
      <c r="B21" s="4">
        <v>1.4285891185863999E-3</v>
      </c>
      <c r="C21" s="25">
        <f t="shared" si="0"/>
        <v>7020.0971188597523</v>
      </c>
      <c r="D21" s="25">
        <f t="shared" si="1"/>
        <v>8258.9377892467946</v>
      </c>
      <c r="E21" s="25">
        <f t="shared" si="2"/>
        <v>15279.034908106547</v>
      </c>
    </row>
    <row r="22" spans="1:5" x14ac:dyDescent="0.3">
      <c r="A22" s="37" t="s">
        <v>21</v>
      </c>
      <c r="B22" s="4">
        <v>3.2595860772744538E-3</v>
      </c>
      <c r="C22" s="25">
        <f t="shared" si="0"/>
        <v>16017.629234354157</v>
      </c>
      <c r="D22" s="25">
        <f t="shared" si="1"/>
        <v>18844.269692844206</v>
      </c>
      <c r="E22" s="25">
        <f t="shared" si="2"/>
        <v>34861.898927198359</v>
      </c>
    </row>
    <row r="23" spans="1:5" s="33" customFormat="1" x14ac:dyDescent="0.3">
      <c r="A23" s="45" t="s">
        <v>22</v>
      </c>
      <c r="B23" s="33">
        <v>6.6682368575386878E-3</v>
      </c>
      <c r="C23" s="44">
        <f t="shared" si="0"/>
        <v>32767.763482478618</v>
      </c>
      <c r="D23" s="44">
        <f t="shared" si="1"/>
        <v>38550.309990369577</v>
      </c>
      <c r="E23" s="25">
        <f t="shared" si="2"/>
        <v>71318.073472848191</v>
      </c>
    </row>
    <row r="24" spans="1:5" x14ac:dyDescent="0.3">
      <c r="A24" s="37" t="s">
        <v>23</v>
      </c>
      <c r="B24" s="4">
        <v>1.0414773250363621E-2</v>
      </c>
      <c r="C24" s="25">
        <f t="shared" si="0"/>
        <v>51178.27004086443</v>
      </c>
      <c r="D24" s="25">
        <f t="shared" si="1"/>
        <v>60209.729476994238</v>
      </c>
      <c r="E24" s="25">
        <f t="shared" si="2"/>
        <v>111387.99951785867</v>
      </c>
    </row>
    <row r="25" spans="1:5" x14ac:dyDescent="0.3">
      <c r="A25" s="37" t="s">
        <v>24</v>
      </c>
      <c r="B25" s="4">
        <v>1.6009732531945126E-2</v>
      </c>
      <c r="C25" s="25">
        <f t="shared" si="0"/>
        <v>78671.939859400503</v>
      </c>
      <c r="D25" s="25">
        <f t="shared" si="1"/>
        <v>92555.223390369545</v>
      </c>
      <c r="E25" s="25">
        <f t="shared" si="2"/>
        <v>171227.16324977006</v>
      </c>
    </row>
    <row r="26" spans="1:5" x14ac:dyDescent="0.3">
      <c r="A26" s="37" t="s">
        <v>25</v>
      </c>
      <c r="B26" s="4">
        <v>6.4277437366895854E-2</v>
      </c>
      <c r="C26" s="25">
        <f t="shared" si="0"/>
        <v>315859.785711887</v>
      </c>
      <c r="D26" s="25">
        <f t="shared" si="1"/>
        <v>371599.74800220627</v>
      </c>
      <c r="E26" s="25">
        <f t="shared" si="2"/>
        <v>687459.53371409327</v>
      </c>
    </row>
    <row r="27" spans="1:5" x14ac:dyDescent="0.3">
      <c r="A27" s="37" t="s">
        <v>26</v>
      </c>
      <c r="B27" s="4">
        <v>1.6695435308618936E-3</v>
      </c>
      <c r="C27" s="25">
        <f t="shared" si="0"/>
        <v>8204.1488195093516</v>
      </c>
      <c r="D27" s="25">
        <f t="shared" si="1"/>
        <v>9651.9397904078942</v>
      </c>
      <c r="E27" s="25">
        <f t="shared" si="2"/>
        <v>17856.088609917246</v>
      </c>
    </row>
    <row r="28" spans="1:5" x14ac:dyDescent="0.3">
      <c r="A28" s="37" t="s">
        <v>27</v>
      </c>
      <c r="B28" s="4">
        <v>2.0382346677401429E-2</v>
      </c>
      <c r="C28" s="25">
        <f t="shared" si="0"/>
        <v>100158.99696002949</v>
      </c>
      <c r="D28" s="25">
        <f t="shared" si="1"/>
        <v>117834.11410419381</v>
      </c>
      <c r="E28" s="25">
        <f t="shared" si="2"/>
        <v>217993.11106422328</v>
      </c>
    </row>
    <row r="29" spans="1:5" x14ac:dyDescent="0.3">
      <c r="A29" s="37" t="s">
        <v>28</v>
      </c>
      <c r="B29" s="4">
        <v>1.3396101596298053E-2</v>
      </c>
      <c r="C29" s="25">
        <f t="shared" si="0"/>
        <v>65828.538798601323</v>
      </c>
      <c r="D29" s="25">
        <f t="shared" si="1"/>
        <v>77445.339785124524</v>
      </c>
      <c r="E29" s="25">
        <f t="shared" si="2"/>
        <v>143273.87858372583</v>
      </c>
    </row>
    <row r="30" spans="1:5" x14ac:dyDescent="0.3">
      <c r="A30" s="37" t="s">
        <v>29</v>
      </c>
      <c r="B30" s="4">
        <v>1.4285891185863999E-3</v>
      </c>
      <c r="C30" s="25">
        <f t="shared" si="0"/>
        <v>7020.0971188597523</v>
      </c>
      <c r="D30" s="25">
        <f t="shared" si="1"/>
        <v>8258.9377892467946</v>
      </c>
      <c r="E30" s="25">
        <f t="shared" si="2"/>
        <v>15279.034908106547</v>
      </c>
    </row>
    <row r="31" spans="1:5" x14ac:dyDescent="0.3">
      <c r="A31" s="37" t="s">
        <v>30</v>
      </c>
      <c r="B31" s="4">
        <v>5.108008966031025E-3</v>
      </c>
      <c r="C31" s="25">
        <f t="shared" si="0"/>
        <v>25100.792494504414</v>
      </c>
      <c r="D31" s="25">
        <f t="shared" si="1"/>
        <v>29530.344119594847</v>
      </c>
      <c r="E31" s="25">
        <f t="shared" si="2"/>
        <v>54631.136614099261</v>
      </c>
    </row>
    <row r="32" spans="1:5" x14ac:dyDescent="0.3">
      <c r="A32" s="37" t="s">
        <v>31</v>
      </c>
      <c r="B32" s="4">
        <v>1.4285891185863999E-3</v>
      </c>
      <c r="C32" s="25">
        <f t="shared" si="0"/>
        <v>7020.0971188597523</v>
      </c>
      <c r="D32" s="25">
        <f t="shared" si="1"/>
        <v>8258.9377892467946</v>
      </c>
      <c r="E32" s="25">
        <f t="shared" si="2"/>
        <v>15279.034908106547</v>
      </c>
    </row>
    <row r="33" spans="1:5" x14ac:dyDescent="0.3">
      <c r="A33" s="37" t="s">
        <v>32</v>
      </c>
      <c r="B33" s="4">
        <v>2.0372409411492541E-3</v>
      </c>
      <c r="C33" s="25">
        <f t="shared" si="0"/>
        <v>10011.016516447069</v>
      </c>
      <c r="D33" s="25">
        <f t="shared" si="1"/>
        <v>11777.66649329318</v>
      </c>
      <c r="E33" s="25">
        <f t="shared" si="2"/>
        <v>21788.683009740249</v>
      </c>
    </row>
    <row r="34" spans="1:5" x14ac:dyDescent="0.3">
      <c r="A34" s="37" t="s">
        <v>33</v>
      </c>
      <c r="B34" s="4">
        <v>1.7788591702161249E-3</v>
      </c>
      <c r="C34" s="25">
        <f t="shared" si="0"/>
        <v>8741.3266510444992</v>
      </c>
      <c r="D34" s="25">
        <f t="shared" si="1"/>
        <v>10283.913710041059</v>
      </c>
      <c r="E34" s="25">
        <f t="shared" si="2"/>
        <v>19025.240361085558</v>
      </c>
    </row>
    <row r="35" spans="1:5" x14ac:dyDescent="0.3">
      <c r="A35" s="37" t="s">
        <v>34</v>
      </c>
      <c r="B35" s="4">
        <v>6.7874911913909245E-3</v>
      </c>
      <c r="C35" s="25">
        <f t="shared" si="0"/>
        <v>33353.780129669671</v>
      </c>
      <c r="D35" s="25">
        <f t="shared" si="1"/>
        <v>39239.741340202534</v>
      </c>
      <c r="E35" s="25">
        <f t="shared" si="2"/>
        <v>72593.521469872212</v>
      </c>
    </row>
    <row r="36" spans="1:5" x14ac:dyDescent="0.3">
      <c r="A36" s="37" t="s">
        <v>35</v>
      </c>
      <c r="B36" s="4">
        <v>1.8782361150723507E-3</v>
      </c>
      <c r="C36" s="25">
        <f t="shared" si="0"/>
        <v>9229.66566692374</v>
      </c>
      <c r="D36" s="25">
        <f t="shared" si="1"/>
        <v>10858.430199474435</v>
      </c>
      <c r="E36" s="25">
        <f t="shared" ref="E36:E67" si="3">SUM(C36:D36)</f>
        <v>20088.095866398173</v>
      </c>
    </row>
    <row r="37" spans="1:5" x14ac:dyDescent="0.3">
      <c r="A37" s="37" t="s">
        <v>36</v>
      </c>
      <c r="B37" s="4">
        <v>1.4285891185863999E-3</v>
      </c>
      <c r="C37" s="25">
        <f t="shared" si="0"/>
        <v>7020.0971188597523</v>
      </c>
      <c r="D37" s="25">
        <f t="shared" si="1"/>
        <v>8258.9377892467946</v>
      </c>
      <c r="E37" s="25">
        <f t="shared" si="3"/>
        <v>15279.034908106547</v>
      </c>
    </row>
    <row r="38" spans="1:5" x14ac:dyDescent="0.3">
      <c r="A38" s="37" t="s">
        <v>37</v>
      </c>
      <c r="B38" s="4">
        <v>1.3843301419623864E-2</v>
      </c>
      <c r="C38" s="25">
        <f t="shared" si="0"/>
        <v>68026.081920300698</v>
      </c>
      <c r="D38" s="25">
        <f t="shared" si="1"/>
        <v>80030.684634919176</v>
      </c>
      <c r="E38" s="25">
        <f t="shared" si="3"/>
        <v>148056.76655521989</v>
      </c>
    </row>
    <row r="39" spans="1:5" x14ac:dyDescent="0.3">
      <c r="A39" s="37" t="s">
        <v>38</v>
      </c>
      <c r="B39" s="4">
        <v>2.2518965991996025E-2</v>
      </c>
      <c r="C39" s="25">
        <f t="shared" si="0"/>
        <v>110658.35951245289</v>
      </c>
      <c r="D39" s="25">
        <f t="shared" si="1"/>
        <v>130186.30534585814</v>
      </c>
      <c r="E39" s="25">
        <f t="shared" si="3"/>
        <v>240844.66485831104</v>
      </c>
    </row>
    <row r="40" spans="1:5" x14ac:dyDescent="0.3">
      <c r="A40" s="37" t="s">
        <v>39</v>
      </c>
      <c r="B40" s="4">
        <v>9.8284459899569149E-3</v>
      </c>
      <c r="C40" s="25">
        <f t="shared" si="0"/>
        <v>48297.053700953533</v>
      </c>
      <c r="D40" s="25">
        <f t="shared" si="1"/>
        <v>56820.063193780406</v>
      </c>
      <c r="E40" s="25">
        <f t="shared" si="3"/>
        <v>105117.11689473395</v>
      </c>
    </row>
    <row r="41" spans="1:5" x14ac:dyDescent="0.3">
      <c r="A41" s="37" t="s">
        <v>40</v>
      </c>
      <c r="B41" s="4">
        <v>5.992469918184644E-3</v>
      </c>
      <c r="C41" s="25">
        <f t="shared" si="0"/>
        <v>29447.03992224727</v>
      </c>
      <c r="D41" s="25">
        <f t="shared" si="1"/>
        <v>34643.57638898438</v>
      </c>
      <c r="E41" s="25">
        <f t="shared" si="3"/>
        <v>64090.61631123165</v>
      </c>
    </row>
    <row r="42" spans="1:5" x14ac:dyDescent="0.3">
      <c r="A42" s="37" t="s">
        <v>41</v>
      </c>
      <c r="B42" s="4">
        <v>2.0938862140081473E-2</v>
      </c>
      <c r="C42" s="25">
        <f t="shared" si="0"/>
        <v>102893.71791326402</v>
      </c>
      <c r="D42" s="25">
        <f t="shared" si="1"/>
        <v>121051.43287362164</v>
      </c>
      <c r="E42" s="25">
        <f t="shared" si="3"/>
        <v>223945.15078688564</v>
      </c>
    </row>
    <row r="43" spans="1:5" x14ac:dyDescent="0.3">
      <c r="A43" s="37" t="s">
        <v>42</v>
      </c>
      <c r="B43" s="4">
        <v>3.2615731018794961E-2</v>
      </c>
      <c r="C43" s="25">
        <f t="shared" si="0"/>
        <v>160273.93487436781</v>
      </c>
      <c r="D43" s="25">
        <f t="shared" si="1"/>
        <v>188557.57049415269</v>
      </c>
      <c r="E43" s="25">
        <f t="shared" si="3"/>
        <v>348831.50536852051</v>
      </c>
    </row>
    <row r="44" spans="1:5" x14ac:dyDescent="0.3">
      <c r="A44" s="37" t="s">
        <v>43</v>
      </c>
      <c r="B44" s="4">
        <v>6.3800418602897781E-3</v>
      </c>
      <c r="C44" s="25">
        <f t="shared" si="0"/>
        <v>31351.571210302562</v>
      </c>
      <c r="D44" s="25">
        <f t="shared" si="1"/>
        <v>36884.201434393661</v>
      </c>
      <c r="E44" s="25">
        <f t="shared" si="3"/>
        <v>68235.772644696219</v>
      </c>
    </row>
    <row r="45" spans="1:5" x14ac:dyDescent="0.3">
      <c r="A45" s="37" t="s">
        <v>44</v>
      </c>
      <c r="B45" s="4">
        <v>1.7887964361250118E-3</v>
      </c>
      <c r="C45" s="25">
        <f t="shared" si="0"/>
        <v>8790.1584466032873</v>
      </c>
      <c r="D45" s="25">
        <f t="shared" si="1"/>
        <v>10341.362881303059</v>
      </c>
      <c r="E45" s="25">
        <f t="shared" si="3"/>
        <v>19131.521327906346</v>
      </c>
    </row>
    <row r="46" spans="1:5" x14ac:dyDescent="0.3">
      <c r="A46" s="37" t="s">
        <v>45</v>
      </c>
      <c r="B46" s="4">
        <v>9.2520559954590974E-3</v>
      </c>
      <c r="C46" s="25">
        <f t="shared" si="0"/>
        <v>45464.669156601427</v>
      </c>
      <c r="D46" s="25">
        <f t="shared" si="1"/>
        <v>53487.846081828582</v>
      </c>
      <c r="E46" s="25">
        <f t="shared" si="3"/>
        <v>98952.515238430002</v>
      </c>
    </row>
    <row r="47" spans="1:5" x14ac:dyDescent="0.3">
      <c r="A47" s="37" t="s">
        <v>46</v>
      </c>
      <c r="B47" s="4">
        <v>1.7192327175845658E-3</v>
      </c>
      <c r="C47" s="25">
        <f t="shared" si="0"/>
        <v>8448.3218374975313</v>
      </c>
      <c r="D47" s="25">
        <f t="shared" si="1"/>
        <v>9939.2021645934765</v>
      </c>
      <c r="E47" s="25">
        <f t="shared" si="3"/>
        <v>18387.524002091006</v>
      </c>
    </row>
    <row r="48" spans="1:5" x14ac:dyDescent="0.3">
      <c r="A48" s="37" t="s">
        <v>47</v>
      </c>
      <c r="B48" s="4">
        <v>8.2185274831374621E-3</v>
      </c>
      <c r="C48" s="25">
        <f t="shared" si="0"/>
        <v>40385.90267489403</v>
      </c>
      <c r="D48" s="25">
        <f t="shared" si="1"/>
        <v>47512.826689882306</v>
      </c>
      <c r="E48" s="25">
        <f t="shared" si="3"/>
        <v>87898.729364776344</v>
      </c>
    </row>
    <row r="49" spans="1:5" x14ac:dyDescent="0.3">
      <c r="A49" s="37" t="s">
        <v>48</v>
      </c>
      <c r="B49" s="4">
        <v>5.0155878215931968E-2</v>
      </c>
      <c r="C49" s="25">
        <f t="shared" si="0"/>
        <v>246466.34331496901</v>
      </c>
      <c r="D49" s="25">
        <f t="shared" si="1"/>
        <v>289960.40398257319</v>
      </c>
      <c r="E49" s="25">
        <f t="shared" si="3"/>
        <v>536426.74729754217</v>
      </c>
    </row>
    <row r="50" spans="1:5" x14ac:dyDescent="0.3">
      <c r="A50" s="37" t="s">
        <v>49</v>
      </c>
      <c r="B50" s="4">
        <v>1.4285891185863999E-3</v>
      </c>
      <c r="C50" s="25">
        <f t="shared" si="0"/>
        <v>7020.0971188597523</v>
      </c>
      <c r="D50" s="25">
        <f t="shared" si="1"/>
        <v>8258.9377892467946</v>
      </c>
      <c r="E50" s="25">
        <f t="shared" si="3"/>
        <v>15279.034908106547</v>
      </c>
    </row>
    <row r="51" spans="1:5" x14ac:dyDescent="0.3">
      <c r="A51" s="37" t="s">
        <v>50</v>
      </c>
      <c r="B51" s="4">
        <v>1.6755064618428732E-2</v>
      </c>
      <c r="C51" s="25">
        <f t="shared" si="0"/>
        <v>82334.507048834712</v>
      </c>
      <c r="D51" s="25">
        <f t="shared" si="1"/>
        <v>96864.125967402098</v>
      </c>
      <c r="E51" s="25">
        <f t="shared" si="3"/>
        <v>179198.63301623682</v>
      </c>
    </row>
    <row r="52" spans="1:5" x14ac:dyDescent="0.3">
      <c r="A52" s="37" t="s">
        <v>51</v>
      </c>
      <c r="B52" s="4">
        <v>5.7440254131604015E-3</v>
      </c>
      <c r="C52" s="25">
        <f t="shared" si="0"/>
        <v>28226.181852403486</v>
      </c>
      <c r="D52" s="25">
        <f t="shared" si="1"/>
        <v>33207.272776994258</v>
      </c>
      <c r="E52" s="25">
        <f t="shared" si="3"/>
        <v>61433.454629397747</v>
      </c>
    </row>
    <row r="53" spans="1:5" x14ac:dyDescent="0.3">
      <c r="A53" s="37" t="s">
        <v>52</v>
      </c>
      <c r="B53" s="4">
        <v>2.2956227120823833E-3</v>
      </c>
      <c r="C53" s="25">
        <f t="shared" si="0"/>
        <v>11280.706381849637</v>
      </c>
      <c r="D53" s="25">
        <f t="shared" si="1"/>
        <v>13271.419276545303</v>
      </c>
      <c r="E53" s="25">
        <f t="shared" si="3"/>
        <v>24552.12565839494</v>
      </c>
    </row>
    <row r="54" spans="1:5" x14ac:dyDescent="0.3">
      <c r="A54" s="37" t="s">
        <v>53</v>
      </c>
      <c r="B54" s="4">
        <v>0.23001941115465127</v>
      </c>
      <c r="C54" s="25">
        <f t="shared" si="0"/>
        <v>1130317.0271424162</v>
      </c>
      <c r="D54" s="25">
        <f t="shared" si="1"/>
        <v>1329784.7381934626</v>
      </c>
      <c r="E54" s="25">
        <f t="shared" si="3"/>
        <v>2460101.7653358788</v>
      </c>
    </row>
    <row r="55" spans="1:5" x14ac:dyDescent="0.3">
      <c r="A55" s="37" t="s">
        <v>54</v>
      </c>
      <c r="B55" s="4">
        <v>2.8123862539486417E-3</v>
      </c>
      <c r="C55" s="25">
        <f t="shared" si="0"/>
        <v>13820.086112654775</v>
      </c>
      <c r="D55" s="25">
        <f t="shared" si="1"/>
        <v>16258.924843049545</v>
      </c>
      <c r="E55" s="25">
        <f t="shared" si="3"/>
        <v>30079.010955704318</v>
      </c>
    </row>
    <row r="56" spans="1:5" x14ac:dyDescent="0.3">
      <c r="A56" s="37" t="s">
        <v>55</v>
      </c>
      <c r="B56" s="4">
        <v>1.4285891185863999E-3</v>
      </c>
      <c r="C56" s="25">
        <f t="shared" si="0"/>
        <v>7020.0971188597523</v>
      </c>
      <c r="D56" s="25">
        <f t="shared" si="1"/>
        <v>8258.9377892467946</v>
      </c>
      <c r="E56" s="25">
        <f t="shared" si="3"/>
        <v>15279.034908106547</v>
      </c>
    </row>
    <row r="57" spans="1:5" x14ac:dyDescent="0.3">
      <c r="A57" s="37" t="s">
        <v>56</v>
      </c>
      <c r="B57" s="4">
        <v>9.7986327636411363E-3</v>
      </c>
      <c r="C57" s="25">
        <f t="shared" si="0"/>
        <v>48150.551294180048</v>
      </c>
      <c r="D57" s="25">
        <f t="shared" si="1"/>
        <v>56647.707421056621</v>
      </c>
      <c r="E57" s="25">
        <f t="shared" si="3"/>
        <v>104798.25871523668</v>
      </c>
    </row>
    <row r="58" spans="1:5" x14ac:dyDescent="0.3">
      <c r="A58" s="37" t="s">
        <v>57</v>
      </c>
      <c r="B58" s="4">
        <v>1.4285891185863999E-3</v>
      </c>
      <c r="C58" s="25">
        <f t="shared" si="0"/>
        <v>7020.0971188597523</v>
      </c>
      <c r="D58" s="25">
        <f t="shared" si="1"/>
        <v>8258.9377892467946</v>
      </c>
      <c r="E58" s="25">
        <f t="shared" si="3"/>
        <v>15279.034908106547</v>
      </c>
    </row>
    <row r="59" spans="1:5" x14ac:dyDescent="0.3">
      <c r="A59" s="37" t="s">
        <v>58</v>
      </c>
      <c r="B59" s="4">
        <v>4.2235480138774059E-3</v>
      </c>
      <c r="C59" s="25">
        <f t="shared" si="0"/>
        <v>20754.545066761559</v>
      </c>
      <c r="D59" s="25">
        <f t="shared" si="1"/>
        <v>24417.111850205318</v>
      </c>
      <c r="E59" s="25">
        <f t="shared" si="3"/>
        <v>45171.65691696688</v>
      </c>
    </row>
    <row r="60" spans="1:5" x14ac:dyDescent="0.3">
      <c r="A60" s="37" t="s">
        <v>59</v>
      </c>
      <c r="B60" s="4">
        <v>1.4285891185863999E-3</v>
      </c>
      <c r="C60" s="25">
        <f t="shared" si="0"/>
        <v>7020.0971188597523</v>
      </c>
      <c r="D60" s="25">
        <f t="shared" si="1"/>
        <v>8258.9377892467946</v>
      </c>
      <c r="E60" s="25">
        <f t="shared" si="3"/>
        <v>15279.034908106547</v>
      </c>
    </row>
    <row r="61" spans="1:5" x14ac:dyDescent="0.3">
      <c r="A61" s="37" t="s">
        <v>60</v>
      </c>
      <c r="B61" s="4">
        <v>1.6496689990441195E-3</v>
      </c>
      <c r="C61" s="25">
        <f t="shared" si="0"/>
        <v>8106.4852283917744</v>
      </c>
      <c r="D61" s="25">
        <f t="shared" si="1"/>
        <v>9537.041447883892</v>
      </c>
      <c r="E61" s="25">
        <f t="shared" si="3"/>
        <v>17643.526676275666</v>
      </c>
    </row>
    <row r="62" spans="1:5" x14ac:dyDescent="0.3">
      <c r="A62" s="37" t="s">
        <v>61</v>
      </c>
      <c r="B62" s="4">
        <v>1.4807269070583292E-3</v>
      </c>
      <c r="C62" s="25">
        <f t="shared" si="0"/>
        <v>7276.3025833096581</v>
      </c>
      <c r="D62" s="25">
        <f t="shared" si="1"/>
        <v>8560.3559828031466</v>
      </c>
      <c r="E62" s="25">
        <f t="shared" si="3"/>
        <v>15836.658566112805</v>
      </c>
    </row>
    <row r="63" spans="1:5" x14ac:dyDescent="0.3">
      <c r="A63" s="37" t="s">
        <v>62</v>
      </c>
      <c r="B63" s="4">
        <v>1.4285891185863999E-3</v>
      </c>
      <c r="C63" s="25">
        <f t="shared" si="0"/>
        <v>7020.0971188597523</v>
      </c>
      <c r="D63" s="25">
        <f t="shared" si="1"/>
        <v>8258.9377892467946</v>
      </c>
      <c r="E63" s="25">
        <f t="shared" si="3"/>
        <v>15279.034908106547</v>
      </c>
    </row>
    <row r="64" spans="1:5" x14ac:dyDescent="0.3">
      <c r="A64" s="37" t="s">
        <v>63</v>
      </c>
      <c r="B64" s="4">
        <v>3.3390870617237872E-3</v>
      </c>
      <c r="C64" s="25">
        <f t="shared" si="0"/>
        <v>16408.297639018703</v>
      </c>
      <c r="D64" s="25">
        <f t="shared" si="1"/>
        <v>19303.879580815788</v>
      </c>
      <c r="E64" s="25">
        <f t="shared" si="3"/>
        <v>35712.177219834492</v>
      </c>
    </row>
    <row r="65" spans="1:5" x14ac:dyDescent="0.3">
      <c r="A65" s="37" t="s">
        <v>64</v>
      </c>
      <c r="B65" s="4">
        <v>1.4285891185863999E-3</v>
      </c>
      <c r="C65" s="25">
        <f t="shared" si="0"/>
        <v>7020.0971188597523</v>
      </c>
      <c r="D65" s="25">
        <f t="shared" si="1"/>
        <v>8258.9377892467946</v>
      </c>
      <c r="E65" s="25">
        <f t="shared" si="3"/>
        <v>15279.034908106547</v>
      </c>
    </row>
    <row r="66" spans="1:5" x14ac:dyDescent="0.3">
      <c r="A66" s="37" t="s">
        <v>65</v>
      </c>
      <c r="B66" s="4">
        <v>1.6367492676323599E-2</v>
      </c>
      <c r="C66" s="25">
        <f t="shared" si="0"/>
        <v>80429.975760779431</v>
      </c>
      <c r="D66" s="25">
        <f t="shared" si="1"/>
        <v>94623.500921992832</v>
      </c>
      <c r="E66" s="25">
        <f t="shared" si="3"/>
        <v>175053.47668277228</v>
      </c>
    </row>
    <row r="67" spans="1:5" x14ac:dyDescent="0.3">
      <c r="A67" s="37" t="s">
        <v>66</v>
      </c>
      <c r="B67" s="4">
        <v>3.13039447751333E-3</v>
      </c>
      <c r="C67" s="25">
        <f t="shared" si="0"/>
        <v>15382.780791604313</v>
      </c>
      <c r="D67" s="25">
        <f t="shared" si="1"/>
        <v>18097.389171749248</v>
      </c>
      <c r="E67" s="25">
        <f t="shared" si="3"/>
        <v>33480.169963353561</v>
      </c>
    </row>
    <row r="68" spans="1:5" x14ac:dyDescent="0.3">
      <c r="A68" s="37" t="s">
        <v>67</v>
      </c>
      <c r="B68" s="4">
        <v>3.2069154250612922E-2</v>
      </c>
      <c r="C68" s="25">
        <f t="shared" ref="C68:C70" si="4">B68*$C$1</f>
        <v>157588.05273678919</v>
      </c>
      <c r="D68" s="25">
        <f t="shared" ref="D68:D70" si="5">B68*$D$1</f>
        <v>185397.70915492467</v>
      </c>
      <c r="E68" s="25">
        <f t="shared" ref="E68:E70" si="6">SUM(C68:D68)</f>
        <v>342985.76189171383</v>
      </c>
    </row>
    <row r="69" spans="1:5" x14ac:dyDescent="0.3">
      <c r="A69" s="37" t="s">
        <v>68</v>
      </c>
      <c r="B69" s="4">
        <v>2.0273036752403669E-3</v>
      </c>
      <c r="C69" s="25">
        <f t="shared" si="4"/>
        <v>9962.1847208882791</v>
      </c>
      <c r="D69" s="25">
        <f t="shared" si="5"/>
        <v>11720.21732203118</v>
      </c>
      <c r="E69" s="25">
        <f t="shared" si="6"/>
        <v>21682.402042919457</v>
      </c>
    </row>
    <row r="70" spans="1:5" x14ac:dyDescent="0.3">
      <c r="A70" s="37" t="s">
        <v>69</v>
      </c>
      <c r="B70" s="4">
        <v>2.5549983524653132E-2</v>
      </c>
      <c r="C70" s="25">
        <f t="shared" si="4"/>
        <v>125552.80128817799</v>
      </c>
      <c r="D70" s="25">
        <f t="shared" si="5"/>
        <v>147709.17802817404</v>
      </c>
      <c r="E70" s="25">
        <f t="shared" si="6"/>
        <v>273261.97931635205</v>
      </c>
    </row>
    <row r="71" spans="1:5" x14ac:dyDescent="0.3">
      <c r="A71" s="37"/>
    </row>
  </sheetData>
  <sheetProtection algorithmName="SHA-512" hashValue="n6GIE7EIIW8JzKbttYJ8oSg0KnwQrgr5uH507USbbsGQLTQ2UdeGd1vq2r6KGBOQ0vkrAOFUqDVdGIi4Ip72Rg==" saltValue="GR3e05GnzRGX6ZSeTa+GxQ==" spinCount="100000" sheet="1" objects="1" scenarios="1" selectLockedCells="1" selectUnlockedCells="1"/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45AED64094D4D8307469A9ED6BB78" ma:contentTypeVersion="13" ma:contentTypeDescription="Create a new document." ma:contentTypeScope="" ma:versionID="156ba272f5a07d9a8b8c911587f20166">
  <xsd:schema xmlns:xsd="http://www.w3.org/2001/XMLSchema" xmlns:xs="http://www.w3.org/2001/XMLSchema" xmlns:p="http://schemas.microsoft.com/office/2006/metadata/properties" xmlns:ns2="7fc5aa47-f438-4196-b3b6-d3756d88bd61" xmlns:ns3="97f4d639-200a-4f35-a684-0b5f72844889" targetNamespace="http://schemas.microsoft.com/office/2006/metadata/properties" ma:root="true" ma:fieldsID="05f85bbdb6af289084782406bb25d2a1" ns2:_="" ns3:_="">
    <xsd:import namespace="7fc5aa47-f438-4196-b3b6-d3756d88bd61"/>
    <xsd:import namespace="97f4d639-200a-4f35-a684-0b5f728448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5aa47-f438-4196-b3b6-d3756d88b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1ea644-9c4e-4dfb-916f-08a355146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4d639-200a-4f35-a684-0b5f728448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b6ff682-9065-43df-a90a-fcd3992773f7}" ma:internalName="TaxCatchAll" ma:showField="CatchAllData" ma:web="97f4d639-200a-4f35-a684-0b5f72844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9FFD9-622C-4578-8405-43C1B8ADD8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A7E51-4380-47AB-B301-CD585F70D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5aa47-f438-4196-b3b6-d3756d88bd61"/>
    <ds:schemaRef ds:uri="97f4d639-200a-4f35-a684-0b5f728448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Payment 3 Breakdown</vt:lpstr>
      <vt:lpstr>Payment 3 Correction</vt:lpstr>
      <vt:lpstr>Dist and JJ Totals</vt:lpstr>
      <vt:lpstr>Fees Calculations</vt:lpstr>
      <vt:lpstr>Dist and JJ County Payments</vt:lpstr>
      <vt:lpstr>Distributors Litigating Subs</vt:lpstr>
      <vt:lpstr>J&amp;J Litigating Subs</vt:lpstr>
      <vt:lpstr>MNK Total</vt:lpstr>
      <vt:lpstr>MNK County</vt:lpstr>
      <vt:lpstr>MNK Litigating Subs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Ritchie, Tyler W.</dc:creator>
  <cp:lastModifiedBy>Elaine Fogdall</cp:lastModifiedBy>
  <dcterms:created xsi:type="dcterms:W3CDTF">2023-01-31T21:57:07Z</dcterms:created>
  <dcterms:modified xsi:type="dcterms:W3CDTF">2023-11-17T17:22:29Z</dcterms:modified>
</cp:coreProperties>
</file>